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ms-office.chartex+xml" PartName="/xl/charts/chartEx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  <sheet state="visible" name=" Task 1 -Movie Genre Analysis" sheetId="2" r:id="rId5"/>
    <sheet state="visible" name="Task 2 -  Movie Duration Analys" sheetId="3" r:id="rId6"/>
    <sheet state="visible" name="Task 3- Language Analysis" sheetId="4" r:id="rId7"/>
    <sheet state="visible" name="Task 4 - Director Analysis" sheetId="5" r:id="rId8"/>
    <sheet state="visible" name="Task 5 -Budget Analysis" sheetId="6" r:id="rId9"/>
  </sheets>
  <definedNames>
    <definedName name="_xlchart.v1.8">'Task 4 - Director Analysis'!$I$2:$I$12</definedName>
    <definedName name="_xlchart.v1.2">'Task 4 - Director Analysis'!$I$2:$I$12</definedName>
    <definedName name="_xlchart.v1.6">'Task 4 - Director Analysis'!$G$2:$H$12</definedName>
    <definedName name="_xlchart.v1.0">'Task 4 - Director Analysis'!$G$2:$H$12</definedName>
    <definedName name="_xlchart.v1.7">'Task 4 - Director Analysis'!$I$1</definedName>
    <definedName name="_xlchart.v1.5">'Task 4 - Director Analysis'!$I$2:$I$12</definedName>
    <definedName name="_xlchart.v1.4">'Task 4 - Director Analysis'!$I$1</definedName>
    <definedName name="_xlchart.v1.1">'Task 4 - Director Analysis'!$I$1</definedName>
    <definedName name="_xlcn.WorksheetConnection_Task1PopularGenreEE1">' Task 1 -Movie Genre Analysis'!$E:$E</definedName>
    <definedName name="_xlchart.v1.3">'Task 4 - Director Analysis'!$G$2:$H$12</definedName>
    <definedName hidden="1" localSheetId="3" name="_xlnm._FilterDatabase">'Task 3- Language Analysis'!$A$1:$B$3848</definedName>
    <definedName hidden="1" localSheetId="4" name="_xlnm._FilterDatabase">'Task 4 - Director Analysis'!$C$1:$D$3848</definedName>
    <definedName hidden="1" localSheetId="5" name="_xlnm._FilterDatabase">'Task 5 -Budget Analysis'!$D$1:$D$3848</definedName>
  </definedNames>
  <calcPr/>
</workbook>
</file>

<file path=xl/sharedStrings.xml><?xml version="1.0" encoding="utf-8"?>
<sst xmlns="http://schemas.openxmlformats.org/spreadsheetml/2006/main" count="30916" uniqueCount="7832">
  <si>
    <t>director_name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</si>
  <si>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</si>
  <si>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</si>
  <si>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</si>
  <si>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</si>
  <si>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</si>
  <si>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</si>
  <si>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</si>
  <si>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</si>
  <si>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budget</t>
  </si>
  <si>
    <t>title_year</t>
  </si>
  <si>
    <t>imdb_score</t>
  </si>
  <si>
    <t>James Cameron</t>
  </si>
  <si>
    <t>Action|Adventure|Fantasy|Sci-Fi</t>
  </si>
  <si>
    <t>CCH Pounder</t>
  </si>
  <si>
    <t>Avatar </t>
  </si>
  <si>
    <t>English</t>
  </si>
  <si>
    <t>Gore Verbinski</t>
  </si>
  <si>
    <t>Action|Adventure|Fantasy</t>
  </si>
  <si>
    <t>Johnny Depp</t>
  </si>
  <si>
    <t>Pirates of the Caribbean: At World's End </t>
  </si>
  <si>
    <t>Sam Mendes</t>
  </si>
  <si>
    <t>Action|Adventure|Thriller</t>
  </si>
  <si>
    <t>Christoph Waltz</t>
  </si>
  <si>
    <t>Spectre </t>
  </si>
  <si>
    <t>Christopher Nolan</t>
  </si>
  <si>
    <t>Action|Thriller</t>
  </si>
  <si>
    <t>Tom Hardy</t>
  </si>
  <si>
    <t>The Dark Knight Rises </t>
  </si>
  <si>
    <t>Andrew Stanton</t>
  </si>
  <si>
    <t>Action|Adventure|Sci-Fi</t>
  </si>
  <si>
    <t>Daryl Sabara</t>
  </si>
  <si>
    <t>John Carter </t>
  </si>
  <si>
    <t>Sam Raimi</t>
  </si>
  <si>
    <t>Action|Adventure|Romance</t>
  </si>
  <si>
    <t>J.K. Simmons</t>
  </si>
  <si>
    <t>Spider-Man 3 </t>
  </si>
  <si>
    <t>Nathan Greno</t>
  </si>
  <si>
    <t>Adventure|Animation|Comedy|Family|Fantasy|Musical|Romance</t>
  </si>
  <si>
    <t>Brad Garrett</t>
  </si>
  <si>
    <t>Tangled </t>
  </si>
  <si>
    <t>Joss Whedon</t>
  </si>
  <si>
    <t>Chris Hemsworth</t>
  </si>
  <si>
    <t>Avengers: Age of Ultron </t>
  </si>
  <si>
    <t>David Yates</t>
  </si>
  <si>
    <t>Adventure|Family|Fantasy|Mystery</t>
  </si>
  <si>
    <t>Alan Rickman</t>
  </si>
  <si>
    <t>Harry Potter and the Half-Blood Prince </t>
  </si>
  <si>
    <t>Zack Snyder</t>
  </si>
  <si>
    <t>Henry Cavill</t>
  </si>
  <si>
    <t>Batman v Superman: Dawn of Justice </t>
  </si>
  <si>
    <t>Bryan Singer</t>
  </si>
  <si>
    <t>Kevin Spacey</t>
  </si>
  <si>
    <t>Superman Returns </t>
  </si>
  <si>
    <t>Marc Forster</t>
  </si>
  <si>
    <t>Action|Adventure</t>
  </si>
  <si>
    <t>Giancarlo Giannini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</si>
  <si>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</si>
  <si>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</si>
  <si>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</si>
  <si>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</si>
  <si>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</si>
  <si>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</si>
  <si>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</si>
  <si>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Peter Dinklage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</si>
  <si>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</si>
  <si>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</si>
  <si>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</si>
  <si>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</si>
  <si>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</si>
  <si>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</si>
  <si>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Will Smith</t>
  </si>
  <si>
    <t>Men in Black 3 </t>
  </si>
  <si>
    <t>Peter Jackson</t>
  </si>
  <si>
    <t>Adventure|Fantasy</t>
  </si>
  <si>
    <t>Aidan Turner</t>
  </si>
  <si>
    <t>The Hobbit: The Battle of the Five Armies </t>
  </si>
  <si>
    <t>Marc Webb</t>
  </si>
  <si>
    <t>Emma Stone</t>
  </si>
  <si>
    <t>The Amazing Spider-Man </t>
  </si>
  <si>
    <t>Ridley Scott</t>
  </si>
  <si>
    <t>Action|Adventure|Drama|History</t>
  </si>
  <si>
    <t>Mark Addy</t>
  </si>
  <si>
    <t>Robin Hood </t>
  </si>
  <si>
    <t>The Hobbit: The Desolation of Smaug </t>
  </si>
  <si>
    <t>Chris Weitz</t>
  </si>
  <si>
    <t>Adventure|Family|Fantasy</t>
  </si>
  <si>
    <t>Christopher Lee</t>
  </si>
  <si>
    <t>The Golden Compass </t>
  </si>
  <si>
    <t>Action|Adventure|Drama|Romance</t>
  </si>
  <si>
    <t>Naomi Watts</t>
  </si>
  <si>
    <t>King Kong </t>
  </si>
  <si>
    <t>Drama|Romance</t>
  </si>
  <si>
    <t>Leonardo DiCaprio</t>
  </si>
  <si>
    <t>Titanic </t>
  </si>
  <si>
    <t>Anthony Russo</t>
  </si>
  <si>
    <t>Robert Downey Jr.</t>
  </si>
  <si>
    <t>Captain America: Civil War </t>
  </si>
  <si>
    <t>Peter Berg</t>
  </si>
  <si>
    <t>Action|Adventure|Sci-Fi|Thriller</t>
  </si>
  <si>
    <t>Liam Neeson</t>
  </si>
  <si>
    <t>Battleship </t>
  </si>
  <si>
    <t>Colin Trevorrow</t>
  </si>
  <si>
    <t>Bryce Dallas Howard</t>
  </si>
  <si>
    <t>Jurassic World </t>
  </si>
  <si>
    <t>Albert Finney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</si>
  <si>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</si>
  <si>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</si>
  <si>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</si>
  <si>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</si>
  <si>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</si>
  <si>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</si>
  <si>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</si>
  <si>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</si>
  <si>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</si>
  <si>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Hugh Jackman</t>
  </si>
  <si>
    <t>X-Men: The Last Stand </t>
  </si>
  <si>
    <t>Dan Scanlon</t>
  </si>
  <si>
    <t>Adventure|Animation|Comedy|Family|Fantasy</t>
  </si>
  <si>
    <t>Steve Buscemi</t>
  </si>
  <si>
    <t>Monsters University </t>
  </si>
  <si>
    <t>Michael Bay</t>
  </si>
  <si>
    <t>Glenn Morshower</t>
  </si>
  <si>
    <t>Transformers: Revenge of the Fallen </t>
  </si>
  <si>
    <t>Bingbing Li</t>
  </si>
  <si>
    <t>Transformers: Age of Extinction </t>
  </si>
  <si>
    <t>Tim Holmes</t>
  </si>
  <si>
    <t>Oz the Great and Powerful </t>
  </si>
  <si>
    <t>The Amazing Spider-Man 2 </t>
  </si>
  <si>
    <t>Joseph Kosinski</t>
  </si>
  <si>
    <t>Jeff Bridges</t>
  </si>
  <si>
    <t>TRON: Legacy </t>
  </si>
  <si>
    <t>John Lasseter</t>
  </si>
  <si>
    <t>Adventure|Animation|Comedy|Family|Sport</t>
  </si>
  <si>
    <t>Joe Mantegna</t>
  </si>
  <si>
    <t>Cars 2 </t>
  </si>
  <si>
    <t>Martin Campbell</t>
  </si>
  <si>
    <t>Ryan Reynolds</t>
  </si>
  <si>
    <t>Green Lantern </t>
  </si>
  <si>
    <t>Lee Unkrich</t>
  </si>
  <si>
    <t>Tom Hanks</t>
  </si>
  <si>
    <t>Toy Story 3 </t>
  </si>
  <si>
    <t>McG</t>
  </si>
  <si>
    <t>Christian Bale</t>
  </si>
  <si>
    <t>Terminator Salvation </t>
  </si>
  <si>
    <t>James Wan</t>
  </si>
  <si>
    <t>Action|Crime|Thriller</t>
  </si>
  <si>
    <t>Jason Statham</t>
  </si>
  <si>
    <t>Furious 7 </t>
  </si>
  <si>
    <t>Action|Adventure|Horror|Sci-Fi|Thriller</t>
  </si>
  <si>
    <t>Peter Capaldi</t>
  </si>
  <si>
    <t>World War Z </t>
  </si>
  <si>
    <t>Jennifer Lawrence</t>
  </si>
  <si>
    <t>X-Men: Days of Future Past </t>
  </si>
  <si>
    <t>J.J. Abrams</t>
  </si>
  <si>
    <t>Benedict Cumberbatch</t>
  </si>
  <si>
    <t>Star Trek Into Darkness </t>
  </si>
  <si>
    <t>Eddie Marsan</t>
  </si>
  <si>
    <t>Jack the Giant Slayer </t>
  </si>
  <si>
    <t>Baz Luhrmann</t>
  </si>
  <si>
    <t>The Great Gatsby </t>
  </si>
  <si>
    <t>Mike Newell</t>
  </si>
  <si>
    <t>Jake Gyllenhaal</t>
  </si>
  <si>
    <t>Prince of Persia: The Sands of Time </t>
  </si>
  <si>
    <t>Guillermo del Toro</t>
  </si>
  <si>
    <t>Charlie Hunnam</t>
  </si>
  <si>
    <t>Pacific Rim </t>
  </si>
  <si>
    <t>Transformers: Dark of the Moon </t>
  </si>
  <si>
    <t>Steven Spielberg</t>
  </si>
  <si>
    <t>Harrison Ford</t>
  </si>
  <si>
    <t>Indiana Jones and the Kingdom of the Crystal Skull </t>
  </si>
  <si>
    <t>Mark Andrews</t>
  </si>
  <si>
    <t>Kelly Macdonald</t>
  </si>
  <si>
    <t>Brave </t>
  </si>
  <si>
    <t>Justin Lin</t>
  </si>
  <si>
    <t>Sofia Boutella</t>
  </si>
  <si>
    <t>Star Trek Beyond </t>
  </si>
  <si>
    <t>Adventure|Animation|Family|Sci-Fi</t>
  </si>
  <si>
    <t>John Ratzenberger</t>
  </si>
  <si>
    <t>WALL·E </t>
  </si>
  <si>
    <t>Action|Comedy|Crime|Thriller</t>
  </si>
  <si>
    <t>Tzi Ma</t>
  </si>
  <si>
    <t>Rush Hour 3 </t>
  </si>
  <si>
    <t>Roland Emmerich</t>
  </si>
  <si>
    <t>Oliver Platt</t>
  </si>
  <si>
    <t>2012 </t>
  </si>
  <si>
    <t>Robert Zemeckis</t>
  </si>
  <si>
    <t>Animation|Drama|Family|Fantasy</t>
  </si>
  <si>
    <t>Robin Wright</t>
  </si>
  <si>
    <t>A Christmas Carol </t>
  </si>
  <si>
    <t>Lana Wachowski</t>
  </si>
  <si>
    <t>Channing Tatum</t>
  </si>
  <si>
    <t>Jupiter Ascending </t>
  </si>
  <si>
    <t>The Legend of Tarzan </t>
  </si>
  <si>
    <t>Jim Broadbent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</si>
  <si>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</si>
  <si>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</si>
  <si>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</si>
  <si>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</si>
  <si>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</si>
  <si>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</si>
  <si>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</si>
  <si>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</si>
  <si>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</si>
  <si>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Amy Poehler</t>
  </si>
  <si>
    <t>Monsters vs. Aliens </t>
  </si>
  <si>
    <t>Jon Favreau</t>
  </si>
  <si>
    <t>Iron Man </t>
  </si>
  <si>
    <t>Martin Scorsese</t>
  </si>
  <si>
    <t>Adventure|Drama|Family|Mystery</t>
  </si>
  <si>
    <t>ChloÃ« Grace Moretz</t>
  </si>
  <si>
    <t>Hugo </t>
  </si>
  <si>
    <t>Action|Comedy|Sci-Fi|Western</t>
  </si>
  <si>
    <t>Wild Wild West </t>
  </si>
  <si>
    <t>Rob Cohen</t>
  </si>
  <si>
    <t>Action|Adventure|Fantasy|Horror|Thriller</t>
  </si>
  <si>
    <t>Jet Li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</si>
  <si>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</si>
  <si>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</si>
  <si>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</si>
  <si>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</si>
  <si>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</si>
  <si>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</si>
  <si>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Jimmy Bennett</t>
  </si>
  <si>
    <t>Evan Almighty </t>
  </si>
  <si>
    <t>Doug Liman</t>
  </si>
  <si>
    <t>Tom Cruise</t>
  </si>
  <si>
    <t>Edge of Tomorrow </t>
  </si>
  <si>
    <t>Kevin Reynolds</t>
  </si>
  <si>
    <t>Jeanne Tripplehorn</t>
  </si>
  <si>
    <t>Waterworld </t>
  </si>
  <si>
    <t>Stephen Sommers</t>
  </si>
  <si>
    <t>Joseph Gordon-Levitt</t>
  </si>
  <si>
    <t>G.I. Joe: The Rise of Cobra </t>
  </si>
  <si>
    <t>Adventure|Animation|Comedy|Drama|Family|Fantasy</t>
  </si>
  <si>
    <t>Inside Out </t>
  </si>
  <si>
    <t>Adventure|Drama|Family|Fantasy</t>
  </si>
  <si>
    <t>Scarlett Johansson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</si>
  <si>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</si>
  <si>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</si>
  <si>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</si>
  <si>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</si>
  <si>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</si>
  <si>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</si>
  <si>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</si>
  <si>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Angelina Jolie Pitt</t>
  </si>
  <si>
    <t>Maleficent </t>
  </si>
  <si>
    <t>Matt Reeves</t>
  </si>
  <si>
    <t>Action|Adventure|Drama|Sci-Fi</t>
  </si>
  <si>
    <t>Gary Oldman</t>
  </si>
  <si>
    <t>Dawn of the Planet of the Apes </t>
  </si>
  <si>
    <t>Carl Rinsch</t>
  </si>
  <si>
    <t>Keanu Reeves</t>
  </si>
  <si>
    <t>47 Ronin </t>
  </si>
  <si>
    <t>Captain America: The Winter Soldier </t>
  </si>
  <si>
    <t>Mike Mitchell</t>
  </si>
  <si>
    <t>Jon Hamm</t>
  </si>
  <si>
    <t>Shrek Forever After </t>
  </si>
  <si>
    <t>Brad Bird</t>
  </si>
  <si>
    <t>Action|Adventure|Family|Mystery|Sci-Fi</t>
  </si>
  <si>
    <t>Judy Greer</t>
  </si>
  <si>
    <t>Tomorrowland </t>
  </si>
  <si>
    <t>Don Hall</t>
  </si>
  <si>
    <t>Action|Adventure|Animation|Comedy|Drama|Family|Sci-Fi</t>
  </si>
  <si>
    <t>Damon Wayans Jr.</t>
  </si>
  <si>
    <t>Big Hero 6 </t>
  </si>
  <si>
    <t>Rich Moore</t>
  </si>
  <si>
    <t>Adventure|Animation|Comedy|Family|Sci-Fi</t>
  </si>
  <si>
    <t>Jack McBrayer</t>
  </si>
  <si>
    <t>Wreck-It Ralph </t>
  </si>
  <si>
    <t>Adventure|Animation|Family|Fantasy</t>
  </si>
  <si>
    <t>The Polar Express </t>
  </si>
  <si>
    <t>Vivica A. Fox</t>
  </si>
  <si>
    <t>Independence Day: Resurgence </t>
  </si>
  <si>
    <t>Dean DeBlois</t>
  </si>
  <si>
    <t>Gerard Butler</t>
  </si>
  <si>
    <t>How to Train Your Dragon </t>
  </si>
  <si>
    <t>Jonathan Mostow</t>
  </si>
  <si>
    <t>Action|Sci-Fi</t>
  </si>
  <si>
    <t>Nick Stahl</t>
  </si>
  <si>
    <t>Terminator 3: Rise of the Machines </t>
  </si>
  <si>
    <t>James Gunn</t>
  </si>
  <si>
    <t>Bradley Cooper</t>
  </si>
  <si>
    <t>Guardians of the Galaxy </t>
  </si>
  <si>
    <t>Adventure|Drama|Sci-Fi</t>
  </si>
  <si>
    <t>Matthew McConaughey</t>
  </si>
  <si>
    <t>Interstellar </t>
  </si>
  <si>
    <t>Inception </t>
  </si>
  <si>
    <t>The Hobbit: An Unexpected Journey </t>
  </si>
  <si>
    <t>Paul Walker</t>
  </si>
  <si>
    <t>The Fast and the Furious </t>
  </si>
  <si>
    <t>David Fincher</t>
  </si>
  <si>
    <t>Drama|Fantasy|Romance</t>
  </si>
  <si>
    <t>Brad Pitt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</si>
  <si>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</si>
  <si>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</si>
  <si>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</si>
  <si>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</si>
  <si>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</si>
  <si>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</si>
  <si>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</si>
  <si>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Nicolas Cage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</si>
  <si>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</si>
  <si>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</si>
  <si>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</si>
  <si>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</si>
  <si>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</si>
  <si>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</si>
  <si>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</si>
  <si>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Justin Timberlake</t>
  </si>
  <si>
    <t>Shrek the Third </t>
  </si>
  <si>
    <t>Duncan Jones</t>
  </si>
  <si>
    <t>Dominic Cooper</t>
  </si>
  <si>
    <t>Warcraft </t>
  </si>
  <si>
    <t>Alan Taylor</t>
  </si>
  <si>
    <t>Terminator Genisys </t>
  </si>
  <si>
    <t>Michael Apted</t>
  </si>
  <si>
    <t>Bruce Spence</t>
  </si>
  <si>
    <t>The Chronicles of Narnia: The Voyage of the Dawn Treader </t>
  </si>
  <si>
    <t>Action|Drama|History|Romance|War</t>
  </si>
  <si>
    <t>Jennifer Garner</t>
  </si>
  <si>
    <t>Pearl Harbor </t>
  </si>
  <si>
    <t>Zack Ward</t>
  </si>
  <si>
    <t>Transformers </t>
  </si>
  <si>
    <t>Oliver Stone</t>
  </si>
  <si>
    <t>Action|Adventure|Biography|Drama|History|Romance|War</t>
  </si>
  <si>
    <t>Anthony Hopkins</t>
  </si>
  <si>
    <t>Alexander </t>
  </si>
  <si>
    <t>Robert Pattinson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</si>
  <si>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</si>
  <si>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</si>
  <si>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</si>
  <si>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</si>
  <si>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</si>
  <si>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</si>
  <si>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</si>
  <si>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</si>
  <si>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</si>
  <si>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Janeane Garofalo</t>
  </si>
  <si>
    <t>Ratatouille </t>
  </si>
  <si>
    <t>Batman Begins </t>
  </si>
  <si>
    <t>Eric Darnell</t>
  </si>
  <si>
    <t>Action|Adventure|Animation|Comedy|Family</t>
  </si>
  <si>
    <t>Bernie Mac</t>
  </si>
  <si>
    <t>Madagascar: Escape 2 Africa </t>
  </si>
  <si>
    <t>Shawn Levy</t>
  </si>
  <si>
    <t>Robin Williams</t>
  </si>
  <si>
    <t>Night at the Museum: Battle of the Smithsonian </t>
  </si>
  <si>
    <t>Gavin Hood</t>
  </si>
  <si>
    <t>X-Men Origins: Wolverine </t>
  </si>
  <si>
    <t>Essie Davis</t>
  </si>
  <si>
    <t>The Matrix Revolutions </t>
  </si>
  <si>
    <t>Chris Buck</t>
  </si>
  <si>
    <t>Adventure|Animation|Comedy|Family|Fantasy|Musical</t>
  </si>
  <si>
    <t>Josh Gad</t>
  </si>
  <si>
    <t>Frozen </t>
  </si>
  <si>
    <t>Steve Bastoni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</si>
  <si>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</si>
  <si>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</si>
  <si>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</si>
  <si>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</si>
  <si>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</si>
  <si>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</si>
  <si>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</si>
  <si>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</si>
  <si>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</si>
  <si>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</si>
  <si>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</si>
  <si>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</si>
  <si>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</si>
  <si>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</si>
  <si>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Kelli Garner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</si>
  <si>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</si>
  <si>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</si>
  <si>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</si>
  <si>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</si>
  <si>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</si>
  <si>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</si>
  <si>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</si>
  <si>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Joe Johnston</t>
  </si>
  <si>
    <t>Drama|Fantasy|Horror|Thriller</t>
  </si>
  <si>
    <t>The Wolfman </t>
  </si>
  <si>
    <t>Steve Hickner</t>
  </si>
  <si>
    <t>Matthew Broderick</t>
  </si>
  <si>
    <t>Bee Movie </t>
  </si>
  <si>
    <t>Jennifer Yuh Nelson</t>
  </si>
  <si>
    <t>Kung Fu Panda 2 </t>
  </si>
  <si>
    <t>M. Night Shyamalan</t>
  </si>
  <si>
    <t>Seychelle Gabriel</t>
  </si>
  <si>
    <t>The Last Airbender </t>
  </si>
  <si>
    <t>Philip Seymour Hoffman</t>
  </si>
  <si>
    <t>Mission: Impossible III </t>
  </si>
  <si>
    <t>Action|Drama|Thriller</t>
  </si>
  <si>
    <t>White House Down </t>
  </si>
  <si>
    <t>Simon Wells</t>
  </si>
  <si>
    <t>Elisabeth Harnois</t>
  </si>
  <si>
    <t>Mars Needs Moms </t>
  </si>
  <si>
    <t>David Bowers</t>
  </si>
  <si>
    <t>Flushed Away </t>
  </si>
  <si>
    <t>Joe Wright</t>
  </si>
  <si>
    <t>Pan </t>
  </si>
  <si>
    <t>Rob Minkoff</t>
  </si>
  <si>
    <t>Ty Burrell</t>
  </si>
  <si>
    <t>Mr. Peabody &amp; Sherman </t>
  </si>
  <si>
    <t>Adventure</t>
  </si>
  <si>
    <t>Troy </t>
  </si>
  <si>
    <t>Jada Pinkett Smith</t>
  </si>
  <si>
    <t>Madagascar 3: Europe's Most Wanted </t>
  </si>
  <si>
    <t>Lee Tamahori</t>
  </si>
  <si>
    <t>Toby Stephens</t>
  </si>
  <si>
    <t>Die Another Day </t>
  </si>
  <si>
    <t>Paul Feig</t>
  </si>
  <si>
    <t>Action|Comedy|Fantasy|Sci-Fi</t>
  </si>
  <si>
    <t>Ed Begley Jr.</t>
  </si>
  <si>
    <t>Ghostbusters </t>
  </si>
  <si>
    <t>Bruce Willis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</si>
  <si>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</si>
  <si>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</si>
  <si>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</si>
  <si>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</si>
  <si>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</si>
  <si>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</si>
  <si>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</si>
  <si>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</si>
  <si>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</si>
  <si>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</si>
  <si>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</si>
  <si>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</si>
  <si>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John Michael Higgins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</si>
  <si>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</si>
  <si>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</si>
  <si>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</si>
  <si>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</si>
  <si>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</si>
  <si>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</si>
  <si>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</si>
  <si>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</si>
  <si>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</si>
  <si>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</si>
  <si>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</si>
  <si>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</si>
  <si>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Sam Shepard</t>
  </si>
  <si>
    <t>Stealth </t>
  </si>
  <si>
    <t>Action|Drama|Mystery|Sci-Fi</t>
  </si>
  <si>
    <t>Matt Frewer</t>
  </si>
  <si>
    <t>Watchmen </t>
  </si>
  <si>
    <t>Richard Donner</t>
  </si>
  <si>
    <t>Lethal Weapon 4 </t>
  </si>
  <si>
    <t>Ang Lee</t>
  </si>
  <si>
    <t>Kevin Rankin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</si>
  <si>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</si>
  <si>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</si>
  <si>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</si>
  <si>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</si>
  <si>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</si>
  <si>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</si>
  <si>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</si>
  <si>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</si>
  <si>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</si>
  <si>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Chris Evans</t>
  </si>
  <si>
    <t>Captain America: The First Avenger </t>
  </si>
  <si>
    <t>Colin Salmon</t>
  </si>
  <si>
    <t>The World Is Not Enough </t>
  </si>
  <si>
    <t>Peter Weir</t>
  </si>
  <si>
    <t>Action|Adventure|Drama|History|War</t>
  </si>
  <si>
    <t>James D'Arcy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</si>
  <si>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</si>
  <si>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</si>
  <si>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</si>
  <si>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</si>
  <si>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</si>
  <si>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</si>
  <si>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</si>
  <si>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</si>
  <si>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Mark Rylance</t>
  </si>
  <si>
    <t>The BFG </t>
  </si>
  <si>
    <t>Alejandro G. IÃ±Ã¡rritu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</si>
  <si>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</si>
  <si>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</si>
  <si>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</si>
  <si>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</si>
  <si>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</si>
  <si>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</si>
  <si>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</si>
  <si>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</si>
  <si>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</si>
  <si>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Matt Damon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</si>
  <si>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</si>
  <si>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</si>
  <si>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</si>
  <si>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</si>
  <si>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</si>
  <si>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</si>
  <si>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</si>
  <si>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</si>
  <si>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</si>
  <si>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Jim Parsons</t>
  </si>
  <si>
    <t>Home </t>
  </si>
  <si>
    <t>War of the Worlds </t>
  </si>
  <si>
    <t>Bad Boys II </t>
  </si>
  <si>
    <t>Salma Hayek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</si>
  <si>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</si>
  <si>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</si>
  <si>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</si>
  <si>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</si>
  <si>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</si>
  <si>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</si>
  <si>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</si>
  <si>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Toby Jones</t>
  </si>
  <si>
    <t>The Adventures of Tintin </t>
  </si>
  <si>
    <t>Alfonso CuarÃ³n</t>
  </si>
  <si>
    <t>Daniel Radcliffe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</si>
  <si>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</si>
  <si>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</si>
  <si>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</si>
  <si>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</si>
  <si>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</si>
  <si>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</si>
  <si>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Alfre Woodard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</si>
  <si>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</si>
  <si>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</si>
  <si>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</si>
  <si>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</si>
  <si>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</si>
  <si>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</si>
  <si>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</si>
  <si>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</si>
  <si>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</si>
  <si>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</si>
  <si>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</si>
  <si>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</si>
  <si>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</si>
  <si>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</si>
  <si>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</si>
  <si>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Miguel Ferrer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</si>
  <si>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</si>
  <si>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</si>
  <si>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</si>
  <si>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</si>
  <si>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</si>
  <si>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</si>
  <si>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</si>
  <si>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</si>
  <si>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Ronny Cox</t>
  </si>
  <si>
    <t>Total Recall </t>
  </si>
  <si>
    <t>John McTiernan</t>
  </si>
  <si>
    <t>Action|Adventure|History</t>
  </si>
  <si>
    <t>Tony Curran</t>
  </si>
  <si>
    <t>The 13th Warrior </t>
  </si>
  <si>
    <t>Tony Gilroy</t>
  </si>
  <si>
    <t>Jeremy Renner</t>
  </si>
  <si>
    <t>The Bourne Legacy </t>
  </si>
  <si>
    <t>Joel Schumacher</t>
  </si>
  <si>
    <t>Action</t>
  </si>
  <si>
    <t>Michael Gough</t>
  </si>
  <si>
    <t>Batman &amp; Robin </t>
  </si>
  <si>
    <t>Clint Howard</t>
  </si>
  <si>
    <t>How the Grinch Stole Christmas </t>
  </si>
  <si>
    <t>The Day After Tomorrow </t>
  </si>
  <si>
    <t>John Woo</t>
  </si>
  <si>
    <t>Mission: Impossible II </t>
  </si>
  <si>
    <t>Karen Allen</t>
  </si>
  <si>
    <t>The Perfect Storm </t>
  </si>
  <si>
    <t>Tim Story</t>
  </si>
  <si>
    <t>Fantastic 4: Rise of the Silver Surfer </t>
  </si>
  <si>
    <t>Adventure|Drama|Fantasy</t>
  </si>
  <si>
    <t>Suraj Sharma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</si>
  <si>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</si>
  <si>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</si>
  <si>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</si>
  <si>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</si>
  <si>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</si>
  <si>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</si>
  <si>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Demi Moore</t>
  </si>
  <si>
    <t>Charlie's Angels: Full Throttle </t>
  </si>
  <si>
    <t>Adventure|Mystery|Sci-Fi</t>
  </si>
  <si>
    <t>Michael Fassbender</t>
  </si>
  <si>
    <t>Prometheus </t>
  </si>
  <si>
    <t>Nathan Lane</t>
  </si>
  <si>
    <t>Stuart Little 2 </t>
  </si>
  <si>
    <t>Neill Blomkamp</t>
  </si>
  <si>
    <t>Action|Drama|Sci-Fi|Thriller</t>
  </si>
  <si>
    <t>Elysium </t>
  </si>
  <si>
    <t>David Twohy</t>
  </si>
  <si>
    <t>Vin Diesel</t>
  </si>
  <si>
    <t>The Chronicles of Riddick </t>
  </si>
  <si>
    <t>JosÃ© Padilha</t>
  </si>
  <si>
    <t>Action|Crime|Sci-Fi|Thriller</t>
  </si>
  <si>
    <t>RoboCop </t>
  </si>
  <si>
    <t>Action|Family|Sport</t>
  </si>
  <si>
    <t>Scott Porter</t>
  </si>
  <si>
    <t>Speed Racer </t>
  </si>
  <si>
    <t>James L. Brooks</t>
  </si>
  <si>
    <t>Comedy|Drama|Romance</t>
  </si>
  <si>
    <t>Shelley Conn</t>
  </si>
  <si>
    <t>How Do You Know </t>
  </si>
  <si>
    <t>James Mangold</t>
  </si>
  <si>
    <t>Action|Comedy|Romance</t>
  </si>
  <si>
    <t>Knight and Day </t>
  </si>
  <si>
    <t>Action|Adventure|Mystery|Sci-Fi</t>
  </si>
  <si>
    <t>Morgan Freeman</t>
  </si>
  <si>
    <t>Oblivion </t>
  </si>
  <si>
    <t>George Lucas</t>
  </si>
  <si>
    <t>Natalie Portman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</si>
  <si>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</si>
  <si>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</si>
  <si>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</si>
  <si>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</si>
  <si>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</si>
  <si>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</si>
  <si>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</si>
  <si>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</si>
  <si>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</si>
  <si>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</si>
  <si>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</si>
  <si>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Noel Fisher</t>
  </si>
  <si>
    <t>Teenage Mutant Ninja Turtles </t>
  </si>
  <si>
    <t>Adventure|Drama|Sci-Fi|Thriller</t>
  </si>
  <si>
    <t>Phaldut Sharma</t>
  </si>
  <si>
    <t>Gravity </t>
  </si>
  <si>
    <t>Roger Donaldson</t>
  </si>
  <si>
    <t>Jamie RenÃ©e Smith</t>
  </si>
  <si>
    <t>Dante's Peak </t>
  </si>
  <si>
    <t>Dave Green</t>
  </si>
  <si>
    <t>Stephen Amell</t>
  </si>
  <si>
    <t>Teenage Mutant Ninja Turtles: Out of the Shadows </t>
  </si>
  <si>
    <t>Josh Trank</t>
  </si>
  <si>
    <t>Tim Blake Nelson</t>
  </si>
  <si>
    <t>Fantastic Four </t>
  </si>
  <si>
    <t>Action|Adventure|Comedy|Family|Fantasy</t>
  </si>
  <si>
    <t>Night at the Museum </t>
  </si>
  <si>
    <t>Brad Peyton</t>
  </si>
  <si>
    <t>Dwayne Johnson</t>
  </si>
  <si>
    <t>San Andreas </t>
  </si>
  <si>
    <t>Roger Spottiswoode</t>
  </si>
  <si>
    <t>Vincent Schiavelli</t>
  </si>
  <si>
    <t>Tomorrow Never Dies </t>
  </si>
  <si>
    <t>Heath Ledger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</si>
  <si>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</si>
  <si>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</si>
  <si>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</si>
  <si>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</si>
  <si>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</si>
  <si>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</si>
  <si>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Kate Winslet</t>
  </si>
  <si>
    <t>Insurgent </t>
  </si>
  <si>
    <t>Biography|Drama</t>
  </si>
  <si>
    <t>The Aviator </t>
  </si>
  <si>
    <t>James Corden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</si>
  <si>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</si>
  <si>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</si>
  <si>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</si>
  <si>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</si>
  <si>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</si>
  <si>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</si>
  <si>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Eva Green</t>
  </si>
  <si>
    <t>300: Rise of an Empire </t>
  </si>
  <si>
    <t>Raja Gosnell</t>
  </si>
  <si>
    <t>Mahadeo Shivraj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</si>
  <si>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</si>
  <si>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</si>
  <si>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</si>
  <si>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</si>
  <si>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</si>
  <si>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</si>
  <si>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</si>
  <si>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</si>
  <si>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Jacob Tremblay</t>
  </si>
  <si>
    <t>The Smurfs 2 </t>
  </si>
  <si>
    <t>Jan de Bont</t>
  </si>
  <si>
    <t>Action|Crime|Romance|Thriller</t>
  </si>
  <si>
    <t>Jason Patric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</si>
  <si>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</si>
  <si>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</si>
  <si>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</si>
  <si>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</si>
  <si>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</si>
  <si>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</si>
  <si>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</si>
  <si>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</si>
  <si>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</si>
  <si>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</si>
  <si>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</si>
  <si>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</si>
  <si>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Sean Hayes</t>
  </si>
  <si>
    <t>The Cat in the Hat </t>
  </si>
  <si>
    <t>Action|Mystery|Sci-Fi|Thriller</t>
  </si>
  <si>
    <t>I, Robot </t>
  </si>
  <si>
    <t>Kingdom of Heaven </t>
  </si>
  <si>
    <t>Chazz Palminteri</t>
  </si>
  <si>
    <t>Stuart Little </t>
  </si>
  <si>
    <t>Ron Clements</t>
  </si>
  <si>
    <t>Animation|Family|Fantasy|Musical|Romance</t>
  </si>
  <si>
    <t>Oprah Winfrey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</si>
  <si>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</si>
  <si>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</si>
  <si>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</si>
  <si>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</si>
  <si>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</si>
  <si>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</si>
  <si>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Del Zamora</t>
  </si>
  <si>
    <t>Town &amp; Country </t>
  </si>
  <si>
    <t>Dominic Sena</t>
  </si>
  <si>
    <t>Gone in Sixty Seconds </t>
  </si>
  <si>
    <t>Action|Drama|Romance</t>
  </si>
  <si>
    <t>Djimon Hounsou</t>
  </si>
  <si>
    <t>Gladiator </t>
  </si>
  <si>
    <t>Minority Report </t>
  </si>
  <si>
    <t>Harry Potter and the Chamber of Secrets </t>
  </si>
  <si>
    <t>Casino Royale </t>
  </si>
  <si>
    <t>Cary-Hiroyuki Tagawa</t>
  </si>
  <si>
    <t>Planet of the Apes </t>
  </si>
  <si>
    <t>Joe Morton</t>
  </si>
  <si>
    <t>Terminator 2: Judgment Day </t>
  </si>
  <si>
    <t>Biography|Crime|Drama|History|Romance</t>
  </si>
  <si>
    <t>Public Enemies </t>
  </si>
  <si>
    <t>Biography|Crime|Drama</t>
  </si>
  <si>
    <t>Denzel Washington</t>
  </si>
  <si>
    <t>American Gangster </t>
  </si>
  <si>
    <t>Action|Comedy|Thriller</t>
  </si>
  <si>
    <t>Jamie Lee Curtis</t>
  </si>
  <si>
    <t>True Lies </t>
  </si>
  <si>
    <t>Tony Scott</t>
  </si>
  <si>
    <t>The Taking of Pelham 1 2 3 </t>
  </si>
  <si>
    <t>Paul Weitz</t>
  </si>
  <si>
    <t>Robert De Niro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</si>
  <si>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</si>
  <si>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</si>
  <si>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</si>
  <si>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</si>
  <si>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</si>
  <si>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</si>
  <si>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Vanessa Williams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</si>
  <si>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</si>
  <si>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</si>
  <si>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</si>
  <si>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</si>
  <si>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</si>
  <si>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</si>
  <si>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</si>
  <si>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</si>
  <si>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Eartha Kitt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</si>
  <si>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</si>
  <si>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</si>
  <si>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</si>
  <si>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</si>
  <si>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</si>
  <si>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</si>
  <si>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</si>
  <si>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</si>
  <si>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Catherine O'Hara</t>
  </si>
  <si>
    <t>Where the Wild Things Are </t>
  </si>
  <si>
    <t>Chris Wedge</t>
  </si>
  <si>
    <t>Josh Hutcherson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</si>
  <si>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</si>
  <si>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</si>
  <si>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</si>
  <si>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</si>
  <si>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</si>
  <si>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</si>
  <si>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</si>
  <si>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</si>
  <si>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</si>
  <si>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</si>
  <si>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</si>
  <si>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</si>
  <si>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</si>
  <si>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Jake Busey</t>
  </si>
  <si>
    <t>Starship Troopers </t>
  </si>
  <si>
    <t>Tom Tykwer</t>
  </si>
  <si>
    <t>Drama|Sci-Fi</t>
  </si>
  <si>
    <t>Cloud Atlas </t>
  </si>
  <si>
    <t>Action|Adventure|Animation|Family|Fantasy</t>
  </si>
  <si>
    <t>Abbie Cornish</t>
  </si>
  <si>
    <t>Legend of the Guardians: The Owls of Ga'Hoole </t>
  </si>
  <si>
    <t>Pitof</t>
  </si>
  <si>
    <t>Action|Crime|Fantasy|Romance|Thriller</t>
  </si>
  <si>
    <t>Frances Conroy</t>
  </si>
  <si>
    <t>Catwoman </t>
  </si>
  <si>
    <t>Hercules </t>
  </si>
  <si>
    <t>Treasure Planet </t>
  </si>
  <si>
    <t>Brad Silberling</t>
  </si>
  <si>
    <t>Adventure|Comedy|Sci-Fi</t>
  </si>
  <si>
    <t>Will Ferrell</t>
  </si>
  <si>
    <t>Land of the Lost </t>
  </si>
  <si>
    <t>Patrick Hughes</t>
  </si>
  <si>
    <t>The Expendables 3 </t>
  </si>
  <si>
    <t>Ericson Core</t>
  </si>
  <si>
    <t>Action|Crime|Sport|Thriller</t>
  </si>
  <si>
    <t>Ray Winstone</t>
  </si>
  <si>
    <t>Point Break </t>
  </si>
  <si>
    <t>Lawrence Guterman</t>
  </si>
  <si>
    <t>Jamie Kennedy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</si>
  <si>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</si>
  <si>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</si>
  <si>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</si>
  <si>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</si>
  <si>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</si>
  <si>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Rosario Dawson</t>
  </si>
  <si>
    <t>The Adventures of Pluto Nash </t>
  </si>
  <si>
    <t>Action|Drama|Thriller|War</t>
  </si>
  <si>
    <t>Green Zone </t>
  </si>
  <si>
    <t>Steve Martino</t>
  </si>
  <si>
    <t>Francesca Capaldi</t>
  </si>
  <si>
    <t>The Peanuts Movie </t>
  </si>
  <si>
    <t>David Mamet</t>
  </si>
  <si>
    <t>Drama|Mystery|Thriller</t>
  </si>
  <si>
    <t>Ben Gazzara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</si>
  <si>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</si>
  <si>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</si>
  <si>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</si>
  <si>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</si>
  <si>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</si>
  <si>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</si>
  <si>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</si>
  <si>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</si>
  <si>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</si>
  <si>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</si>
  <si>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</si>
  <si>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</si>
  <si>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</si>
  <si>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</si>
  <si>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Jon Lovitz</t>
  </si>
  <si>
    <t>The Stepford Wives </t>
  </si>
  <si>
    <t>Drama|History|War</t>
  </si>
  <si>
    <t>Ioan Gruffudd</t>
  </si>
  <si>
    <t>Black Hawk Down </t>
  </si>
  <si>
    <t>Jay Roach</t>
  </si>
  <si>
    <t>Comedy</t>
  </si>
  <si>
    <t>The Campaign </t>
  </si>
  <si>
    <t>Luc Besson</t>
  </si>
  <si>
    <t>Milla Jovovich</t>
  </si>
  <si>
    <t>The Fifth Element </t>
  </si>
  <si>
    <t>Michael Patrick King</t>
  </si>
  <si>
    <t>Chris Noth</t>
  </si>
  <si>
    <t>Sex and the City 2 </t>
  </si>
  <si>
    <t>Bibo Bergeron</t>
  </si>
  <si>
    <t>Adventure|Animation|Comedy|Family|Romance</t>
  </si>
  <si>
    <t>Frank Welker</t>
  </si>
  <si>
    <t>The Road to El Dorado </t>
  </si>
  <si>
    <t>Ice Age: Continental Drift </t>
  </si>
  <si>
    <t>Drama|Family|Fantasy|Romance</t>
  </si>
  <si>
    <t>Hayley Atwell</t>
  </si>
  <si>
    <t>Cinderella </t>
  </si>
  <si>
    <t>Drama|Fantasy|Thriller</t>
  </si>
  <si>
    <t>Michael Imperioli</t>
  </si>
  <si>
    <t>The Lovely Bones </t>
  </si>
  <si>
    <t>Alexander Gould</t>
  </si>
  <si>
    <t>Finding Nemo </t>
  </si>
  <si>
    <t>Orlando Bloom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</si>
  <si>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</si>
  <si>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</si>
  <si>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</si>
  <si>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</si>
  <si>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</si>
  <si>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</si>
  <si>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</si>
  <si>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</si>
  <si>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Michael Jeter</t>
  </si>
  <si>
    <t>Jurassic Park III </t>
  </si>
  <si>
    <t>Rupert Wyatt</t>
  </si>
  <si>
    <t>James Franco</t>
  </si>
  <si>
    <t>Rise of the Planet of the Apes </t>
  </si>
  <si>
    <t>Mark Waters</t>
  </si>
  <si>
    <t>Martin Short</t>
  </si>
  <si>
    <t>The Spiderwick Chronicles </t>
  </si>
  <si>
    <t>John Moore</t>
  </si>
  <si>
    <t>A Good Day to Die Hard </t>
  </si>
  <si>
    <t>John Lee Hancock</t>
  </si>
  <si>
    <t>Drama|History|War|Western</t>
  </si>
  <si>
    <t>Dennis Quaid</t>
  </si>
  <si>
    <t>The Alamo </t>
  </si>
  <si>
    <t>Action|Adventure|Animation|Family</t>
  </si>
  <si>
    <t>Holly Hunter</t>
  </si>
  <si>
    <t>The Incredibles </t>
  </si>
  <si>
    <t>Renny Harlin</t>
  </si>
  <si>
    <t>Christopher Masterson</t>
  </si>
  <si>
    <t>Cutthroat Island </t>
  </si>
  <si>
    <t>Logan Lerman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</si>
  <si>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</si>
  <si>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</si>
  <si>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</si>
  <si>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</si>
  <si>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</si>
  <si>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Mei MelanÃ§on</t>
  </si>
  <si>
    <t>Rush Hour 2 </t>
  </si>
  <si>
    <t>Drama|Fantasy|Horror|Mystery|Thriller</t>
  </si>
  <si>
    <t>What Lies Beneath </t>
  </si>
  <si>
    <t>Phil Lord</t>
  </si>
  <si>
    <t>Animation|Comedy|Family|Sci-Fi</t>
  </si>
  <si>
    <t>Will Forte</t>
  </si>
  <si>
    <t>Cloudy with a Chance of Meatballs </t>
  </si>
  <si>
    <t>Denis Leary</t>
  </si>
  <si>
    <t>Ice Age: Dawn of the Dinosaurs </t>
  </si>
  <si>
    <t>Ben Stiller</t>
  </si>
  <si>
    <t>Adventure|Comedy|Drama|Fantasy|Romance</t>
  </si>
  <si>
    <t>Adam Scott</t>
  </si>
  <si>
    <t>The Secret Life of Walter Mitty </t>
  </si>
  <si>
    <t>Action|Adventure|Comedy|Crime|Thriller</t>
  </si>
  <si>
    <t>Bill Murray</t>
  </si>
  <si>
    <t>Charlie's Angels </t>
  </si>
  <si>
    <t>Crime|Drama|Thriller</t>
  </si>
  <si>
    <t>The Departed </t>
  </si>
  <si>
    <t>Tony Bancroft</t>
  </si>
  <si>
    <t>Adventure|Animation|Family|Fantasy|Musical|War</t>
  </si>
  <si>
    <t>Ming-Na Wen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</si>
  <si>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</si>
  <si>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</si>
  <si>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</si>
  <si>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</si>
  <si>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</si>
  <si>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</si>
  <si>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</si>
  <si>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</si>
  <si>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Leonard Nimoy</t>
  </si>
  <si>
    <t>Atlantis: The Lost Empire </t>
  </si>
  <si>
    <t>Walt Becker</t>
  </si>
  <si>
    <t>Adventure|Animation|Comedy|Family|Fantasy|Music</t>
  </si>
  <si>
    <t>Bella Thorne</t>
  </si>
  <si>
    <t>Alvin and the Chipmunks: The Road Chip </t>
  </si>
  <si>
    <t>Drama|History|Thriller|War</t>
  </si>
  <si>
    <t>Valkyrie </t>
  </si>
  <si>
    <t>Dennis Dugan</t>
  </si>
  <si>
    <t>Adam Sandler</t>
  </si>
  <si>
    <t>You Don't Mess with the Zohan </t>
  </si>
  <si>
    <t>Action|Animation|Comedy|Sci-Fi</t>
  </si>
  <si>
    <t>Pixels </t>
  </si>
  <si>
    <t>Haley Joel Osment</t>
  </si>
  <si>
    <t>A.I. Artificial Intelligence </t>
  </si>
  <si>
    <t>Comedy|Family|Fantasy|Horror|Mystery</t>
  </si>
  <si>
    <t>Marsha Thomason</t>
  </si>
  <si>
    <t>The Haunted Mansion </t>
  </si>
  <si>
    <t>Drama|Mystery|Sci-Fi|Thriller</t>
  </si>
  <si>
    <t>Contact </t>
  </si>
  <si>
    <t>Action|Horror|Sci-Fi|Thriller</t>
  </si>
  <si>
    <t>Greg Grunberg</t>
  </si>
  <si>
    <t>Hollow Man </t>
  </si>
  <si>
    <t>Sydney Pollack</t>
  </si>
  <si>
    <t>Crime|Mystery|Thriller</t>
  </si>
  <si>
    <t>Curtiss Cook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</si>
  <si>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</si>
  <si>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</si>
  <si>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</si>
  <si>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</si>
  <si>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</si>
  <si>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</si>
  <si>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</si>
  <si>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Alun Armstrong</t>
  </si>
  <si>
    <t>The Saint </t>
  </si>
  <si>
    <t>Spy Game </t>
  </si>
  <si>
    <t>Brian De Palma</t>
  </si>
  <si>
    <t>Don Cheadle</t>
  </si>
  <si>
    <t>Mission to Mars </t>
  </si>
  <si>
    <t>Anne Hathaway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</si>
  <si>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</si>
  <si>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</si>
  <si>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</si>
  <si>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</si>
  <si>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</si>
  <si>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</si>
  <si>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</si>
  <si>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</si>
  <si>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</si>
  <si>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</si>
  <si>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William Smith</t>
  </si>
  <si>
    <t>Conan the Barbarian </t>
  </si>
  <si>
    <t>Paddy Considine</t>
  </si>
  <si>
    <t>Cinderella Man </t>
  </si>
  <si>
    <t>Andrey Konchalovskiy</t>
  </si>
  <si>
    <t>Action|Family|Fantasy|Musical</t>
  </si>
  <si>
    <t>Shirley Henderson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</si>
  <si>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</si>
  <si>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</si>
  <si>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</si>
  <si>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</si>
  <si>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</si>
  <si>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</si>
  <si>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</si>
  <si>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</si>
  <si>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</si>
  <si>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</si>
  <si>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</si>
  <si>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</si>
  <si>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</si>
  <si>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</si>
  <si>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</si>
  <si>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</si>
  <si>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</si>
  <si>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</si>
  <si>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Jeff Bennett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</si>
  <si>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</si>
  <si>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</si>
  <si>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</si>
  <si>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</si>
  <si>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</si>
  <si>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</si>
  <si>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</si>
  <si>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</si>
  <si>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</si>
  <si>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</si>
  <si>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Meryl Streep</t>
  </si>
  <si>
    <t>It's Complicated </t>
  </si>
  <si>
    <t>Al Pacino</t>
  </si>
  <si>
    <t>Ocean's Thirteen </t>
  </si>
  <si>
    <t>Roger Allers</t>
  </si>
  <si>
    <t>Open Season </t>
  </si>
  <si>
    <t>Neil Burger</t>
  </si>
  <si>
    <t>Divergent </t>
  </si>
  <si>
    <t>Jean-Jacques Annaud</t>
  </si>
  <si>
    <t>Bob Hoskins</t>
  </si>
  <si>
    <t>Enemy at the Gates </t>
  </si>
  <si>
    <t>The Rundown </t>
  </si>
  <si>
    <t>Action|Adventure|Comedy|Fantasy</t>
  </si>
  <si>
    <t>F. Murray Abraham</t>
  </si>
  <si>
    <t>Last Action Hero </t>
  </si>
  <si>
    <t>Li Gong</t>
  </si>
  <si>
    <t>Memoirs of a Geisha </t>
  </si>
  <si>
    <t>Amber Stevens West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</si>
  <si>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</si>
  <si>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</si>
  <si>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</si>
  <si>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</si>
  <si>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</si>
  <si>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</si>
  <si>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Raymond Cruz</t>
  </si>
  <si>
    <t>Collateral Damage </t>
  </si>
  <si>
    <t>Tarsem Singh</t>
  </si>
  <si>
    <t>Adventure|Comedy|Drama|Family|Fantasy</t>
  </si>
  <si>
    <t>Julia Roberts</t>
  </si>
  <si>
    <t>Mirror Mirror </t>
  </si>
  <si>
    <t>Edgar Wright</t>
  </si>
  <si>
    <t>Action|Comedy|Fantasy|Romance</t>
  </si>
  <si>
    <t>Anna Kendrick</t>
  </si>
  <si>
    <t>Scott Pilgrim vs. the World </t>
  </si>
  <si>
    <t>Jon Amiel</t>
  </si>
  <si>
    <t>The Core </t>
  </si>
  <si>
    <t>Peter Segal</t>
  </si>
  <si>
    <t>Comedy|Romance|Sci-Fi</t>
  </si>
  <si>
    <t>Larry Miller</t>
  </si>
  <si>
    <t>Nutty Professor II: The Klumps </t>
  </si>
  <si>
    <t>Adventure|Comedy|Mystery</t>
  </si>
  <si>
    <t>Sarah Michelle Gellar</t>
  </si>
  <si>
    <t>Scooby-Doo </t>
  </si>
  <si>
    <t>Pete Travis</t>
  </si>
  <si>
    <t>Wood Harris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</si>
  <si>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</si>
  <si>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</si>
  <si>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</si>
  <si>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</si>
  <si>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</si>
  <si>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Kristen Stewart</t>
  </si>
  <si>
    <t>Jumper </t>
  </si>
  <si>
    <t>Action|Adventure|Fantasy|Horror|Sci-Fi</t>
  </si>
  <si>
    <t>Seth MacFarlane</t>
  </si>
  <si>
    <t>Hellboy II: The Golden Army </t>
  </si>
  <si>
    <t>Crime|Drama|History|Mystery|Thriller</t>
  </si>
  <si>
    <t>Zodiac </t>
  </si>
  <si>
    <t>Robert Duvall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</si>
  <si>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</si>
  <si>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</si>
  <si>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</si>
  <si>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</si>
  <si>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</si>
  <si>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</si>
  <si>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</si>
  <si>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</si>
  <si>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</si>
  <si>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</si>
  <si>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</si>
  <si>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</si>
  <si>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Tia Carrere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</si>
  <si>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</si>
  <si>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</si>
  <si>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</si>
  <si>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</si>
  <si>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</si>
  <si>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</si>
  <si>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</si>
  <si>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</si>
  <si>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</si>
  <si>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</si>
  <si>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</si>
  <si>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</si>
  <si>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</si>
  <si>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</si>
  <si>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</si>
  <si>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</si>
  <si>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</si>
  <si>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</si>
  <si>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</si>
  <si>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</si>
  <si>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</si>
  <si>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</si>
  <si>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</si>
  <si>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</si>
  <si>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</si>
  <si>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</si>
  <si>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</si>
  <si>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</si>
  <si>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</si>
  <si>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</si>
  <si>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</si>
  <si>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</si>
  <si>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</si>
  <si>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</si>
  <si>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</si>
  <si>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</si>
  <si>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</si>
  <si>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</si>
  <si>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Roger Rees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</si>
  <si>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</si>
  <si>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</si>
  <si>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</si>
  <si>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</si>
  <si>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</si>
  <si>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</si>
  <si>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</si>
  <si>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</si>
  <si>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</si>
  <si>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</si>
  <si>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</si>
  <si>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</si>
  <si>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</si>
  <si>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</si>
  <si>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</si>
  <si>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</si>
  <si>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</si>
  <si>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</si>
  <si>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</si>
  <si>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</si>
  <si>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</si>
  <si>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</si>
  <si>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</si>
  <si>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</si>
  <si>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</si>
  <si>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Quincy Jones</t>
  </si>
  <si>
    <t>Fantasia 2000 </t>
  </si>
  <si>
    <t>The Time Machine </t>
  </si>
  <si>
    <t>Action|Adventure|Family|Fantasy|Thriller</t>
  </si>
  <si>
    <t>Charlize Theron</t>
  </si>
  <si>
    <t>Mighty Joe Young </t>
  </si>
  <si>
    <t>Swordfish </t>
  </si>
  <si>
    <t>Michael Emerson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</si>
  <si>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</si>
  <si>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</si>
  <si>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</si>
  <si>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</si>
  <si>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</si>
  <si>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</si>
  <si>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</si>
  <si>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</si>
  <si>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</si>
  <si>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</si>
  <si>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</si>
  <si>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</si>
  <si>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</si>
  <si>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</si>
  <si>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Bruce Greenwood</t>
  </si>
  <si>
    <t>Thirteen Days </t>
  </si>
  <si>
    <t>Daylight </t>
  </si>
  <si>
    <t>Barry Cook</t>
  </si>
  <si>
    <t>Adventure|Animation|Family</t>
  </si>
  <si>
    <t>Charlie Rowe</t>
  </si>
  <si>
    <t>Walking with Dinosaurs 3D </t>
  </si>
  <si>
    <t>Roger Christian</t>
  </si>
  <si>
    <t>Richard Tyson</t>
  </si>
  <si>
    <t>Battlefield Earth </t>
  </si>
  <si>
    <t>Joe Dante</t>
  </si>
  <si>
    <t>Brendan Fraser</t>
  </si>
  <si>
    <t>Looney Tunes: Back in Action </t>
  </si>
  <si>
    <t>Drama|Musical|Romance</t>
  </si>
  <si>
    <t>Fergie</t>
  </si>
  <si>
    <t>Nine </t>
  </si>
  <si>
    <t>Timeline </t>
  </si>
  <si>
    <t>Kevin Costner</t>
  </si>
  <si>
    <t>Olivia Williams</t>
  </si>
  <si>
    <t>The Postman </t>
  </si>
  <si>
    <t>Adam Goldberg</t>
  </si>
  <si>
    <t>Babe: Pig in the City </t>
  </si>
  <si>
    <t>The Last Witch Hunter </t>
  </si>
  <si>
    <t>Antony Hoffman</t>
  </si>
  <si>
    <t>Bob Neill</t>
  </si>
  <si>
    <t>Red Planet </t>
  </si>
  <si>
    <t>Mia Farrow</t>
  </si>
  <si>
    <t>Arthur and the Invisibles </t>
  </si>
  <si>
    <t>Jacques Perrin</t>
  </si>
  <si>
    <t>Documentary|Drama</t>
  </si>
  <si>
    <t>Pedro ArmendÃ¡riz Jr.</t>
  </si>
  <si>
    <t>Oceans </t>
  </si>
  <si>
    <t>French</t>
  </si>
  <si>
    <t>David Oyelowo</t>
  </si>
  <si>
    <t>A Sound of Thunder </t>
  </si>
  <si>
    <t>Action|Adventure|Drama|History|Romance</t>
  </si>
  <si>
    <t>Sasha Roiz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</si>
  <si>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</si>
  <si>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</si>
  <si>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</si>
  <si>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</si>
  <si>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</si>
  <si>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</si>
  <si>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</si>
  <si>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</si>
  <si>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</si>
  <si>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</si>
  <si>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</si>
  <si>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</si>
  <si>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</si>
  <si>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</si>
  <si>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</si>
  <si>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</si>
  <si>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</si>
  <si>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</si>
  <si>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</si>
  <si>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</si>
  <si>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</si>
  <si>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</si>
  <si>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Steve Coogan</t>
  </si>
  <si>
    <t>The Secret Life of Pets </t>
  </si>
  <si>
    <t>Stephen Norrington</t>
  </si>
  <si>
    <t>Jason Flemyng</t>
  </si>
  <si>
    <t>The League of Extraordinary Gentlemen </t>
  </si>
  <si>
    <t>Pierre Coffin</t>
  </si>
  <si>
    <t>Steve Carell</t>
  </si>
  <si>
    <t>Despicable Me 2 </t>
  </si>
  <si>
    <t>Independence Day </t>
  </si>
  <si>
    <t>Ariana Richards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</si>
  <si>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</si>
  <si>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</si>
  <si>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</si>
  <si>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</si>
  <si>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</si>
  <si>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</si>
  <si>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</si>
  <si>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</si>
  <si>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</si>
  <si>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</si>
  <si>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</si>
  <si>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Jerry Stiller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</si>
  <si>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</si>
  <si>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</si>
  <si>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</si>
  <si>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</si>
  <si>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</si>
  <si>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</si>
  <si>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</si>
  <si>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</si>
  <si>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</si>
  <si>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</si>
  <si>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</si>
  <si>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Nicholas Lea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</si>
  <si>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</si>
  <si>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</si>
  <si>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</si>
  <si>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</si>
  <si>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</si>
  <si>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</si>
  <si>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Loretta Devine</t>
  </si>
  <si>
    <t>Dreamgirls </t>
  </si>
  <si>
    <t>F. Gary Gray</t>
  </si>
  <si>
    <t>Comedy|Crime|Music</t>
  </si>
  <si>
    <t>Be Cool </t>
  </si>
  <si>
    <t>Ayelet Zurer</t>
  </si>
  <si>
    <t>Munich </t>
  </si>
  <si>
    <t>Antoine Fuqua</t>
  </si>
  <si>
    <t>Tears of the Sun </t>
  </si>
  <si>
    <t>Robert Luketic</t>
  </si>
  <si>
    <t>Action|Comedy|Romance|Thriller</t>
  </si>
  <si>
    <t>Tom Selleck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</si>
  <si>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</si>
  <si>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</si>
  <si>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</si>
  <si>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</si>
  <si>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</si>
  <si>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</si>
  <si>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</si>
  <si>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</si>
  <si>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</si>
  <si>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</si>
  <si>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</si>
  <si>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Julia Ormond</t>
  </si>
  <si>
    <t>First Knight </t>
  </si>
  <si>
    <t>Andy Tennant</t>
  </si>
  <si>
    <t>Drama|History|Romance</t>
  </si>
  <si>
    <t>Bai Ling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</si>
  <si>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</si>
  <si>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</si>
  <si>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</si>
  <si>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</si>
  <si>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</si>
  <si>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</si>
  <si>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</si>
  <si>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</si>
  <si>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</si>
  <si>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</si>
  <si>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</si>
  <si>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Connie Nielsen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</si>
  <si>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</si>
  <si>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</si>
  <si>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</si>
  <si>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</si>
  <si>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</si>
  <si>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</si>
  <si>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</si>
  <si>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</si>
  <si>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</si>
  <si>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</si>
  <si>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</si>
  <si>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Peter Coyote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</si>
  <si>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</si>
  <si>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</si>
  <si>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</si>
  <si>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</si>
  <si>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</si>
  <si>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</si>
  <si>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</si>
  <si>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</si>
  <si>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</si>
  <si>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</si>
  <si>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</si>
  <si>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</si>
  <si>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Raven-SymonÃ©</t>
  </si>
  <si>
    <t>Dr. Dolittle 2 </t>
  </si>
  <si>
    <t>Mel Gibson</t>
  </si>
  <si>
    <t>Biography|Drama|History|War</t>
  </si>
  <si>
    <t>Mhairi Calvey</t>
  </si>
  <si>
    <t>Braveheart </t>
  </si>
  <si>
    <t>Jarhead </t>
  </si>
  <si>
    <t>David Silverman</t>
  </si>
  <si>
    <t>Adventure|Animation|Comedy</t>
  </si>
  <si>
    <t>Albert Brooks</t>
  </si>
  <si>
    <t>The Simpsons Movie </t>
  </si>
  <si>
    <t>Frank Darabont</t>
  </si>
  <si>
    <t>Martin Landau</t>
  </si>
  <si>
    <t>The Majestic </t>
  </si>
  <si>
    <t>Action|Drama|Sport</t>
  </si>
  <si>
    <t>Driven </t>
  </si>
  <si>
    <t>Adventure|Drama|Family</t>
  </si>
  <si>
    <t>David Gant</t>
  </si>
  <si>
    <t>Two Brothers </t>
  </si>
  <si>
    <t>Drama|Mystery|Romance|Thriller</t>
  </si>
  <si>
    <t>The Village </t>
  </si>
  <si>
    <t>Betty Thomas</t>
  </si>
  <si>
    <t>Doctor Dolittle </t>
  </si>
  <si>
    <t>Rory Culkin</t>
  </si>
  <si>
    <t>Signs </t>
  </si>
  <si>
    <t>Adventure|Animation|Comedy|Family|Fantasy|Romance</t>
  </si>
  <si>
    <t>Rupert Everett</t>
  </si>
  <si>
    <t>Shrek 2 </t>
  </si>
  <si>
    <t>Cars </t>
  </si>
  <si>
    <t>Garry Marshall</t>
  </si>
  <si>
    <t>Runaway Bride </t>
  </si>
  <si>
    <t>xXx </t>
  </si>
  <si>
    <t>Paul Tibbitt</t>
  </si>
  <si>
    <t>Tim Conway</t>
  </si>
  <si>
    <t>The SpongeBob Movie: Sponge Out of Water </t>
  </si>
  <si>
    <t>Lili Taylor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</si>
  <si>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</si>
  <si>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</si>
  <si>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</si>
  <si>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</si>
  <si>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</si>
  <si>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</si>
  <si>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</si>
  <si>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</si>
  <si>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</si>
  <si>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</si>
  <si>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</si>
  <si>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</si>
  <si>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</si>
  <si>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Sanaa Lathan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</si>
  <si>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</si>
  <si>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</si>
  <si>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</si>
  <si>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</si>
  <si>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</si>
  <si>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</si>
  <si>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</si>
  <si>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LeVar Burton</t>
  </si>
  <si>
    <t>Star Trek: Insurrection </t>
  </si>
  <si>
    <t>Battle Los Angeles </t>
  </si>
  <si>
    <t>Big Fish </t>
  </si>
  <si>
    <t>Drama|Horror|Romance|Thriller</t>
  </si>
  <si>
    <t>David Hyde Pierce</t>
  </si>
  <si>
    <t>Wolf </t>
  </si>
  <si>
    <t>Drama|War</t>
  </si>
  <si>
    <t>Jeremy Irvine</t>
  </si>
  <si>
    <t>War Horse </t>
  </si>
  <si>
    <t>George Clooney</t>
  </si>
  <si>
    <t>The Monuments Men </t>
  </si>
  <si>
    <t>Michael Biehn</t>
  </si>
  <si>
    <t>The Abyss </t>
  </si>
  <si>
    <t>Drama</t>
  </si>
  <si>
    <t>Frank Langella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</si>
  <si>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</si>
  <si>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</si>
  <si>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</si>
  <si>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</si>
  <si>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</si>
  <si>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</si>
  <si>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</si>
  <si>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</si>
  <si>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</si>
  <si>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</si>
  <si>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</si>
  <si>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</si>
  <si>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</si>
  <si>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</si>
  <si>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Gary Cole</t>
  </si>
  <si>
    <t>I Spy </t>
  </si>
  <si>
    <t>MÃ¥ns MÃ¥rlind</t>
  </si>
  <si>
    <t>Action|Fantasy|Horror</t>
  </si>
  <si>
    <t>Theo James</t>
  </si>
  <si>
    <t>Underworld: Awakening </t>
  </si>
  <si>
    <t>Comedy|Drama|Musical|Romance</t>
  </si>
  <si>
    <t>James Martin Kelly</t>
  </si>
  <si>
    <t>Rock of Ages </t>
  </si>
  <si>
    <t>Gregory Hoblit</t>
  </si>
  <si>
    <t>Hart's War </t>
  </si>
  <si>
    <t>Gary McKendry</t>
  </si>
  <si>
    <t>Killer Elite </t>
  </si>
  <si>
    <t>Action|Sci-Fi|Sport</t>
  </si>
  <si>
    <t>LL Cool J</t>
  </si>
  <si>
    <t>Rollerball </t>
  </si>
  <si>
    <t>Wych Kaosayananda</t>
  </si>
  <si>
    <t>Talisa Soto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</si>
  <si>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</si>
  <si>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</si>
  <si>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</si>
  <si>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</si>
  <si>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</si>
  <si>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</si>
  <si>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</si>
  <si>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Lea Michele</t>
  </si>
  <si>
    <t>Legends of Oz: Dorothy's Return </t>
  </si>
  <si>
    <t>Blackhat </t>
  </si>
  <si>
    <t>Kerry Conran</t>
  </si>
  <si>
    <t>Sky Captain and the World of Tomorrow </t>
  </si>
  <si>
    <t>Michael Caton-Jones</t>
  </si>
  <si>
    <t>Charlotte Rampling</t>
  </si>
  <si>
    <t>Basic Instinct 2 </t>
  </si>
  <si>
    <t>Mikael HÃ¥fstrÃ¶m</t>
  </si>
  <si>
    <t>Action|Crime|Mystery|Sci-Fi|Thriller</t>
  </si>
  <si>
    <t>Escape Plan </t>
  </si>
  <si>
    <t>Roxanne McKee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</si>
  <si>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</si>
  <si>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</si>
  <si>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</si>
  <si>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</si>
  <si>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</si>
  <si>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</si>
  <si>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</si>
  <si>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</si>
  <si>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</si>
  <si>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Vincent Pastore</t>
  </si>
  <si>
    <t>Money Train </t>
  </si>
  <si>
    <t>Ted 2 </t>
  </si>
  <si>
    <t>Alejandro AmenÃ¡bar</t>
  </si>
  <si>
    <t>Adventure|Drama|History|Romance</t>
  </si>
  <si>
    <t>Max Minghella</t>
  </si>
  <si>
    <t>Agora </t>
  </si>
  <si>
    <t>Kinka Usher</t>
  </si>
  <si>
    <t>Mystery Men </t>
  </si>
  <si>
    <t>Jenna Fischer</t>
  </si>
  <si>
    <t>Hall Pass </t>
  </si>
  <si>
    <t>Biography|Drama|Thriller</t>
  </si>
  <si>
    <t>The Insider </t>
  </si>
  <si>
    <t>Body of Lies </t>
  </si>
  <si>
    <t>Rufus Sewell</t>
  </si>
  <si>
    <t>Abraham Lincoln: Vampire Hunter </t>
  </si>
  <si>
    <t>Will Patton</t>
  </si>
  <si>
    <t>Entrapment </t>
  </si>
  <si>
    <t>Rob Bowman</t>
  </si>
  <si>
    <t>The X Files </t>
  </si>
  <si>
    <t>Doug Lefler</t>
  </si>
  <si>
    <t>Action|Adventure|Fantasy|War</t>
  </si>
  <si>
    <t>Colin Firth</t>
  </si>
  <si>
    <t>The Last Legion </t>
  </si>
  <si>
    <t>Saving Private Ryan </t>
  </si>
  <si>
    <t>Scott Waugh</t>
  </si>
  <si>
    <t>Rami Malek</t>
  </si>
  <si>
    <t>Need for Speed </t>
  </si>
  <si>
    <t>Comedy|Fantasy|Romance</t>
  </si>
  <si>
    <t>What Women Want </t>
  </si>
  <si>
    <t>Goran Visnjic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</si>
  <si>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</si>
  <si>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</si>
  <si>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</si>
  <si>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</si>
  <si>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</si>
  <si>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</si>
  <si>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</si>
  <si>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</si>
  <si>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</si>
  <si>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Judge Reinhold</t>
  </si>
  <si>
    <t>The Santa Clause 2 </t>
  </si>
  <si>
    <t>Tom Hooper</t>
  </si>
  <si>
    <t>Les MisÃ©rables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</si>
  <si>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</si>
  <si>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</si>
  <si>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</si>
  <si>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</si>
  <si>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</si>
  <si>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</si>
  <si>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Biography|Drama|Sport|War</t>
  </si>
  <si>
    <t>Finn Wittrock</t>
  </si>
  <si>
    <t>Unbroken </t>
  </si>
  <si>
    <t>Clint Eastwood</t>
  </si>
  <si>
    <t>Space Cowboys </t>
  </si>
  <si>
    <t>Cliffhanger </t>
  </si>
  <si>
    <t>Delroy Lindo</t>
  </si>
  <si>
    <t>Broken Arrow </t>
  </si>
  <si>
    <t>The Kid </t>
  </si>
  <si>
    <t>World Trade Center </t>
  </si>
  <si>
    <t>Mona Lisa Smile </t>
  </si>
  <si>
    <t>Larry Charles</t>
  </si>
  <si>
    <t>Sayed Badreya</t>
  </si>
  <si>
    <t>The Dictator </t>
  </si>
  <si>
    <t>Stanley Kubrick</t>
  </si>
  <si>
    <t>Eyes Wide Shut </t>
  </si>
  <si>
    <t>Will Gluck</t>
  </si>
  <si>
    <t>Comedy|Drama|Family|Musical</t>
  </si>
  <si>
    <t>QuvenzhanÃ© Wallis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</si>
  <si>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</si>
  <si>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</si>
  <si>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</si>
  <si>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</si>
  <si>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</si>
  <si>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</si>
  <si>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</si>
  <si>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Maura Tierney</t>
  </si>
  <si>
    <t>Primary Colors </t>
  </si>
  <si>
    <t>Resident Evil: Retribution </t>
  </si>
  <si>
    <t>Death Race </t>
  </si>
  <si>
    <t>Melina Kanakaredes</t>
  </si>
  <si>
    <t>The Long Kiss Goodnight </t>
  </si>
  <si>
    <t>Taylor Hackford</t>
  </si>
  <si>
    <t>Pamela Reed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</si>
  <si>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</si>
  <si>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</si>
  <si>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</si>
  <si>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</si>
  <si>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</si>
  <si>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</si>
  <si>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</si>
  <si>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Michael Rapaport</t>
  </si>
  <si>
    <t>Lucky Numbers </t>
  </si>
  <si>
    <t>Stuart Beattie</t>
  </si>
  <si>
    <t>Action|Fantasy|Sci-Fi|Thriller</t>
  </si>
  <si>
    <t>Caitlin Stasey</t>
  </si>
  <si>
    <t>I, Frankenstein </t>
  </si>
  <si>
    <t>Roman Polanski</t>
  </si>
  <si>
    <t>Ian McNeice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</si>
  <si>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</si>
  <si>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</si>
  <si>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</si>
  <si>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</si>
  <si>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</si>
  <si>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</si>
  <si>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KormÃ¡kur</t>
  </si>
  <si>
    <t>Adventure|Biography|Drama|History|Sport|Thriller</t>
  </si>
  <si>
    <t>Michael Kelly</t>
  </si>
  <si>
    <t>Everest </t>
  </si>
  <si>
    <t>Crime|Drama|Fantasy</t>
  </si>
  <si>
    <t>Michael Smiley</t>
  </si>
  <si>
    <t>Perfume: The Story of a Murderer </t>
  </si>
  <si>
    <t>Verne Troyer</t>
  </si>
  <si>
    <t>Austin Powers in Goldmember </t>
  </si>
  <si>
    <t>Astro Boy </t>
  </si>
  <si>
    <t>Wayne Knight</t>
  </si>
  <si>
    <t>Jurassic Park </t>
  </si>
  <si>
    <t>Adventure|Biography|Crime|Drama|Western</t>
  </si>
  <si>
    <t>Wyatt Earp </t>
  </si>
  <si>
    <t>Clear and Present Danger </t>
  </si>
  <si>
    <t>Daniel Lee</t>
  </si>
  <si>
    <t>Si Won Choi</t>
  </si>
  <si>
    <t>Dragon Blade </t>
  </si>
  <si>
    <t>Keenen Ivory Wayans</t>
  </si>
  <si>
    <t>Littleman </t>
  </si>
  <si>
    <t>Action|War</t>
  </si>
  <si>
    <t>U-571 </t>
  </si>
  <si>
    <t>Rob Reiner</t>
  </si>
  <si>
    <t>Shawna Waldron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</si>
  <si>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</si>
  <si>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</si>
  <si>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</si>
  <si>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</si>
  <si>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</si>
  <si>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</si>
  <si>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</si>
  <si>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Craig Stark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</si>
  <si>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</si>
  <si>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</si>
  <si>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</si>
  <si>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</si>
  <si>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</si>
  <si>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</si>
  <si>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</si>
  <si>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</si>
  <si>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</si>
  <si>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</si>
  <si>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Eric Dane</t>
  </si>
  <si>
    <t>Marley &amp; Me </t>
  </si>
  <si>
    <t>Crime|Drama|Fantasy|Mystery</t>
  </si>
  <si>
    <t>The Green Mile </t>
  </si>
  <si>
    <t>Chicken Little </t>
  </si>
  <si>
    <t>Patrick Fugit</t>
  </si>
  <si>
    <t>Gone Girl </t>
  </si>
  <si>
    <t>The Bourne Identity </t>
  </si>
  <si>
    <t>Izabella Scorupco</t>
  </si>
  <si>
    <t>GoldenEye </t>
  </si>
  <si>
    <t>Daniel von Bargen</t>
  </si>
  <si>
    <t>The General's Daughter </t>
  </si>
  <si>
    <t>Natascha McElhone</t>
  </si>
  <si>
    <t>The Truman Show </t>
  </si>
  <si>
    <t>Brenda Chapman</t>
  </si>
  <si>
    <t>Adventure|Animation|Biography|Drama|Family|Fantasy|Musical</t>
  </si>
  <si>
    <t>The Prince of Egypt </t>
  </si>
  <si>
    <t>Anjelica Huston</t>
  </si>
  <si>
    <t>Daddy Day Care </t>
  </si>
  <si>
    <t>2 Guns </t>
  </si>
  <si>
    <t>Carol Ann Susi</t>
  </si>
  <si>
    <t>Cats &amp; Dogs </t>
  </si>
  <si>
    <t>The Italian Job </t>
  </si>
  <si>
    <t>Marc Lawrence</t>
  </si>
  <si>
    <t>Dorian Missick</t>
  </si>
  <si>
    <t>Two Weeks Notice </t>
  </si>
  <si>
    <t>Antz </t>
  </si>
  <si>
    <t>Peter Billingsley</t>
  </si>
  <si>
    <t>Couples Retreat </t>
  </si>
  <si>
    <t>Days of Thunder </t>
  </si>
  <si>
    <t>Taylor Lautner</t>
  </si>
  <si>
    <t>Cheaper by the Dozen 2 </t>
  </si>
  <si>
    <t>Wes Ball</t>
  </si>
  <si>
    <t>Ki Hong Lee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</si>
  <si>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</si>
  <si>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</si>
  <si>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</si>
  <si>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</si>
  <si>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</si>
  <si>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</si>
  <si>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</si>
  <si>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</si>
  <si>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</si>
  <si>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</si>
  <si>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</si>
  <si>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</si>
  <si>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Billy Burke</t>
  </si>
  <si>
    <t>Ladder 49 </t>
  </si>
  <si>
    <t>Jack Reacher </t>
  </si>
  <si>
    <t>Deep Blue Sea </t>
  </si>
  <si>
    <t>Kenny Ortega</t>
  </si>
  <si>
    <t>Documentary|Music</t>
  </si>
  <si>
    <t>Misha Gabriel Hamilton</t>
  </si>
  <si>
    <t>This Is It </t>
  </si>
  <si>
    <t>Drama|Thriller</t>
  </si>
  <si>
    <t>Contagion </t>
  </si>
  <si>
    <t>David McNally</t>
  </si>
  <si>
    <t>Estella Warren</t>
  </si>
  <si>
    <t>Kangaroo Jack </t>
  </si>
  <si>
    <t>Animation|Family|Fantasy</t>
  </si>
  <si>
    <t>Jennifer Saunders</t>
  </si>
  <si>
    <t>Coraline </t>
  </si>
  <si>
    <t>Zooey Deschanel</t>
  </si>
  <si>
    <t>The Happening </t>
  </si>
  <si>
    <t>Man on Fire </t>
  </si>
  <si>
    <t>Brian Robbins</t>
  </si>
  <si>
    <t>The Shaggy Dog </t>
  </si>
  <si>
    <t>Snoop Dogg</t>
  </si>
  <si>
    <t>Starsky &amp; Hutch </t>
  </si>
  <si>
    <t>Brian Levant</t>
  </si>
  <si>
    <t>Jim Belushi</t>
  </si>
  <si>
    <t>Jingle All the Way </t>
  </si>
  <si>
    <t>Action|Fantasy|Horror|Sci-Fi</t>
  </si>
  <si>
    <t>James Babson</t>
  </si>
  <si>
    <t>Hellboy </t>
  </si>
  <si>
    <t>Steven Zaillian</t>
  </si>
  <si>
    <t>A Civil Action </t>
  </si>
  <si>
    <t>Chris Butler</t>
  </si>
  <si>
    <t>ParaNorman </t>
  </si>
  <si>
    <t>The Jackal </t>
  </si>
  <si>
    <t>Ivana Milicevic</t>
  </si>
  <si>
    <t>Paycheck </t>
  </si>
  <si>
    <t>Jon Avnet</t>
  </si>
  <si>
    <t>Up Close &amp; Personal </t>
  </si>
  <si>
    <t>Sam Fell</t>
  </si>
  <si>
    <t>Emma Watson</t>
  </si>
  <si>
    <t>The Tale of Despereaux </t>
  </si>
  <si>
    <t>Kevin Donovan</t>
  </si>
  <si>
    <t>Romany Malco</t>
  </si>
  <si>
    <t>The Tuxedo </t>
  </si>
  <si>
    <t>Geoff Murphy</t>
  </si>
  <si>
    <t>Peter Greene</t>
  </si>
  <si>
    <t>Under Siege 2: Dark Territory </t>
  </si>
  <si>
    <t>Colm Feore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</si>
  <si>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</si>
  <si>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</si>
  <si>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</si>
  <si>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</si>
  <si>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</si>
  <si>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</si>
  <si>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</si>
  <si>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</si>
  <si>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Gary Dourdan</t>
  </si>
  <si>
    <t>Alien: Resurrection </t>
  </si>
  <si>
    <t>Tate Donovan</t>
  </si>
  <si>
    <t>Shooter </t>
  </si>
  <si>
    <t>Graham Annable</t>
  </si>
  <si>
    <t>Isaac Hempstead Wright</t>
  </si>
  <si>
    <t>The Boxtrolls </t>
  </si>
  <si>
    <t>Griffin Dunne</t>
  </si>
  <si>
    <t>Practical Magic </t>
  </si>
  <si>
    <t>The Lego Movie </t>
  </si>
  <si>
    <t>John Pasquin</t>
  </si>
  <si>
    <t>Eileen Brennan</t>
  </si>
  <si>
    <t>Miss Congeniality 2: Armed and Fabulous </t>
  </si>
  <si>
    <t>Reign of Fire </t>
  </si>
  <si>
    <t>Ruben Fleischer</t>
  </si>
  <si>
    <t>Ryan Gosling</t>
  </si>
  <si>
    <t>Gangster Squad </t>
  </si>
  <si>
    <t>Harold Ramis</t>
  </si>
  <si>
    <t>Adventure|Comedy</t>
  </si>
  <si>
    <t>Olivia Wilde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</si>
  <si>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</si>
  <si>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</si>
  <si>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</si>
  <si>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</si>
  <si>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</si>
  <si>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</si>
  <si>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Steven Anthony Lawrence</t>
  </si>
  <si>
    <t>My Favorite Martian </t>
  </si>
  <si>
    <t>Blair Brown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</si>
  <si>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</si>
  <si>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</si>
  <si>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</si>
  <si>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</si>
  <si>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</si>
  <si>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</si>
  <si>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</si>
  <si>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Cedric the Entertainer</t>
  </si>
  <si>
    <t>Intolerable Cruelty </t>
  </si>
  <si>
    <t>Bojana Novakovic</t>
  </si>
  <si>
    <t>Edge of Darkness </t>
  </si>
  <si>
    <t>Horror|Mystery|Sci-Fi|Thriller</t>
  </si>
  <si>
    <t>John Kapelos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</si>
  <si>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</si>
  <si>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</si>
  <si>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</si>
  <si>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</si>
  <si>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</si>
  <si>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</si>
  <si>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</si>
  <si>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</si>
  <si>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</si>
  <si>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</si>
  <si>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</si>
  <si>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Sunny Mabrey</t>
  </si>
  <si>
    <t>xXx: State of the Union </t>
  </si>
  <si>
    <t>Scott Stewart</t>
  </si>
  <si>
    <t>Action|Fantasy|Horror|Sci-Fi|Thriller</t>
  </si>
  <si>
    <t>Josh Wingate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</si>
  <si>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</si>
  <si>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</si>
  <si>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</si>
  <si>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</si>
  <si>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</si>
  <si>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Sean Pertwee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</si>
  <si>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</si>
  <si>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</si>
  <si>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</si>
  <si>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</si>
  <si>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</si>
  <si>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</si>
  <si>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</si>
  <si>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</si>
  <si>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Clifton Collins Jr.</t>
  </si>
  <si>
    <t>The Last Castle </t>
  </si>
  <si>
    <t>Walter Hill</t>
  </si>
  <si>
    <t>Robert Forster</t>
  </si>
  <si>
    <t>Supernova </t>
  </si>
  <si>
    <t>Akiva Goldsman</t>
  </si>
  <si>
    <t>Drama|Fantasy|Mystery|Romance</t>
  </si>
  <si>
    <t>Matt Bomer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</si>
  <si>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</si>
  <si>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</si>
  <si>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</si>
  <si>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</si>
  <si>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</si>
  <si>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Marc Blucas</t>
  </si>
  <si>
    <t>Meet Dave </t>
  </si>
  <si>
    <t>Walter Salles</t>
  </si>
  <si>
    <t>Drama|Horror|Thriller</t>
  </si>
  <si>
    <t>Dougray Scott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</si>
  <si>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</si>
  <si>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</si>
  <si>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</si>
  <si>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</si>
  <si>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</si>
  <si>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</si>
  <si>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</si>
  <si>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</si>
  <si>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</si>
  <si>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</si>
  <si>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</si>
  <si>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</si>
  <si>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</si>
  <si>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</si>
  <si>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</si>
  <si>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</si>
  <si>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</si>
  <si>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</si>
  <si>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Kelly Preston</t>
  </si>
  <si>
    <t>Holy Man </t>
  </si>
  <si>
    <t>Action|Biography|Drama|History|Thriller|War</t>
  </si>
  <si>
    <t>American Sniper </t>
  </si>
  <si>
    <t>Adventure|Comedy|Family|Fantasy|Horror</t>
  </si>
  <si>
    <t>Odeya Rush</t>
  </si>
  <si>
    <t>Goosebumps </t>
  </si>
  <si>
    <t>Jon Heder</t>
  </si>
  <si>
    <t>Just Like Heaven </t>
  </si>
  <si>
    <t>Comedy|Family|Romance|Sci-Fi</t>
  </si>
  <si>
    <t>Taylor Negron</t>
  </si>
  <si>
    <t>The Flintstones in Viva Rock Vegas </t>
  </si>
  <si>
    <t>Peter MacDonald</t>
  </si>
  <si>
    <t>Action|Adventure|Thriller|War</t>
  </si>
  <si>
    <t>Rambo III </t>
  </si>
  <si>
    <t>Comedy|Drama|Romance|Sport</t>
  </si>
  <si>
    <t>Robert Baker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</si>
  <si>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</si>
  <si>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</si>
  <si>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</si>
  <si>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</si>
  <si>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</si>
  <si>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</si>
  <si>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</si>
  <si>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</si>
  <si>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</si>
  <si>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</si>
  <si>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</si>
  <si>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</si>
  <si>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</si>
  <si>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</si>
  <si>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</si>
  <si>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</si>
  <si>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</si>
  <si>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</si>
  <si>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</si>
  <si>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</si>
  <si>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</si>
  <si>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</si>
  <si>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</si>
  <si>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Jesse McCartney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</si>
  <si>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</si>
  <si>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</si>
  <si>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</si>
  <si>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</si>
  <si>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</si>
  <si>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</si>
  <si>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Marlon Brando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</si>
  <si>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</si>
  <si>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</si>
  <si>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</si>
  <si>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</si>
  <si>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</si>
  <si>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</si>
  <si>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</si>
  <si>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Alyson Hannigan</t>
  </si>
  <si>
    <t>American Wedding </t>
  </si>
  <si>
    <t>Captain Phillips </t>
  </si>
  <si>
    <t>Mila Kunis</t>
  </si>
  <si>
    <t>Date Night </t>
  </si>
  <si>
    <t>Eric Idle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</si>
  <si>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</si>
  <si>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</si>
  <si>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</si>
  <si>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</si>
  <si>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</si>
  <si>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</si>
  <si>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</si>
  <si>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Erika Christensen</t>
  </si>
  <si>
    <t>Flightplan </t>
  </si>
  <si>
    <t>Disclosure </t>
  </si>
  <si>
    <t>City of Angels </t>
  </si>
  <si>
    <t>David Carradine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</si>
  <si>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</si>
  <si>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</si>
  <si>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</si>
  <si>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</si>
  <si>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</si>
  <si>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</si>
  <si>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</si>
  <si>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Xander Berkeley</t>
  </si>
  <si>
    <t>Shanghai Noon </t>
  </si>
  <si>
    <t>Executive Decision </t>
  </si>
  <si>
    <t>Madeline Carroll</t>
  </si>
  <si>
    <t>Mr. Popper's Penguins </t>
  </si>
  <si>
    <t>The Forbidden Kingdom </t>
  </si>
  <si>
    <t>Jimmy Hayward</t>
  </si>
  <si>
    <t>Free Birds </t>
  </si>
  <si>
    <t>Charles S. Dutton</t>
  </si>
  <si>
    <t>Alien 3 </t>
  </si>
  <si>
    <t>Alan Parker</t>
  </si>
  <si>
    <t>Biography|Drama|History|Musical</t>
  </si>
  <si>
    <t>Andrea Corr</t>
  </si>
  <si>
    <t>Evita </t>
  </si>
  <si>
    <t>John Frankenheimer</t>
  </si>
  <si>
    <t>Ronin </t>
  </si>
  <si>
    <t>Adventure|Drama|Horror|Thriller</t>
  </si>
  <si>
    <t>Tom Wilkinson</t>
  </si>
  <si>
    <t>The Ghost and the Darkness </t>
  </si>
  <si>
    <t>Paul King</t>
  </si>
  <si>
    <t>Julie Walters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</si>
  <si>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</si>
  <si>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</si>
  <si>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</si>
  <si>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</si>
  <si>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</si>
  <si>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</si>
  <si>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</si>
  <si>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</si>
  <si>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</si>
  <si>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</si>
  <si>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</si>
  <si>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</si>
  <si>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</si>
  <si>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</si>
  <si>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</si>
  <si>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</si>
  <si>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</si>
  <si>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</si>
  <si>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Eddie Redmayne</t>
  </si>
  <si>
    <t>Elizabeth: The Golden Age </t>
  </si>
  <si>
    <t>Karyn Kusama</t>
  </si>
  <si>
    <t>Ã†on Flux </t>
  </si>
  <si>
    <t>Ron Maxwell</t>
  </si>
  <si>
    <t>Billy Campbell</t>
  </si>
  <si>
    <t>Gods and Generals </t>
  </si>
  <si>
    <t>Robert Butler</t>
  </si>
  <si>
    <t>Hector Elizondo</t>
  </si>
  <si>
    <t>Turbulence </t>
  </si>
  <si>
    <t>Karey Kirkpatrick</t>
  </si>
  <si>
    <t>Comedy|Drama|Family|Fantasy</t>
  </si>
  <si>
    <t>Stephen Root</t>
  </si>
  <si>
    <t>Imagine That </t>
  </si>
  <si>
    <t>Adventure|Comedy|Crime|Family|Musical</t>
  </si>
  <si>
    <t>Muppets Most Wanted </t>
  </si>
  <si>
    <t>Sophia Myles</t>
  </si>
  <si>
    <t>Thunderbirds </t>
  </si>
  <si>
    <t>Steve Antin</t>
  </si>
  <si>
    <t>Drama|Music|Musical|Romance</t>
  </si>
  <si>
    <t>Burlesque </t>
  </si>
  <si>
    <t>Drama|Mystery|Romance|War</t>
  </si>
  <si>
    <t>Denis Lavant</t>
  </si>
  <si>
    <t>A Very Long Engagement </t>
  </si>
  <si>
    <t>Norman Reedus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</si>
  <si>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</si>
  <si>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</si>
  <si>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</si>
  <si>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</si>
  <si>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</si>
  <si>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</si>
  <si>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Todd Stashwick</t>
  </si>
  <si>
    <t>You, Me and Dupree </t>
  </si>
  <si>
    <t>Richard Lester</t>
  </si>
  <si>
    <t>Action|Adventure|Romance|Sci-Fi</t>
  </si>
  <si>
    <t>Margot Kidder</t>
  </si>
  <si>
    <t>Superman II </t>
  </si>
  <si>
    <t>Todd Giebenhain</t>
  </si>
  <si>
    <t>Gigli </t>
  </si>
  <si>
    <t>All the King's Men </t>
  </si>
  <si>
    <t>Shaft </t>
  </si>
  <si>
    <t>Adventure|Animation|Drama|Family|Fantasy|Musical|Mystery|Romance</t>
  </si>
  <si>
    <t>Kirsten Dunst</t>
  </si>
  <si>
    <t>Anastasia </t>
  </si>
  <si>
    <t>Romance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</si>
  <si>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</si>
  <si>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</si>
  <si>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</si>
  <si>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</si>
  <si>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</si>
  <si>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</si>
  <si>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</si>
  <si>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</si>
  <si>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</si>
  <si>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</si>
  <si>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</si>
  <si>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</si>
  <si>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</si>
  <si>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</si>
  <si>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</si>
  <si>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Jennifer Ehle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</si>
  <si>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</si>
  <si>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</si>
  <si>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</si>
  <si>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</si>
  <si>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</si>
  <si>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</si>
  <si>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</si>
  <si>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Alice Greczyn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</si>
  <si>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</si>
  <si>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</si>
  <si>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</si>
  <si>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</si>
  <si>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</si>
  <si>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</si>
  <si>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Matt Price</t>
  </si>
  <si>
    <t>Man on the Moon </t>
  </si>
  <si>
    <t>Casino </t>
  </si>
  <si>
    <t>Pierre Morel</t>
  </si>
  <si>
    <t>Kasia Smutniak</t>
  </si>
  <si>
    <t>From Paris with Love </t>
  </si>
  <si>
    <t>Paul Hunter</t>
  </si>
  <si>
    <t>Jaime King</t>
  </si>
  <si>
    <t>Bulletproof Monk </t>
  </si>
  <si>
    <t>Me, Myself &amp; Irene </t>
  </si>
  <si>
    <t>Steve Oedekerk</t>
  </si>
  <si>
    <t>Rob Paulsen</t>
  </si>
  <si>
    <t>Barnyard </t>
  </si>
  <si>
    <t>The Twilight Saga: New Moon </t>
  </si>
  <si>
    <t>Kathleen Freeman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</si>
  <si>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</si>
  <si>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</si>
  <si>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</si>
  <si>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</si>
  <si>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</si>
  <si>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</si>
  <si>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</si>
  <si>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Lupe Ontiveros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</si>
  <si>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</si>
  <si>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</si>
  <si>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</si>
  <si>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</si>
  <si>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</si>
  <si>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</si>
  <si>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Joel Courtney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</si>
  <si>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</si>
  <si>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</si>
  <si>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</si>
  <si>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</si>
  <si>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</si>
  <si>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</si>
  <si>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</si>
  <si>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</si>
  <si>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</si>
  <si>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</si>
  <si>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</si>
  <si>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</si>
  <si>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</si>
  <si>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</si>
  <si>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</si>
  <si>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</si>
  <si>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</si>
  <si>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Bill Duke</t>
  </si>
  <si>
    <t>Payback </t>
  </si>
  <si>
    <t>Frank Marshall</t>
  </si>
  <si>
    <t>Dylan Walsh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</si>
  <si>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</si>
  <si>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</si>
  <si>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</si>
  <si>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</si>
  <si>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</si>
  <si>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</si>
  <si>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</si>
  <si>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</si>
  <si>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</si>
  <si>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</si>
  <si>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</si>
  <si>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</si>
  <si>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</si>
  <si>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</si>
  <si>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</si>
  <si>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</si>
  <si>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</si>
  <si>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</si>
  <si>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Fann Wong</t>
  </si>
  <si>
    <t>Shanghai Knights </t>
  </si>
  <si>
    <t>Matthew O'Callaghan</t>
  </si>
  <si>
    <t>Curious George </t>
  </si>
  <si>
    <t>Angela Robinson</t>
  </si>
  <si>
    <t>Adventure|Comedy|Family|Fantasy|Romance|Sport</t>
  </si>
  <si>
    <t>Scoot McNairy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</si>
  <si>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</si>
  <si>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</si>
  <si>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</si>
  <si>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</si>
  <si>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</si>
  <si>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</si>
  <si>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Olivier Martinez</t>
  </si>
  <si>
    <t>Unfaithful </t>
  </si>
  <si>
    <t>Alex Pettyfer</t>
  </si>
  <si>
    <t>I Am Number Four </t>
  </si>
  <si>
    <t>Stephen Gaghan</t>
  </si>
  <si>
    <t>Syriana </t>
  </si>
  <si>
    <t>13 Hours </t>
  </si>
  <si>
    <t>Jorge R. GutiÃ©rrez</t>
  </si>
  <si>
    <t>The Book of Life </t>
  </si>
  <si>
    <t>Richard Loncraine</t>
  </si>
  <si>
    <t>Firewall </t>
  </si>
  <si>
    <t>Absolute Power </t>
  </si>
  <si>
    <t>Viggo Mortensen</t>
  </si>
  <si>
    <t>G.I. Jane </t>
  </si>
  <si>
    <t>Deborah Kara Unger</t>
  </si>
  <si>
    <t>The Game </t>
  </si>
  <si>
    <t>Christophe Gans</t>
  </si>
  <si>
    <t>Adventure|Horror|Mystery</t>
  </si>
  <si>
    <t>Radha Mitchell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</si>
  <si>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</si>
  <si>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</si>
  <si>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</si>
  <si>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</si>
  <si>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</si>
  <si>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</si>
  <si>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</si>
  <si>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Matt Walsh</t>
  </si>
  <si>
    <t>Into the Storm </t>
  </si>
  <si>
    <t>John Landis</t>
  </si>
  <si>
    <t>Louis Lombardi</t>
  </si>
  <si>
    <t>Beverly Hills Cop III </t>
  </si>
  <si>
    <t>Gremlins 2: The New Batch </t>
  </si>
  <si>
    <t>The Judge </t>
  </si>
  <si>
    <t>Armin Mueller-Stahl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</si>
  <si>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</si>
  <si>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</si>
  <si>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</si>
  <si>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</si>
  <si>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</si>
  <si>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</si>
  <si>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</si>
  <si>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</si>
  <si>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</si>
  <si>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Mike Starr</t>
  </si>
  <si>
    <t>On Deadly Ground </t>
  </si>
  <si>
    <t>The Adventures of Sharkboy and Lavagirl 3-D </t>
  </si>
  <si>
    <t>Danny Boyle</t>
  </si>
  <si>
    <t>The Beach </t>
  </si>
  <si>
    <t>Amber Valletta</t>
  </si>
  <si>
    <t>Raising Helen </t>
  </si>
  <si>
    <t>ShÃ´ Kosugi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</si>
  <si>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</si>
  <si>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</si>
  <si>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</si>
  <si>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</si>
  <si>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</si>
  <si>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</si>
  <si>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</si>
  <si>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</si>
  <si>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</si>
  <si>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</si>
  <si>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Muse Watson</t>
  </si>
  <si>
    <t>Assassins </t>
  </si>
  <si>
    <t>Peter Webber</t>
  </si>
  <si>
    <t>Hannibal Rising </t>
  </si>
  <si>
    <t>The Story of Us </t>
  </si>
  <si>
    <t>Andrew Niccol</t>
  </si>
  <si>
    <t>J.D. Evermore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</si>
  <si>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</si>
  <si>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</si>
  <si>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</si>
  <si>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</si>
  <si>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</si>
  <si>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</si>
  <si>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</si>
  <si>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</si>
  <si>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</si>
  <si>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</si>
  <si>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</si>
  <si>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</si>
  <si>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</si>
  <si>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Christina Milian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</si>
  <si>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</si>
  <si>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</si>
  <si>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</si>
  <si>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</si>
  <si>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</si>
  <si>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</si>
  <si>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Paul Brooke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</si>
  <si>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</si>
  <si>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</si>
  <si>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</si>
  <si>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</si>
  <si>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</si>
  <si>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</si>
  <si>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</si>
  <si>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Mia Kirshner</t>
  </si>
  <si>
    <t>Mad City </t>
  </si>
  <si>
    <t>Patrick Read Johnson</t>
  </si>
  <si>
    <t>Adventure|Comedy|Crime|Drama|Family</t>
  </si>
  <si>
    <t>Baby's Day Out </t>
  </si>
  <si>
    <t>Roland JoffÃ©</t>
  </si>
  <si>
    <t>The Scarlet Letter </t>
  </si>
  <si>
    <t>Fair Game </t>
  </si>
  <si>
    <t>Action|Biography|Crime|Drama|Thriller</t>
  </si>
  <si>
    <t>Ian Ziering</t>
  </si>
  <si>
    <t>Domino </t>
  </si>
  <si>
    <t>Jade </t>
  </si>
  <si>
    <t>Gamer </t>
  </si>
  <si>
    <t>Richard LaGravenese</t>
  </si>
  <si>
    <t>Alden Ehrenreich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</si>
  <si>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</si>
  <si>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</si>
  <si>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</si>
  <si>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</si>
  <si>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</si>
  <si>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</si>
  <si>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</si>
  <si>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</si>
  <si>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</si>
  <si>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</si>
  <si>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Chris Klein</t>
  </si>
  <si>
    <t>Street Fighter: The Legend of Chun-Li </t>
  </si>
  <si>
    <t>James Wong</t>
  </si>
  <si>
    <t>The One </t>
  </si>
  <si>
    <t>Action|Adventure|Comedy|Crime|Music|Mystery</t>
  </si>
  <si>
    <t>Lauren Holly</t>
  </si>
  <si>
    <t>The Adventures of Ford Fairlane </t>
  </si>
  <si>
    <t>Michael O'Neill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</si>
  <si>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</si>
  <si>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</si>
  <si>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</si>
  <si>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</si>
  <si>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</si>
  <si>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</si>
  <si>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</si>
  <si>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</si>
  <si>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</si>
  <si>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Corinna Harney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</si>
  <si>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</si>
  <si>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</si>
  <si>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</si>
  <si>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</si>
  <si>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</si>
  <si>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</si>
  <si>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</si>
  <si>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</si>
  <si>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</si>
  <si>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</si>
  <si>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</si>
  <si>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</si>
  <si>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</si>
  <si>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</si>
  <si>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</si>
  <si>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</si>
  <si>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Charlie Korsmo</t>
  </si>
  <si>
    <t>Dick Tracy </t>
  </si>
  <si>
    <t>Crime|Romance|Thriller</t>
  </si>
  <si>
    <t>Mark Margolis</t>
  </si>
  <si>
    <t>The Thomas Crown Affair </t>
  </si>
  <si>
    <t>Penny Marshall</t>
  </si>
  <si>
    <t>Rosie Perez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</si>
  <si>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</si>
  <si>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</si>
  <si>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</si>
  <si>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</si>
  <si>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</si>
  <si>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</si>
  <si>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</si>
  <si>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</si>
  <si>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</si>
  <si>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</si>
  <si>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</si>
  <si>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</si>
  <si>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</si>
  <si>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</si>
  <si>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</si>
  <si>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</si>
  <si>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</si>
  <si>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</si>
  <si>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Joseph Gilgun</t>
  </si>
  <si>
    <t>The Infiltrator </t>
  </si>
  <si>
    <t>Jonathan Winters</t>
  </si>
  <si>
    <t>The Flintstones </t>
  </si>
  <si>
    <t>Taken 2 </t>
  </si>
  <si>
    <t>David Zucker</t>
  </si>
  <si>
    <t>Regina Hall</t>
  </si>
  <si>
    <t>Scary Movie 3 </t>
  </si>
  <si>
    <t>Action|Comedy|Crime|Romance</t>
  </si>
  <si>
    <t>Candice Bergen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</si>
  <si>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</si>
  <si>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</si>
  <si>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</si>
  <si>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</si>
  <si>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</si>
  <si>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Bradley Whitford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</si>
  <si>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</si>
  <si>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</si>
  <si>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</si>
  <si>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</si>
  <si>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</si>
  <si>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</si>
  <si>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</si>
  <si>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</si>
  <si>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Natasha Lyonne</t>
  </si>
  <si>
    <t>Scary Movie 2 </t>
  </si>
  <si>
    <t>Adventure|Comedy|Family|Musical</t>
  </si>
  <si>
    <t>Bill Cobbs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</si>
  <si>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</si>
  <si>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</si>
  <si>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</si>
  <si>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</si>
  <si>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</si>
  <si>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</si>
  <si>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</si>
  <si>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</si>
  <si>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</si>
  <si>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</si>
  <si>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</si>
  <si>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Adam Garcia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</si>
  <si>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</si>
  <si>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</si>
  <si>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</si>
  <si>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</si>
  <si>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</si>
  <si>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</si>
  <si>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</si>
  <si>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Don Johnson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</si>
  <si>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</si>
  <si>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</si>
  <si>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</si>
  <si>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</si>
  <si>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</si>
  <si>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</si>
  <si>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Dania Ramirez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</si>
  <si>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</si>
  <si>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</si>
  <si>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</si>
  <si>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</si>
  <si>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</si>
  <si>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</si>
  <si>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</si>
  <si>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</si>
  <si>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DemiÃ¡n Bichir</t>
  </si>
  <si>
    <t>Savages </t>
  </si>
  <si>
    <t>David R. Ellis</t>
  </si>
  <si>
    <t>Richard Burgi</t>
  </si>
  <si>
    <t>Cellular </t>
  </si>
  <si>
    <t>Peter Howitt</t>
  </si>
  <si>
    <t>Kevin McNally</t>
  </si>
  <si>
    <t>Johnny English </t>
  </si>
  <si>
    <t>John A. Davis</t>
  </si>
  <si>
    <t>The Ant Bully </t>
  </si>
  <si>
    <t>David Lynch</t>
  </si>
  <si>
    <t>Virginia Madsen</t>
  </si>
  <si>
    <t>Dune </t>
  </si>
  <si>
    <t>Julie Taymor</t>
  </si>
  <si>
    <t>Drama|Fantasy|Musical|Romance</t>
  </si>
  <si>
    <t>Jim Sturgess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</si>
  <si>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</si>
  <si>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</si>
  <si>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</si>
  <si>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</si>
  <si>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</si>
  <si>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</si>
  <si>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Alexa PenaVega</t>
  </si>
  <si>
    <t>The Glimmer Man </t>
  </si>
  <si>
    <t>John de Lancie</t>
  </si>
  <si>
    <t>Multiplicity </t>
  </si>
  <si>
    <t>John Schultz</t>
  </si>
  <si>
    <t>Adventure|Comedy|Family|Fantasy|Sci-Fi</t>
  </si>
  <si>
    <t>Malese Jow</t>
  </si>
  <si>
    <t>Aliens in the Attic </t>
  </si>
  <si>
    <t>Sean Penn</t>
  </si>
  <si>
    <t>Costas Mandylor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</si>
  <si>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</si>
  <si>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</si>
  <si>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</si>
  <si>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</si>
  <si>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</si>
  <si>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</si>
  <si>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</si>
  <si>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</si>
  <si>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</si>
  <si>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</si>
  <si>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</si>
  <si>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</si>
  <si>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</si>
  <si>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</si>
  <si>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</si>
  <si>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</si>
  <si>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</si>
  <si>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</si>
  <si>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</si>
  <si>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Marcela Mar</t>
  </si>
  <si>
    <t>Love in the Time of Cholera </t>
  </si>
  <si>
    <t>George P. Cosmatos</t>
  </si>
  <si>
    <t>Sam Waterston</t>
  </si>
  <si>
    <t>Shadow Conspiracy </t>
  </si>
  <si>
    <t>Oliver Parker</t>
  </si>
  <si>
    <t>Daniel Kaluuya</t>
  </si>
  <si>
    <t>Johnny English Reborn </t>
  </si>
  <si>
    <t>Ben Affleck</t>
  </si>
  <si>
    <t>Biography|Drama|History|Thriller</t>
  </si>
  <si>
    <t>Clea DuVall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</si>
  <si>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</si>
  <si>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</si>
  <si>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</si>
  <si>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</si>
  <si>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</si>
  <si>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</si>
  <si>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</si>
  <si>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</si>
  <si>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</si>
  <si>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</si>
  <si>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Mel Blanc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</si>
  <si>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</si>
  <si>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</si>
  <si>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</si>
  <si>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</si>
  <si>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</si>
  <si>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</si>
  <si>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</si>
  <si>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</si>
  <si>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</si>
  <si>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</si>
  <si>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</si>
  <si>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</si>
  <si>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Judith Chapman</t>
  </si>
  <si>
    <t>The Sweetest Thing </t>
  </si>
  <si>
    <t>The Firm </t>
  </si>
  <si>
    <t>Burr Steers</t>
  </si>
  <si>
    <t>Augustus Prew</t>
  </si>
  <si>
    <t>Charlie St. Cloud </t>
  </si>
  <si>
    <t>The Mechanic </t>
  </si>
  <si>
    <t>21 Jump Street </t>
  </si>
  <si>
    <t>Notting Hill </t>
  </si>
  <si>
    <t>Imelda Staunton</t>
  </si>
  <si>
    <t>Chicken Run </t>
  </si>
  <si>
    <t>John Hamburg</t>
  </si>
  <si>
    <t>Along Came Polly </t>
  </si>
  <si>
    <t>Reginald Hudlin</t>
  </si>
  <si>
    <t>John Witherspoon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</si>
  <si>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</si>
  <si>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</si>
  <si>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</si>
  <si>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</si>
  <si>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</si>
  <si>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</si>
  <si>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</si>
  <si>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</si>
  <si>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</si>
  <si>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</si>
  <si>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</si>
  <si>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Debra Messing</t>
  </si>
  <si>
    <t>The Mothman Prophecies </t>
  </si>
  <si>
    <t>Bono</t>
  </si>
  <si>
    <t>BrÃ¼no </t>
  </si>
  <si>
    <t>John Glen</t>
  </si>
  <si>
    <t>Robert Davi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</si>
  <si>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</si>
  <si>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</si>
  <si>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</si>
  <si>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</si>
  <si>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</si>
  <si>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</si>
  <si>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</si>
  <si>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</si>
  <si>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</si>
  <si>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</si>
  <si>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Fisher Stevens</t>
  </si>
  <si>
    <t>One for the Money </t>
  </si>
  <si>
    <t>Evan Goldberg</t>
  </si>
  <si>
    <t>The Interview </t>
  </si>
  <si>
    <t>Sngmoo Lee</t>
  </si>
  <si>
    <t>Action|Fantasy|Western</t>
  </si>
  <si>
    <t>Tony Cox</t>
  </si>
  <si>
    <t>The Warrior's Way </t>
  </si>
  <si>
    <t>Omar Sy</t>
  </si>
  <si>
    <t>Micmacs </t>
  </si>
  <si>
    <t>Drama|Music</t>
  </si>
  <si>
    <t>Mekhi Phifer</t>
  </si>
  <si>
    <t>8 Mile </t>
  </si>
  <si>
    <t>A Knight's Tale </t>
  </si>
  <si>
    <t>Gordon Chan</t>
  </si>
  <si>
    <t>Julian Sands</t>
  </si>
  <si>
    <t>The Medallion </t>
  </si>
  <si>
    <t>The Sixth Sense </t>
  </si>
  <si>
    <t>Asger Leth</t>
  </si>
  <si>
    <t>Robert Clohessy</t>
  </si>
  <si>
    <t>Man on a Ledge </t>
  </si>
  <si>
    <t>Joel McHale</t>
  </si>
  <si>
    <t>The Big Year </t>
  </si>
  <si>
    <t>John G. Avildsen</t>
  </si>
  <si>
    <t>Action|Drama|Family|Sport</t>
  </si>
  <si>
    <t>Martin Kove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</si>
  <si>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</si>
  <si>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</si>
  <si>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</si>
  <si>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</si>
  <si>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</si>
  <si>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</si>
  <si>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Lea Thompson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</si>
  <si>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</si>
  <si>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</si>
  <si>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</si>
  <si>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</si>
  <si>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</si>
  <si>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</si>
  <si>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Tom Welling</t>
  </si>
  <si>
    <t>Cheaper by the Dozen </t>
  </si>
  <si>
    <t>Action|Biography|Drama|Thriller|War</t>
  </si>
  <si>
    <t>Jerry Ferrara</t>
  </si>
  <si>
    <t>Lone Survivor </t>
  </si>
  <si>
    <t>Comedy|Drama|Sport</t>
  </si>
  <si>
    <t>A League of Their Own </t>
  </si>
  <si>
    <t>Javier Botet</t>
  </si>
  <si>
    <t>The Conjuring 2 </t>
  </si>
  <si>
    <t>Andrew Garfield</t>
  </si>
  <si>
    <t>The Social Network </t>
  </si>
  <si>
    <t>Ken Kwapis</t>
  </si>
  <si>
    <t>Carmen Perez</t>
  </si>
  <si>
    <t>He's Just Not That Into You </t>
  </si>
  <si>
    <t>Beau Mirchoff</t>
  </si>
  <si>
    <t>Scary Movie 4 </t>
  </si>
  <si>
    <t>Wes Craven</t>
  </si>
  <si>
    <t>Horror|Mystery</t>
  </si>
  <si>
    <t>Kelly Rutherford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</si>
  <si>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</si>
  <si>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</si>
  <si>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</si>
  <si>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</si>
  <si>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</si>
  <si>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</si>
  <si>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</si>
  <si>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</si>
  <si>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</si>
  <si>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</si>
  <si>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</si>
  <si>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</si>
  <si>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</si>
  <si>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</si>
  <si>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Olivia Munn</t>
  </si>
  <si>
    <t>Ride Along 2 </t>
  </si>
  <si>
    <t>Action|Adventure|Drama|Romance|War</t>
  </si>
  <si>
    <t>Wes Studi</t>
  </si>
  <si>
    <t>The Last of the Mohicans </t>
  </si>
  <si>
    <t>Bokeem Woodbine</t>
  </si>
  <si>
    <t>Ray </t>
  </si>
  <si>
    <t>Sin City </t>
  </si>
  <si>
    <t>Vantage Point </t>
  </si>
  <si>
    <t>I Love You, Man </t>
  </si>
  <si>
    <t>Jason Alexander</t>
  </si>
  <si>
    <t>Shallow Hal </t>
  </si>
  <si>
    <t>Sally Kirkland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</si>
  <si>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</si>
  <si>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</si>
  <si>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</si>
  <si>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</si>
  <si>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</si>
  <si>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</si>
  <si>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Matthew Perry</t>
  </si>
  <si>
    <t>17 Again </t>
  </si>
  <si>
    <t>Nick Cassavetes</t>
  </si>
  <si>
    <t>The Other Woman </t>
  </si>
  <si>
    <t>Horror</t>
  </si>
  <si>
    <t>Krista Allen</t>
  </si>
  <si>
    <t>The Final Destination </t>
  </si>
  <si>
    <t>Bridge of Spies </t>
  </si>
  <si>
    <t>Joaquim de Almeida</t>
  </si>
  <si>
    <t>Behind Enemy Lines </t>
  </si>
  <si>
    <t>Lisa Ann Walter</t>
  </si>
  <si>
    <t>Shall We Dance </t>
  </si>
  <si>
    <t>Small Soldiers </t>
  </si>
  <si>
    <t>Mark A.Z. DippÃ©</t>
  </si>
  <si>
    <t>Michael Jai White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</si>
  <si>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</si>
  <si>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</si>
  <si>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</si>
  <si>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</si>
  <si>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</si>
  <si>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</si>
  <si>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</si>
  <si>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</si>
  <si>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</si>
  <si>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Rudy Youngblood</t>
  </si>
  <si>
    <t>Apocalypto </t>
  </si>
  <si>
    <t>Maya</t>
  </si>
  <si>
    <t>Joe Don Baker</t>
  </si>
  <si>
    <t>The Living Daylights </t>
  </si>
  <si>
    <t>NimrÃ³d Antal</t>
  </si>
  <si>
    <t>Topher Grace</t>
  </si>
  <si>
    <t>Predators </t>
  </si>
  <si>
    <t>Brian Dennehy</t>
  </si>
  <si>
    <t>Legal Eagles </t>
  </si>
  <si>
    <t>Secret Window </t>
  </si>
  <si>
    <t>Alejandro Agresti</t>
  </si>
  <si>
    <t>The Lake House </t>
  </si>
  <si>
    <t>Gena Rowlands</t>
  </si>
  <si>
    <t>The Skeleton Key </t>
  </si>
  <si>
    <t>Peter Hedges</t>
  </si>
  <si>
    <t>The Odd Life of Timothy Green </t>
  </si>
  <si>
    <t>Paul Weiland</t>
  </si>
  <si>
    <t>Busy Philipps</t>
  </si>
  <si>
    <t>Made of Honor </t>
  </si>
  <si>
    <t>Biography|Drama|Music|Musical</t>
  </si>
  <si>
    <t>Johnny Cannizzaro</t>
  </si>
  <si>
    <t>Jersey Boys </t>
  </si>
  <si>
    <t>The Rainmaker </t>
  </si>
  <si>
    <t>Gothika </t>
  </si>
  <si>
    <t>Drama|History</t>
  </si>
  <si>
    <t>Amistad </t>
  </si>
  <si>
    <t>Lorraine Bracco</t>
  </si>
  <si>
    <t>Medicine Man </t>
  </si>
  <si>
    <t>Colin Strause</t>
  </si>
  <si>
    <t>Sam Trammell</t>
  </si>
  <si>
    <t>Aliens vs. Predator: Requiem </t>
  </si>
  <si>
    <t>Macaulay Culkin</t>
  </si>
  <si>
    <t>Ri¢hie Ri¢h </t>
  </si>
  <si>
    <t>Joan Chen</t>
  </si>
  <si>
    <t>Autumn in New York </t>
  </si>
  <si>
    <t>Greg Mottola</t>
  </si>
  <si>
    <t>Bobby Lee</t>
  </si>
  <si>
    <t>Paul </t>
  </si>
  <si>
    <t>Miriam Margolyes</t>
  </si>
  <si>
    <t>The Guilt Trip </t>
  </si>
  <si>
    <t>Alison Brie</t>
  </si>
  <si>
    <t>Scream 4 </t>
  </si>
  <si>
    <t>8MM </t>
  </si>
  <si>
    <t>Michael Wincott</t>
  </si>
  <si>
    <t>The Doors </t>
  </si>
  <si>
    <t>Jake Kasdan</t>
  </si>
  <si>
    <t>James Wilcox</t>
  </si>
  <si>
    <t>Sex Tape </t>
  </si>
  <si>
    <t>Diane Keaton</t>
  </si>
  <si>
    <t>Adam Arkin</t>
  </si>
  <si>
    <t>Hanging Up </t>
  </si>
  <si>
    <t>Emma Bell</t>
  </si>
  <si>
    <t>Final Destination 5 </t>
  </si>
  <si>
    <t>Kelly Makin</t>
  </si>
  <si>
    <t>Mickey Blue Eyes </t>
  </si>
  <si>
    <t>Pay It Forward </t>
  </si>
  <si>
    <t>Jimmy Fallon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</si>
  <si>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</si>
  <si>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</si>
  <si>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</si>
  <si>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</si>
  <si>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</si>
  <si>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</si>
  <si>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</si>
  <si>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</si>
  <si>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</si>
  <si>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Noah Bean</t>
  </si>
  <si>
    <t>Morning Glory </t>
  </si>
  <si>
    <t>Biography|Crime|Drama|Music</t>
  </si>
  <si>
    <t>50 Cent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</si>
  <si>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</si>
  <si>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</si>
  <si>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</si>
  <si>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</si>
  <si>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</si>
  <si>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</si>
  <si>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Oliver Hudson</t>
  </si>
  <si>
    <t>The Out-of-Towners </t>
  </si>
  <si>
    <t>The Island of Dr. Moreau </t>
  </si>
  <si>
    <t>Catherine Deneuve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</si>
  <si>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</si>
  <si>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</si>
  <si>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</si>
  <si>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</si>
  <si>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</si>
  <si>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</si>
  <si>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Stephen Rea</t>
  </si>
  <si>
    <t>The Reaping </t>
  </si>
  <si>
    <t>Mean Streets </t>
  </si>
  <si>
    <t>Renaissance Man </t>
  </si>
  <si>
    <t>Jordi MollÃ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</si>
  <si>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</si>
  <si>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</si>
  <si>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</si>
  <si>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</si>
  <si>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</si>
  <si>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</si>
  <si>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Mira Sorvino</t>
  </si>
  <si>
    <t>At First Sight </t>
  </si>
  <si>
    <t>Joseph Kahn</t>
  </si>
  <si>
    <t>Dane Cook</t>
  </si>
  <si>
    <t>Torque </t>
  </si>
  <si>
    <t>City Hall </t>
  </si>
  <si>
    <t>Bobbie Phillips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</si>
  <si>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</si>
  <si>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</si>
  <si>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</si>
  <si>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</si>
  <si>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</si>
  <si>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</si>
  <si>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</si>
  <si>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</si>
  <si>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</si>
  <si>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</si>
  <si>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Carol Kane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</si>
  <si>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</si>
  <si>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</si>
  <si>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</si>
  <si>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</si>
  <si>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</si>
  <si>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Richard Epcar</t>
  </si>
  <si>
    <t>Memoirs of an Invisible Man </t>
  </si>
  <si>
    <t>AmÃ©lie </t>
  </si>
  <si>
    <t>Dennie Gordon</t>
  </si>
  <si>
    <t>Comedy|Crime|Family|Romance</t>
  </si>
  <si>
    <t>Mary-Kate Olsen</t>
  </si>
  <si>
    <t>New York Minute </t>
  </si>
  <si>
    <t>Charles Shyer</t>
  </si>
  <si>
    <t>Omar Epps</t>
  </si>
  <si>
    <t>Alfie </t>
  </si>
  <si>
    <t>Ted Danson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</si>
  <si>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</si>
  <si>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</si>
  <si>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</si>
  <si>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</si>
  <si>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</si>
  <si>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</si>
  <si>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</si>
  <si>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Justin Theroux</t>
  </si>
  <si>
    <t>Duplex </t>
  </si>
  <si>
    <t>Jerry Jameson</t>
  </si>
  <si>
    <t>M. Emmet Walsh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</si>
  <si>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</si>
  <si>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</si>
  <si>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</si>
  <si>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</si>
  <si>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</si>
  <si>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</si>
  <si>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</si>
  <si>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</si>
  <si>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PoirÃ©</t>
  </si>
  <si>
    <t>Comedy|Fantasy|Sci-Fi</t>
  </si>
  <si>
    <t>Bridgette Wilson-Sampras</t>
  </si>
  <si>
    <t>Just Visiting </t>
  </si>
  <si>
    <t>Sunshine </t>
  </si>
  <si>
    <t>John Gatins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</si>
  <si>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</si>
  <si>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</si>
  <si>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</si>
  <si>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</si>
  <si>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</si>
  <si>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</si>
  <si>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</si>
  <si>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</si>
  <si>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Sarah Roemer</t>
  </si>
  <si>
    <t>Disturbia </t>
  </si>
  <si>
    <t>Hackers </t>
  </si>
  <si>
    <t>Richard Shepard</t>
  </si>
  <si>
    <t>Adventure|Comedy|Drama|Romance|Thriller|War</t>
  </si>
  <si>
    <t>James Brolin</t>
  </si>
  <si>
    <t>The Hunting Party </t>
  </si>
  <si>
    <t>Jennifer Jason Leigh</t>
  </si>
  <si>
    <t>The Hudsucker Proxy </t>
  </si>
  <si>
    <t>Peter Ho-Sun Chan</t>
  </si>
  <si>
    <t>The Warlords </t>
  </si>
  <si>
    <t>Jay Hernandez</t>
  </si>
  <si>
    <t>Nomad: The Warrior </t>
  </si>
  <si>
    <t>Kazakh</t>
  </si>
  <si>
    <t>Joon-ho Bong</t>
  </si>
  <si>
    <t>Snowpiercer </t>
  </si>
  <si>
    <t>Action|Drama|Fantasy</t>
  </si>
  <si>
    <t>The Crow </t>
  </si>
  <si>
    <t>S.S. Rajamouli</t>
  </si>
  <si>
    <t>Action|Adventure|Drama|Fantasy|War</t>
  </si>
  <si>
    <t>Tamannaah Bhatia</t>
  </si>
  <si>
    <t>Baahubali: The Beginning </t>
  </si>
  <si>
    <t>Telugu</t>
  </si>
  <si>
    <t>Drama|Fantasy|Romance|Sci-Fi</t>
  </si>
  <si>
    <t>Arliss Howard</t>
  </si>
  <si>
    <t>The Time Traveler's Wife </t>
  </si>
  <si>
    <t>Animation|Comedy|Family|Horror|Sci-Fi</t>
  </si>
  <si>
    <t>Frankenweenie </t>
  </si>
  <si>
    <t>Adam Baldwin</t>
  </si>
  <si>
    <t>Serenity </t>
  </si>
  <si>
    <t>Biography|Drama|Romance|Sport</t>
  </si>
  <si>
    <t>Against the Ropes </t>
  </si>
  <si>
    <t>Superman III </t>
  </si>
  <si>
    <t>Grudge Match </t>
  </si>
  <si>
    <t>Takeshi Kaneshiro</t>
  </si>
  <si>
    <t>Red Cliff </t>
  </si>
  <si>
    <t>Ethan Embry</t>
  </si>
  <si>
    <t>Sweet Home Alabama </t>
  </si>
  <si>
    <t>The Ugly Truth </t>
  </si>
  <si>
    <t>Jonathan Lynn</t>
  </si>
  <si>
    <t>Austin Pendleton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</si>
  <si>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</si>
  <si>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</si>
  <si>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</si>
  <si>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</si>
  <si>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</si>
  <si>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</si>
  <si>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Tony Chiu Wai Leung</t>
  </si>
  <si>
    <t>The Grandmaster </t>
  </si>
  <si>
    <t>Water for Elephants </t>
  </si>
  <si>
    <t>Norman Jewison</t>
  </si>
  <si>
    <t>The Hurricane </t>
  </si>
  <si>
    <t>Enough </t>
  </si>
  <si>
    <t>David Mirkin</t>
  </si>
  <si>
    <t>Sarah Silverman</t>
  </si>
  <si>
    <t>Heartbreakers </t>
  </si>
  <si>
    <t>D.B. Woodside</t>
  </si>
  <si>
    <t>Paul Blart: Mall Cop 2 </t>
  </si>
  <si>
    <t>Luis Mandoki</t>
  </si>
  <si>
    <t>Sonia Braga</t>
  </si>
  <si>
    <t>Angel Eyes </t>
  </si>
  <si>
    <t>Joe Somebody </t>
  </si>
  <si>
    <t>The Ninth Gate </t>
  </si>
  <si>
    <t>Extreme Measures </t>
  </si>
  <si>
    <t>Beth Grant</t>
  </si>
  <si>
    <t>Rock Star </t>
  </si>
  <si>
    <t>Lee Daniels</t>
  </si>
  <si>
    <t>Mo'Nique</t>
  </si>
  <si>
    <t>Precious </t>
  </si>
  <si>
    <t>Adventure|Drama</t>
  </si>
  <si>
    <t>White Squall </t>
  </si>
  <si>
    <t>Horror|Mystery|Sci-Fi</t>
  </si>
  <si>
    <t>Wilford Brimley</t>
  </si>
  <si>
    <t>The Thing </t>
  </si>
  <si>
    <t>Riddick </t>
  </si>
  <si>
    <t>Jeb Stuart</t>
  </si>
  <si>
    <t>Gregory Scott Cummins</t>
  </si>
  <si>
    <t>Switchback </t>
  </si>
  <si>
    <t>Steve Miner</t>
  </si>
  <si>
    <t>Action|Adventure|Drama|Thriller|Western</t>
  </si>
  <si>
    <t>Tom Skerritt</t>
  </si>
  <si>
    <t>Texas Rangers </t>
  </si>
  <si>
    <t>Adventure|Family|Fantasy|Sci-Fi</t>
  </si>
  <si>
    <t>City of Ember </t>
  </si>
  <si>
    <t>Paul Thomas Anderson</t>
  </si>
  <si>
    <t>Mike Howard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</si>
  <si>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</si>
  <si>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</si>
  <si>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</si>
  <si>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</si>
  <si>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</si>
  <si>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</si>
  <si>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</si>
  <si>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</si>
  <si>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</si>
  <si>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</si>
  <si>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</si>
  <si>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</si>
  <si>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</si>
  <si>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</si>
  <si>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</si>
  <si>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Patton Oswalt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</si>
  <si>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</si>
  <si>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</si>
  <si>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</si>
  <si>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</si>
  <si>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</si>
  <si>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</si>
  <si>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</si>
  <si>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</si>
  <si>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</si>
  <si>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</si>
  <si>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</si>
  <si>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Laura-Leigh</t>
  </si>
  <si>
    <t>We're the Millers </t>
  </si>
  <si>
    <t>Kathleen Quinlan</t>
  </si>
  <si>
    <t>Breakdown </t>
  </si>
  <si>
    <t>Irvin Kershner</t>
  </si>
  <si>
    <t>Bernie Casey</t>
  </si>
  <si>
    <t>Never Say Never Again </t>
  </si>
  <si>
    <t>Steve Pink</t>
  </si>
  <si>
    <t>Charlie McDermott</t>
  </si>
  <si>
    <t>Hot Tub Time Machine </t>
  </si>
  <si>
    <t>Dolphin Tale 2 </t>
  </si>
  <si>
    <t>Action|Adventure|Crime|Drama|Family|Fantasy|Romance|Thriller</t>
  </si>
  <si>
    <t>Reindeer Games </t>
  </si>
  <si>
    <t>Thriller</t>
  </si>
  <si>
    <t>A Man Apart </t>
  </si>
  <si>
    <t>Aloha </t>
  </si>
  <si>
    <t>Ghosts of Mississippi </t>
  </si>
  <si>
    <t>Scott Hicks</t>
  </si>
  <si>
    <t>Rick Yune</t>
  </si>
  <si>
    <t>Snow Falling on Cedars </t>
  </si>
  <si>
    <t>The Rite </t>
  </si>
  <si>
    <t>Blair Underwood</t>
  </si>
  <si>
    <t>Gattaca </t>
  </si>
  <si>
    <t>Biography|Comedy|Romance</t>
  </si>
  <si>
    <t>Stockard Channing</t>
  </si>
  <si>
    <t>Isn't She Great </t>
  </si>
  <si>
    <t>Cheryl Hines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</si>
  <si>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</si>
  <si>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</si>
  <si>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</si>
  <si>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</si>
  <si>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</si>
  <si>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</si>
  <si>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Mike Tyson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</si>
  <si>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</si>
  <si>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</si>
  <si>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</si>
  <si>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</si>
  <si>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</si>
  <si>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</si>
  <si>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Rene Russo</t>
  </si>
  <si>
    <t>Lethal Weapon 3 </t>
  </si>
  <si>
    <t>Catherine Dyer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</si>
  <si>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</si>
  <si>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</si>
  <si>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</si>
  <si>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</si>
  <si>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</si>
  <si>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</si>
  <si>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</si>
  <si>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</si>
  <si>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</si>
  <si>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</si>
  <si>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Amy Schumer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</si>
  <si>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</si>
  <si>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</si>
  <si>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</si>
  <si>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</si>
  <si>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</si>
  <si>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</si>
  <si>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</si>
  <si>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Michael Angarano</t>
  </si>
  <si>
    <t>Sky High </t>
  </si>
  <si>
    <t>In &amp; Out </t>
  </si>
  <si>
    <t>Natasha Henstridge</t>
  </si>
  <si>
    <t>Species </t>
  </si>
  <si>
    <t>A Nightmare on Elm Street </t>
  </si>
  <si>
    <t>Dylan Baker</t>
  </si>
  <si>
    <t>The Cell </t>
  </si>
  <si>
    <t>The Man in the Iron Mask </t>
  </si>
  <si>
    <t>Biography|Drama|Family|History|Sport</t>
  </si>
  <si>
    <t>Scott Glenn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</si>
  <si>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</si>
  <si>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</si>
  <si>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</si>
  <si>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</si>
  <si>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</si>
  <si>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</si>
  <si>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</si>
  <si>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</si>
  <si>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</si>
  <si>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</si>
  <si>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</si>
  <si>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Charlyne Yi</t>
  </si>
  <si>
    <t>This Is 40 </t>
  </si>
  <si>
    <t>Old Dogs </t>
  </si>
  <si>
    <t>Patrick Tatopoulos</t>
  </si>
  <si>
    <t>Craig Parker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</si>
  <si>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</si>
  <si>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</si>
  <si>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</si>
  <si>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</si>
  <si>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</si>
  <si>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</si>
  <si>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</si>
  <si>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</si>
  <si>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</si>
  <si>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Heather O'Rourke</t>
  </si>
  <si>
    <t>Poltergeist </t>
  </si>
  <si>
    <t>The Ladykillers </t>
  </si>
  <si>
    <t>Max Payne </t>
  </si>
  <si>
    <t>In Time </t>
  </si>
  <si>
    <t>Alan Poul</t>
  </si>
  <si>
    <t>Danneel Ackles</t>
  </si>
  <si>
    <t>The Back-up Plan </t>
  </si>
  <si>
    <t>Luke Greenfield</t>
  </si>
  <si>
    <t>Ashley Williams</t>
  </si>
  <si>
    <t>Something Borrowed </t>
  </si>
  <si>
    <t>Gil Junger</t>
  </si>
  <si>
    <t>Black Knight </t>
  </si>
  <si>
    <t>Steven E. de Souza</t>
  </si>
  <si>
    <t>Street Fighter </t>
  </si>
  <si>
    <t>Emilia Fox</t>
  </si>
  <si>
    <t>The Pianist </t>
  </si>
  <si>
    <t>Keisha Castle-Hughes</t>
  </si>
  <si>
    <t>The Nativity Story </t>
  </si>
  <si>
    <t>Robert Ri'chard</t>
  </si>
  <si>
    <t>House of Wax </t>
  </si>
  <si>
    <t>Closer </t>
  </si>
  <si>
    <t>J. Edgar </t>
  </si>
  <si>
    <t>Alexandre Aja</t>
  </si>
  <si>
    <t>Mirrors </t>
  </si>
  <si>
    <t>Michael Rymer</t>
  </si>
  <si>
    <t>Aaliyah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</si>
  <si>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</si>
  <si>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</si>
  <si>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</si>
  <si>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</si>
  <si>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</si>
  <si>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</si>
  <si>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</si>
  <si>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Cicely Tyson</t>
  </si>
  <si>
    <t>Alex Cross </t>
  </si>
  <si>
    <t>Midnight in the Garden of Good and Evil </t>
  </si>
  <si>
    <t>Susanna White</t>
  </si>
  <si>
    <t>Daniel Mays</t>
  </si>
  <si>
    <t>Nanny McPhee Returns </t>
  </si>
  <si>
    <t>Frank Whaley</t>
  </si>
  <si>
    <t>Hoffa </t>
  </si>
  <si>
    <t>Chris Carter</t>
  </si>
  <si>
    <t>Mitch Pileggi</t>
  </si>
  <si>
    <t>The X Files: I Want to Believe </t>
  </si>
  <si>
    <t>Tommy O'Haver</t>
  </si>
  <si>
    <t>Ella Enchanted </t>
  </si>
  <si>
    <t>Peter Landesman</t>
  </si>
  <si>
    <t>Concussion </t>
  </si>
  <si>
    <t>Ken Arnold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</si>
  <si>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</si>
  <si>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</si>
  <si>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</si>
  <si>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</si>
  <si>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</si>
  <si>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</si>
  <si>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</si>
  <si>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Drake Bell</t>
  </si>
  <si>
    <t>Superhero Movie </t>
  </si>
  <si>
    <t>Allen Hughes</t>
  </si>
  <si>
    <t>Alona Tal</t>
  </si>
  <si>
    <t>Broken City </t>
  </si>
  <si>
    <t>Comedy|Horror</t>
  </si>
  <si>
    <t>Shannon Elizabeth</t>
  </si>
  <si>
    <t>Cursed </t>
  </si>
  <si>
    <t>Premium Rush </t>
  </si>
  <si>
    <t>Jim Gaffigan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</si>
  <si>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</si>
  <si>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</si>
  <si>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</si>
  <si>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</si>
  <si>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</si>
  <si>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</si>
  <si>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</si>
  <si>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Rosanna Arquette</t>
  </si>
  <si>
    <t>Flight of the Intruder </t>
  </si>
  <si>
    <t>Comedy|Music</t>
  </si>
  <si>
    <t>Tim Meadows</t>
  </si>
  <si>
    <t>Walk Hard: The Dewey Cox Story </t>
  </si>
  <si>
    <t>Lasse HallstrÃ¶m</t>
  </si>
  <si>
    <t>The Shipping News </t>
  </si>
  <si>
    <t>Action|Western</t>
  </si>
  <si>
    <t>Gregory Smith</t>
  </si>
  <si>
    <t>American Outlaws </t>
  </si>
  <si>
    <t>Jean-Marc VallÃ©e</t>
  </si>
  <si>
    <t>Michiel Huisman</t>
  </si>
  <si>
    <t>The Young Victoria </t>
  </si>
  <si>
    <t>Whiteout </t>
  </si>
  <si>
    <t>The Tree of Life </t>
  </si>
  <si>
    <t>Hark Tsui</t>
  </si>
  <si>
    <t>Paul Sorvino</t>
  </si>
  <si>
    <t>Knock Off </t>
  </si>
  <si>
    <t>Mireille Enos</t>
  </si>
  <si>
    <t>Sabotage </t>
  </si>
  <si>
    <t>The Order </t>
  </si>
  <si>
    <t>Lexi Alexander</t>
  </si>
  <si>
    <t>Julie Benz</t>
  </si>
  <si>
    <t>Punisher: War Zone </t>
  </si>
  <si>
    <t>Action|Adventure|Family|Sci-Fi</t>
  </si>
  <si>
    <t>Kevin Zegers</t>
  </si>
  <si>
    <t>Zoom </t>
  </si>
  <si>
    <t>Adventure|Biography|Drama|Thriller</t>
  </si>
  <si>
    <t>The Walk </t>
  </si>
  <si>
    <t>Ronny Yu</t>
  </si>
  <si>
    <t>Marley Shelton</t>
  </si>
  <si>
    <t>Warriors of Virtue </t>
  </si>
  <si>
    <t>Archie Panjabi</t>
  </si>
  <si>
    <t>A Good Year </t>
  </si>
  <si>
    <t>Radio Flyer </t>
  </si>
  <si>
    <t>Blood In, Blood Out </t>
  </si>
  <si>
    <t>Bille August</t>
  </si>
  <si>
    <t>Smilla's Sense of Snow </t>
  </si>
  <si>
    <t>Femme Fatale </t>
  </si>
  <si>
    <t>Drama|Romance|War|Western</t>
  </si>
  <si>
    <t>Jeremy W. Auman</t>
  </si>
  <si>
    <t>Ride with the Devil </t>
  </si>
  <si>
    <t>The Maze Runner </t>
  </si>
  <si>
    <t>Ken Scott</t>
  </si>
  <si>
    <t>Unfinished Business </t>
  </si>
  <si>
    <t>Richard E. Grant</t>
  </si>
  <si>
    <t>The Age of Innocence </t>
  </si>
  <si>
    <t>The Fountain </t>
  </si>
  <si>
    <t>Hugh Johnson</t>
  </si>
  <si>
    <t>Action|Adventure|Comedy|Drama|Thriller</t>
  </si>
  <si>
    <t>David Paymer</t>
  </si>
  <si>
    <t>Chill Factor </t>
  </si>
  <si>
    <t>Stolen </t>
  </si>
  <si>
    <t>Hayao Miyazaki</t>
  </si>
  <si>
    <t>Rumi Hiiragi</t>
  </si>
  <si>
    <t>Ponyo </t>
  </si>
  <si>
    <t>Japanese</t>
  </si>
  <si>
    <t>George Tillman Jr.</t>
  </si>
  <si>
    <t>Tiago Riani</t>
  </si>
  <si>
    <t>The Longest Ride </t>
  </si>
  <si>
    <t>Rand Ravich</t>
  </si>
  <si>
    <t>The Astronaut's Wife </t>
  </si>
  <si>
    <t>Hugh Hudson</t>
  </si>
  <si>
    <t>Liam Aiken</t>
  </si>
  <si>
    <t>I Dreamed of Africa </t>
  </si>
  <si>
    <t>Playing for Keeps </t>
  </si>
  <si>
    <t>Terry Pheto</t>
  </si>
  <si>
    <t>Mandela: Long Walk to Freedom </t>
  </si>
  <si>
    <t>A Few Good Men </t>
  </si>
  <si>
    <t>Exit Wounds </t>
  </si>
  <si>
    <t>Nia Long</t>
  </si>
  <si>
    <t>Big Momma's House </t>
  </si>
  <si>
    <t>Jeremy Degruson</t>
  </si>
  <si>
    <t>Kyle Hebert</t>
  </si>
  <si>
    <t>Thunder and the House of Magic </t>
  </si>
  <si>
    <t>Chris Gorak</t>
  </si>
  <si>
    <t>The Darkest Hour </t>
  </si>
  <si>
    <t>Scott Speer</t>
  </si>
  <si>
    <t>Drama|Music|Romance</t>
  </si>
  <si>
    <t>Ryan Guzman</t>
  </si>
  <si>
    <t>Step Up Revolution </t>
  </si>
  <si>
    <t>Action|Adventure|Crime|Drama|Thriller</t>
  </si>
  <si>
    <t>Lin Shaye</t>
  </si>
  <si>
    <t>Snakes on a Plane </t>
  </si>
  <si>
    <t>Joe Charbanic</t>
  </si>
  <si>
    <t>Crime|Horror|Mystery|Thriller</t>
  </si>
  <si>
    <t>The Watcher </t>
  </si>
  <si>
    <t>Jonathan Hensleigh</t>
  </si>
  <si>
    <t>Laura Harring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</si>
  <si>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</si>
  <si>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</si>
  <si>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</si>
  <si>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</si>
  <si>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</si>
  <si>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</si>
  <si>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</si>
  <si>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</si>
  <si>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</si>
  <si>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Ryan Kruger</t>
  </si>
  <si>
    <t>Doomsday </t>
  </si>
  <si>
    <t>The Reader </t>
  </si>
  <si>
    <t>Elf </t>
  </si>
  <si>
    <t>Phenomenon </t>
  </si>
  <si>
    <t>Adventure|Comedy|Family|Sport</t>
  </si>
  <si>
    <t>James Coburn</t>
  </si>
  <si>
    <t>Snow Dogs </t>
  </si>
  <si>
    <t>Comedy|Drama|Fantasy</t>
  </si>
  <si>
    <t>Scrooged </t>
  </si>
  <si>
    <t>Jared Hess</t>
  </si>
  <si>
    <t>Comedy|Family|Sport</t>
  </si>
  <si>
    <t>Ana de la Reguera</t>
  </si>
  <si>
    <t>Nacho Libre </t>
  </si>
  <si>
    <t>Matt Lucas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</si>
  <si>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</si>
  <si>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</si>
  <si>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</si>
  <si>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</si>
  <si>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</si>
  <si>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</si>
  <si>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</si>
  <si>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</si>
  <si>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</si>
  <si>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Brandon T. Jackson</t>
  </si>
  <si>
    <t>Big Mommas: Like Father, Like Son </t>
  </si>
  <si>
    <t>Source Code </t>
  </si>
  <si>
    <t>Illeana Douglas</t>
  </si>
  <si>
    <t>Alive </t>
  </si>
  <si>
    <t>The Number 23 </t>
  </si>
  <si>
    <t>Action|Adventure|Drama|Family</t>
  </si>
  <si>
    <t>Callum Rennie</t>
  </si>
  <si>
    <t>The Young and Prodigious T.S. Spivet </t>
  </si>
  <si>
    <t>Drama|Family|Sport</t>
  </si>
  <si>
    <t>Ken Howard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</si>
  <si>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</si>
  <si>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</si>
  <si>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</si>
  <si>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</si>
  <si>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</si>
  <si>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Frances Fisher</t>
  </si>
  <si>
    <t>Laws of Attraction </t>
  </si>
  <si>
    <t>Bringing Out the Dead </t>
  </si>
  <si>
    <t>Miguel Sapochnik</t>
  </si>
  <si>
    <t>Alice Braga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</si>
  <si>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</si>
  <si>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</si>
  <si>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</si>
  <si>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</si>
  <si>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</si>
  <si>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</si>
  <si>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</si>
  <si>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</si>
  <si>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</si>
  <si>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</si>
  <si>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</si>
  <si>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</si>
  <si>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</si>
  <si>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</si>
  <si>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</si>
  <si>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Rob Riggle</t>
  </si>
  <si>
    <t>Going the Distance </t>
  </si>
  <si>
    <t>Alicia Witt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</si>
  <si>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</si>
  <si>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</si>
  <si>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</si>
  <si>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</si>
  <si>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</si>
  <si>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</si>
  <si>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</si>
  <si>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Desmond Llewelyn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</si>
  <si>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</si>
  <si>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</si>
  <si>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</si>
  <si>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</si>
  <si>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</si>
  <si>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</si>
  <si>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</si>
  <si>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</si>
  <si>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</si>
  <si>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</si>
  <si>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</si>
  <si>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</si>
  <si>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</si>
  <si>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</si>
  <si>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</si>
  <si>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</si>
  <si>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</si>
  <si>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</si>
  <si>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</si>
  <si>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</si>
  <si>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</si>
  <si>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</si>
  <si>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</si>
  <si>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</si>
  <si>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</si>
  <si>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</si>
  <si>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</si>
  <si>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</si>
  <si>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</si>
  <si>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</si>
  <si>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</si>
  <si>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</si>
  <si>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Sharlto Copley</t>
  </si>
  <si>
    <t>District 9 </t>
  </si>
  <si>
    <t>Stephen Hillenburg</t>
  </si>
  <si>
    <t>The SpongeBob SquarePants Movie </t>
  </si>
  <si>
    <t>John Doman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</si>
  <si>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</si>
  <si>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</si>
  <si>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</si>
  <si>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</si>
  <si>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</si>
  <si>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</si>
  <si>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Emily Osment</t>
  </si>
  <si>
    <t>Hannah Montana: The Movie </t>
  </si>
  <si>
    <t>Stig Bergqvist</t>
  </si>
  <si>
    <t>Elizabeth Daily</t>
  </si>
  <si>
    <t>Rugrats in Paris: The Movie </t>
  </si>
  <si>
    <t>George Carlin</t>
  </si>
  <si>
    <t>The Prince of Tides </t>
  </si>
  <si>
    <t>Legends of the Fall </t>
  </si>
  <si>
    <t>Jason Reitman</t>
  </si>
  <si>
    <t>Up in the Air </t>
  </si>
  <si>
    <t>Alexander Payne</t>
  </si>
  <si>
    <t>Hope Davis</t>
  </si>
  <si>
    <t>About Schmidt </t>
  </si>
  <si>
    <t>Jonathan Levine</t>
  </si>
  <si>
    <t>Comedy|Horror|Romance</t>
  </si>
  <si>
    <t>Cory Hardrict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</si>
  <si>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</si>
  <si>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</si>
  <si>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</si>
  <si>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</si>
  <si>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</si>
  <si>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</si>
  <si>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</si>
  <si>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</si>
  <si>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Josh Charles</t>
  </si>
  <si>
    <t>Four Brothers </t>
  </si>
  <si>
    <t>Michael McCullers</t>
  </si>
  <si>
    <t>Tina Fey</t>
  </si>
  <si>
    <t>Baby Mama </t>
  </si>
  <si>
    <t>Forest Whitaker</t>
  </si>
  <si>
    <t>Hope Floats </t>
  </si>
  <si>
    <t>Gary Winick</t>
  </si>
  <si>
    <t>Bride Wars </t>
  </si>
  <si>
    <t>Antony Starr</t>
  </si>
  <si>
    <t>Without a Paddle </t>
  </si>
  <si>
    <t>13 Going on 30 </t>
  </si>
  <si>
    <t>Woody Allen</t>
  </si>
  <si>
    <t>Kurt Fuller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</si>
  <si>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</si>
  <si>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</si>
  <si>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</si>
  <si>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</si>
  <si>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</si>
  <si>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</si>
  <si>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</si>
  <si>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</si>
  <si>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</si>
  <si>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Brenda Song</t>
  </si>
  <si>
    <t>Like Mike </t>
  </si>
  <si>
    <t>Naked Gun 33 1/3: The Final Insult </t>
  </si>
  <si>
    <t>Patrick Macnee</t>
  </si>
  <si>
    <t>A View to a Kill </t>
  </si>
  <si>
    <t>Steve Box</t>
  </si>
  <si>
    <t>Animation|Comedy|Family|Mystery|Sci-Fi</t>
  </si>
  <si>
    <t>Mark Gatiss</t>
  </si>
  <si>
    <t>The Curse of the Were-Rabbit </t>
  </si>
  <si>
    <t>P.S. I Love You </t>
  </si>
  <si>
    <t>Atonement </t>
  </si>
  <si>
    <t>Vanessa Redgrave</t>
  </si>
  <si>
    <t>Letters to Juliet </t>
  </si>
  <si>
    <t>Black Rain </t>
  </si>
  <si>
    <t>Animation|Drama|Family|Fantasy|Musical|Romance</t>
  </si>
  <si>
    <t>Corpse Bride </t>
  </si>
  <si>
    <t>Edgar Arreola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</si>
  <si>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</si>
  <si>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</si>
  <si>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</si>
  <si>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</si>
  <si>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</si>
  <si>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</si>
  <si>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</si>
  <si>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Alyson Stoner</t>
  </si>
  <si>
    <t>Step Up 3D </t>
  </si>
  <si>
    <t>Faizon Love</t>
  </si>
  <si>
    <t>Blue Crush </t>
  </si>
  <si>
    <t>Stranger Than Fiction </t>
  </si>
  <si>
    <t>Danny Huston</t>
  </si>
  <si>
    <t>30 Days of Night </t>
  </si>
  <si>
    <t>Drew Goddard</t>
  </si>
  <si>
    <t>The Cabin in the Woods </t>
  </si>
  <si>
    <t>Jason Friedberg</t>
  </si>
  <si>
    <t>Carmen Electra</t>
  </si>
  <si>
    <t>Meet the Spartans </t>
  </si>
  <si>
    <t>Midnight Run </t>
  </si>
  <si>
    <t>Paul Michael Glaser</t>
  </si>
  <si>
    <t>Yaphet Kotto</t>
  </si>
  <si>
    <t>The Running Man </t>
  </si>
  <si>
    <t>Comedy|Horror|Musical|Sci-Fi</t>
  </si>
  <si>
    <t>Little Shop of Horrors </t>
  </si>
  <si>
    <t>Jessica Barden</t>
  </si>
  <si>
    <t>Hanna </t>
  </si>
  <si>
    <t>John R. Leonetti</t>
  </si>
  <si>
    <t>Brian Thompson</t>
  </si>
  <si>
    <t>Mortal Kombat: Annihilation 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</si>
  <si>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</si>
  <si>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</si>
  <si>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</si>
  <si>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</si>
  <si>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</si>
  <si>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</si>
  <si>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</si>
  <si>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</si>
  <si>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</si>
  <si>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</si>
  <si>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</si>
  <si>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</si>
  <si>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</si>
  <si>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</si>
  <si>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Craig Ferguson</t>
  </si>
  <si>
    <t>Winnie the Pooh </t>
  </si>
  <si>
    <t>Troy Miller</t>
  </si>
  <si>
    <t>Elden Henson</t>
  </si>
  <si>
    <t>Dumb and Dumberer: When Harry Met Lloyd </t>
  </si>
  <si>
    <t>Bulworth </t>
  </si>
  <si>
    <t>Tate Taylor</t>
  </si>
  <si>
    <t>Tika Sumpter</t>
  </si>
  <si>
    <t>Get on Up </t>
  </si>
  <si>
    <t>One True Thing </t>
  </si>
  <si>
    <t>Brett Leonard</t>
  </si>
  <si>
    <t>Virtuosity </t>
  </si>
  <si>
    <t>Rainn Wilson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</si>
  <si>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</si>
  <si>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</si>
  <si>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</si>
  <si>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</si>
  <si>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</si>
  <si>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</si>
  <si>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</si>
  <si>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</si>
  <si>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</si>
  <si>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</si>
  <si>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</si>
  <si>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</si>
  <si>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</si>
  <si>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Jean-FranÃ§ois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</si>
  <si>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</si>
  <si>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</si>
  <si>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</si>
  <si>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</si>
  <si>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</si>
  <si>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</si>
  <si>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</si>
  <si>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</si>
  <si>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</si>
  <si>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</si>
  <si>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</si>
  <si>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</si>
  <si>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</si>
  <si>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</si>
  <si>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Sarah Polley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</si>
  <si>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</si>
  <si>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</si>
  <si>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</si>
  <si>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</si>
  <si>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</si>
  <si>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</si>
  <si>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</si>
  <si>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Eddie Cibrian</t>
  </si>
  <si>
    <t>The Cave </t>
  </si>
  <si>
    <t>Alex &amp; Emma </t>
  </si>
  <si>
    <t>Jessica ParÃ©</t>
  </si>
  <si>
    <t>Wicker Park </t>
  </si>
  <si>
    <t>Craig Gillespie</t>
  </si>
  <si>
    <t>Grace Phipps</t>
  </si>
  <si>
    <t>Fright Night </t>
  </si>
  <si>
    <t>The New World </t>
  </si>
  <si>
    <t>Chris Roberts</t>
  </si>
  <si>
    <t>Saffron Burrows</t>
  </si>
  <si>
    <t>Wing Commander </t>
  </si>
  <si>
    <t>In Dreams </t>
  </si>
  <si>
    <t>Ian Whyte</t>
  </si>
  <si>
    <t>Dragonball: Evolution </t>
  </si>
  <si>
    <t>Jee-woon Kim</t>
  </si>
  <si>
    <t>Zach Gilford</t>
  </si>
  <si>
    <t>The Last Stand </t>
  </si>
  <si>
    <t>Nick Hamm</t>
  </si>
  <si>
    <t>Godsend </t>
  </si>
  <si>
    <t>Andy Cadiff</t>
  </si>
  <si>
    <t>Annabella Sciorra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</si>
  <si>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</si>
  <si>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</si>
  <si>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</si>
  <si>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</si>
  <si>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</si>
  <si>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</si>
  <si>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</si>
  <si>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Tyler Labine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</si>
  <si>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</si>
  <si>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</si>
  <si>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</si>
  <si>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</si>
  <si>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</si>
  <si>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</si>
  <si>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</si>
  <si>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</si>
  <si>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Emir Kusturica</t>
  </si>
  <si>
    <t>The Good Thief </t>
  </si>
  <si>
    <t>Emily Watson</t>
  </si>
  <si>
    <t>Miss Potter </t>
  </si>
  <si>
    <t>Kaige Chen</t>
  </si>
  <si>
    <t>Dong-gun Jang</t>
  </si>
  <si>
    <t>The Promise </t>
  </si>
  <si>
    <t>Corey Yuen</t>
  </si>
  <si>
    <t>Steve Howey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</si>
  <si>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</si>
  <si>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</si>
  <si>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</si>
  <si>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</si>
  <si>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</si>
  <si>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</si>
  <si>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</si>
  <si>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</si>
  <si>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</si>
  <si>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</si>
  <si>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</si>
  <si>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Sandra Ellis Lafferty</t>
  </si>
  <si>
    <t>Walk the Line </t>
  </si>
  <si>
    <t>Edward Norton</t>
  </si>
  <si>
    <t>Lisa Edelstein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</si>
  <si>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</si>
  <si>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</si>
  <si>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</si>
  <si>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</si>
  <si>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</si>
  <si>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</si>
  <si>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</si>
  <si>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</si>
  <si>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</si>
  <si>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</si>
  <si>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</si>
  <si>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John Maybury</t>
  </si>
  <si>
    <t>The Jacket </t>
  </si>
  <si>
    <t>Aladdin </t>
  </si>
  <si>
    <t>Biography|Crime|Drama|History|Music</t>
  </si>
  <si>
    <t>Aldis Hodge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</si>
  <si>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</si>
  <si>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</si>
  <si>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</si>
  <si>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</si>
  <si>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</si>
  <si>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</si>
  <si>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</si>
  <si>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</si>
  <si>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</si>
  <si>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Joe Lo Truglio</t>
  </si>
  <si>
    <t>Role Models </t>
  </si>
  <si>
    <t>The Big Short </t>
  </si>
  <si>
    <t>Comedy|Drama|Music</t>
  </si>
  <si>
    <t>Taking Woodstock </t>
  </si>
  <si>
    <t>Eddie Cahill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</si>
  <si>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</si>
  <si>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</si>
  <si>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</si>
  <si>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</si>
  <si>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</si>
  <si>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</si>
  <si>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Julian Glover</t>
  </si>
  <si>
    <t>For Your Eyes Only </t>
  </si>
  <si>
    <t>Lilli Lavine</t>
  </si>
  <si>
    <t>Serendipity </t>
  </si>
  <si>
    <t>Mia Sara</t>
  </si>
  <si>
    <t>Timecop </t>
  </si>
  <si>
    <t>Zoolander </t>
  </si>
  <si>
    <t>Drama|Romance|Thriller</t>
  </si>
  <si>
    <t>David Lyons</t>
  </si>
  <si>
    <t>Safe Haven </t>
  </si>
  <si>
    <t>Vinessa Shaw</t>
  </si>
  <si>
    <t>Hocus Pocus </t>
  </si>
  <si>
    <t>ZoÃ« Kravitz</t>
  </si>
  <si>
    <t>No Reservations </t>
  </si>
  <si>
    <t>Elizabeth McGovern</t>
  </si>
  <si>
    <t>Kick-Ass </t>
  </si>
  <si>
    <t>Bianca Kajlich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</si>
  <si>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</si>
  <si>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</si>
  <si>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</si>
  <si>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</si>
  <si>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</si>
  <si>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Talulah Riley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</si>
  <si>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</si>
  <si>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</si>
  <si>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</si>
  <si>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</si>
  <si>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</si>
  <si>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</si>
  <si>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</si>
  <si>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</si>
  <si>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Philip Baker Hall</t>
  </si>
  <si>
    <t>Lost Souls </t>
  </si>
  <si>
    <t>Documentary</t>
  </si>
  <si>
    <t>Winged Migration </t>
  </si>
  <si>
    <t>Samaire Armstrong</t>
  </si>
  <si>
    <t>Just My Luck </t>
  </si>
  <si>
    <t>Scott Grimes</t>
  </si>
  <si>
    <t>Mystery, Alaska </t>
  </si>
  <si>
    <t>Action|Comedy|Family</t>
  </si>
  <si>
    <t>The Spy Next Door </t>
  </si>
  <si>
    <t>Michael Ritchie</t>
  </si>
  <si>
    <t>Mara Wilson</t>
  </si>
  <si>
    <t>A Simple Wish </t>
  </si>
  <si>
    <t>Ghosts of Mars </t>
  </si>
  <si>
    <t>Dominic Flores</t>
  </si>
  <si>
    <t>Our Brand Is Crisis </t>
  </si>
  <si>
    <t>Action|Horror|Romance</t>
  </si>
  <si>
    <t>Matt Smith</t>
  </si>
  <si>
    <t>Pride and Prejudice and Zombies </t>
  </si>
  <si>
    <t>Tenzin Thuthob Tsarong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</si>
  <si>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</si>
  <si>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</si>
  <si>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</si>
  <si>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</si>
  <si>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</si>
  <si>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</si>
  <si>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</si>
  <si>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Louis Jourdan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</si>
  <si>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</si>
  <si>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</si>
  <si>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</si>
  <si>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</si>
  <si>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</si>
  <si>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</si>
  <si>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Richard Wilson</t>
  </si>
  <si>
    <t>A Passage to India </t>
  </si>
  <si>
    <t>Richard Eyre</t>
  </si>
  <si>
    <t>Phil Davis</t>
  </si>
  <si>
    <t>Notes on a Scandal </t>
  </si>
  <si>
    <t>Rendition </t>
  </si>
  <si>
    <t>Nicholas Meyer</t>
  </si>
  <si>
    <t>Star Trek VI: The Undiscovered Country </t>
  </si>
  <si>
    <t>Callie Khouri</t>
  </si>
  <si>
    <t>Ellen Burstyn</t>
  </si>
  <si>
    <t>Divine Secrets of the Ya-Ya Sisterhood </t>
  </si>
  <si>
    <t>Kiss the Girls </t>
  </si>
  <si>
    <t>Action|Comedy|Crime|Music</t>
  </si>
  <si>
    <t>John Belushi</t>
  </si>
  <si>
    <t>The Blues Brothers </t>
  </si>
  <si>
    <t>Todd Graff</t>
  </si>
  <si>
    <t>Dolly Parton</t>
  </si>
  <si>
    <t>Joyful Noise </t>
  </si>
  <si>
    <t>Sharon Small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</si>
  <si>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</si>
  <si>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</si>
  <si>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</si>
  <si>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</si>
  <si>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</si>
  <si>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</si>
  <si>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</si>
  <si>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</si>
  <si>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</si>
  <si>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</si>
  <si>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</si>
  <si>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</si>
  <si>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</si>
  <si>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</si>
  <si>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</si>
  <si>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Harry Lennix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</si>
  <si>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</si>
  <si>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</si>
  <si>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</si>
  <si>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</si>
  <si>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</si>
  <si>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</si>
  <si>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Meat Loaf</t>
  </si>
  <si>
    <t>Formula 51 </t>
  </si>
  <si>
    <t>Comedy|Crime|Drama</t>
  </si>
  <si>
    <t>Flawless </t>
  </si>
  <si>
    <t>Mindhunters </t>
  </si>
  <si>
    <t>What Just Happened </t>
  </si>
  <si>
    <t>The Statement </t>
  </si>
  <si>
    <t>Erick Avari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</si>
  <si>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</si>
  <si>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</si>
  <si>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</si>
  <si>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</si>
  <si>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</si>
  <si>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</si>
  <si>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</si>
  <si>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</si>
  <si>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</si>
  <si>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</si>
  <si>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</si>
  <si>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</si>
  <si>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Ryan O'Neal</t>
  </si>
  <si>
    <t>A Bridge Too Far </t>
  </si>
  <si>
    <t>Robert Pine</t>
  </si>
  <si>
    <t>Red Eye </t>
  </si>
  <si>
    <t>Sarah Carter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</si>
  <si>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</si>
  <si>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</si>
  <si>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</si>
  <si>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</si>
  <si>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</si>
  <si>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</si>
  <si>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</si>
  <si>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</si>
  <si>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</si>
  <si>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</si>
  <si>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</si>
  <si>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</si>
  <si>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</si>
  <si>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Daniel Roebuck</t>
  </si>
  <si>
    <t>Agent Cody Banks 2: Destination London </t>
  </si>
  <si>
    <t>New Year's Eve </t>
  </si>
  <si>
    <t>Michael Cristofer</t>
  </si>
  <si>
    <t>Original Sin </t>
  </si>
  <si>
    <t>Pam Ferris</t>
  </si>
  <si>
    <t>The Raven </t>
  </si>
  <si>
    <t>Rip Torn</t>
  </si>
  <si>
    <t>Welcome to Mooseport </t>
  </si>
  <si>
    <t>Andrew Morahan</t>
  </si>
  <si>
    <t>Action|Fantasy|Romance|Sci-Fi</t>
  </si>
  <si>
    <t>Christopher Lambert</t>
  </si>
  <si>
    <t>Highlander: The Final Dimension </t>
  </si>
  <si>
    <t>Bob Rafelson</t>
  </si>
  <si>
    <t>Harold Perrineau</t>
  </si>
  <si>
    <t>Blood and Wine </t>
  </si>
  <si>
    <t>Comedy|Crime|Mystery|Romance</t>
  </si>
  <si>
    <t>The Curse of the Jade Scorpion </t>
  </si>
  <si>
    <t>Alan Shapiro</t>
  </si>
  <si>
    <t>Adventure|Family</t>
  </si>
  <si>
    <t>Paul Hogan</t>
  </si>
  <si>
    <t>Flipper </t>
  </si>
  <si>
    <t>Self/less </t>
  </si>
  <si>
    <t>Fernando Meirelles</t>
  </si>
  <si>
    <t>The Constant Gardener </t>
  </si>
  <si>
    <t>Christo Jivkov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</si>
  <si>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</si>
  <si>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</si>
  <si>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</si>
  <si>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</si>
  <si>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</si>
  <si>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</si>
  <si>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</si>
  <si>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</si>
  <si>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</si>
  <si>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Luke Bracey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</si>
  <si>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</si>
  <si>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</si>
  <si>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</si>
  <si>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</si>
  <si>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</si>
  <si>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</si>
  <si>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</si>
  <si>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</si>
  <si>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Katharine Isabelle</t>
  </si>
  <si>
    <t>Freddy vs. Jason </t>
  </si>
  <si>
    <t>Jimmy Neutron: Boy Genius </t>
  </si>
  <si>
    <t>Mike Vogel</t>
  </si>
  <si>
    <t>Cloverfield </t>
  </si>
  <si>
    <t>Michael Pressman</t>
  </si>
  <si>
    <t>Kevin Nash</t>
  </si>
  <si>
    <t>Teenage Mutant Ninja Turtles II: The Secret of the Ooze </t>
  </si>
  <si>
    <t>The Untouchables </t>
  </si>
  <si>
    <t>No Country for Old Men </t>
  </si>
  <si>
    <t>Bruce McGill</t>
  </si>
  <si>
    <t>Ride Along </t>
  </si>
  <si>
    <t>Sharon Maguire</t>
  </si>
  <si>
    <t>Bridget Jones's Diary </t>
  </si>
  <si>
    <t>Lena Olin</t>
  </si>
  <si>
    <t>Chocolat </t>
  </si>
  <si>
    <t>Charles Herman-Wurmfeld</t>
  </si>
  <si>
    <t>Mary Lynn Rajskub</t>
  </si>
  <si>
    <t>Legally Blonde 2: Red, White &amp; Blonde </t>
  </si>
  <si>
    <t>Bailee Madison</t>
  </si>
  <si>
    <t>Parental Guidance </t>
  </si>
  <si>
    <t>No Strings Attached </t>
  </si>
  <si>
    <t>Action|Biography|Drama|History|Romance|Western</t>
  </si>
  <si>
    <t>Tombstone </t>
  </si>
  <si>
    <t>Romeo Must Die </t>
  </si>
  <si>
    <t>Chelan Simmons</t>
  </si>
  <si>
    <t>Final Destination 3 </t>
  </si>
  <si>
    <t>Blythe Danner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</si>
  <si>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</si>
  <si>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</si>
  <si>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</si>
  <si>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</si>
  <si>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</si>
  <si>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</si>
  <si>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</si>
  <si>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</si>
  <si>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</si>
  <si>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</si>
  <si>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</si>
  <si>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Darcy Donavan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</si>
  <si>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</si>
  <si>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</si>
  <si>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</si>
  <si>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</si>
  <si>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</si>
  <si>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</si>
  <si>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</si>
  <si>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</si>
  <si>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</si>
  <si>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</si>
  <si>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Heather Locklear</t>
  </si>
  <si>
    <t>Money Talks </t>
  </si>
  <si>
    <t>Jim Meskimen</t>
  </si>
  <si>
    <t>There Will Be Blood </t>
  </si>
  <si>
    <t>Cathy Malkasian</t>
  </si>
  <si>
    <t>The Wild Thornberrys Movie </t>
  </si>
  <si>
    <t>John Eng</t>
  </si>
  <si>
    <t>Rugrats Go Wild </t>
  </si>
  <si>
    <t>Dave Chappelle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</si>
  <si>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</si>
  <si>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</si>
  <si>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</si>
  <si>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</si>
  <si>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</si>
  <si>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</si>
  <si>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</si>
  <si>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</si>
  <si>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</si>
  <si>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</si>
  <si>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</si>
  <si>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Nicki Aycox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</si>
  <si>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</si>
  <si>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</si>
  <si>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</si>
  <si>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</si>
  <si>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</si>
  <si>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</si>
  <si>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</si>
  <si>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Lily Atkinson</t>
  </si>
  <si>
    <t>Mr. Bean's Holiday </t>
  </si>
  <si>
    <t>Dwight H. Little</t>
  </si>
  <si>
    <t>Nicholas Gonzalez</t>
  </si>
  <si>
    <t>Anacondas: The Hunt for the Blood Orchid </t>
  </si>
  <si>
    <t>Guillaume Canet</t>
  </si>
  <si>
    <t>Blood Ties </t>
  </si>
  <si>
    <t>Kirsten Sheridan</t>
  </si>
  <si>
    <t>August Rush </t>
  </si>
  <si>
    <t>Fanny Ardant</t>
  </si>
  <si>
    <t>Elizabeth </t>
  </si>
  <si>
    <t>Comedy|Fantasy|Horror|Romance</t>
  </si>
  <si>
    <t>Alexis Arquette</t>
  </si>
  <si>
    <t>Bride of Chucky </t>
  </si>
  <si>
    <t>Richard Fleischer</t>
  </si>
  <si>
    <t>Joseph Cotten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</si>
  <si>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</si>
  <si>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</si>
  <si>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</si>
  <si>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</si>
  <si>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</si>
  <si>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</si>
  <si>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</si>
  <si>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</si>
  <si>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</si>
  <si>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</si>
  <si>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</si>
  <si>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</si>
  <si>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</si>
  <si>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</si>
  <si>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</si>
  <si>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</si>
  <si>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Aimee Garcia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</si>
  <si>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</si>
  <si>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</si>
  <si>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</si>
  <si>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</si>
  <si>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</si>
  <si>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</si>
  <si>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</si>
  <si>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</si>
  <si>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</si>
  <si>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</si>
  <si>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</si>
  <si>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</si>
  <si>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</si>
  <si>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</si>
  <si>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</si>
  <si>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</si>
  <si>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</si>
  <si>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</si>
  <si>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</si>
  <si>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</si>
  <si>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Claudia Christian</t>
  </si>
  <si>
    <t>Half Past Dead </t>
  </si>
  <si>
    <t>Adventure|Comedy|Family|Romance</t>
  </si>
  <si>
    <t>Tyler James Williams</t>
  </si>
  <si>
    <t>Unaccompanied Minors </t>
  </si>
  <si>
    <t>James Bridges</t>
  </si>
  <si>
    <t>Dianne Wiest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</si>
  <si>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</si>
  <si>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</si>
  <si>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</si>
  <si>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</si>
  <si>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</si>
  <si>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</si>
  <si>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</si>
  <si>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</si>
  <si>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Laura Ramsey</t>
  </si>
  <si>
    <t>The Ruins </t>
  </si>
  <si>
    <t>John Schlesinger</t>
  </si>
  <si>
    <t>Mark Valley</t>
  </si>
  <si>
    <t>The Next Best Thing </t>
  </si>
  <si>
    <t>Frank Grillo</t>
  </si>
  <si>
    <t>My Soul to Take </t>
  </si>
  <si>
    <t>Chris Marquette</t>
  </si>
  <si>
    <t>The Girl Next Door </t>
  </si>
  <si>
    <t>Ringo Lam</t>
  </si>
  <si>
    <t>Maximum Risk </t>
  </si>
  <si>
    <t>Bruce McCulloch</t>
  </si>
  <si>
    <t>Martin Starr</t>
  </si>
  <si>
    <t>Stealing Harvard </t>
  </si>
  <si>
    <t>Biography|Crime|Drama|History|Thriller</t>
  </si>
  <si>
    <t>Legend </t>
  </si>
  <si>
    <t>Chris Zylka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</si>
  <si>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</si>
  <si>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</si>
  <si>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</si>
  <si>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</si>
  <si>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</si>
  <si>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</si>
  <si>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</si>
  <si>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Marco TreviÃ±o</t>
  </si>
  <si>
    <t>The 33 </t>
  </si>
  <si>
    <t>Victor Wong</t>
  </si>
  <si>
    <t>Big Trouble in Little China </t>
  </si>
  <si>
    <t>Warrior </t>
  </si>
  <si>
    <t>Biography|Drama|Thriller|War</t>
  </si>
  <si>
    <t>Michael Collins </t>
  </si>
  <si>
    <t>Tom Berenger</t>
  </si>
  <si>
    <t>Gettysburg </t>
  </si>
  <si>
    <t>Stop-Loss </t>
  </si>
  <si>
    <t>Drama|Music|Mystery|Romance|Thriller</t>
  </si>
  <si>
    <t>Abandon </t>
  </si>
  <si>
    <t>Jonathan Kaplan</t>
  </si>
  <si>
    <t>John Doe</t>
  </si>
  <si>
    <t>Brokedown Palace </t>
  </si>
  <si>
    <t>Ole Bornedal</t>
  </si>
  <si>
    <t>Kyra Sedgwick</t>
  </si>
  <si>
    <t>The Possession </t>
  </si>
  <si>
    <t>Richard Benjamin</t>
  </si>
  <si>
    <t>Mrs. Winterbourne </t>
  </si>
  <si>
    <t>Alexander SkarsgÃ¥rd</t>
  </si>
  <si>
    <t>Straw Dogs </t>
  </si>
  <si>
    <t>The Hoax </t>
  </si>
  <si>
    <t>Craig R. Baxley</t>
  </si>
  <si>
    <t>Brian Bosworth</t>
  </si>
  <si>
    <t>Stone Cold </t>
  </si>
  <si>
    <t>John Hillcoat</t>
  </si>
  <si>
    <t>The Road </t>
  </si>
  <si>
    <t>Marcos Siega</t>
  </si>
  <si>
    <t>Cheech Marin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</si>
  <si>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</si>
  <si>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</si>
  <si>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</si>
  <si>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</si>
  <si>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</si>
  <si>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</si>
  <si>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Donald Faison</t>
  </si>
  <si>
    <t>King's Ransom </t>
  </si>
  <si>
    <t>Don McKellar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</si>
  <si>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</si>
  <si>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</si>
  <si>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</si>
  <si>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</si>
  <si>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</si>
  <si>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</si>
  <si>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</si>
  <si>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Zoe Kazan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</si>
  <si>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</si>
  <si>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</si>
  <si>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</si>
  <si>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</si>
  <si>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</si>
  <si>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</si>
  <si>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FranÃ§ois Cluzet</t>
  </si>
  <si>
    <t>Little White Lies </t>
  </si>
  <si>
    <t>Scout Taylor-Compton</t>
  </si>
  <si>
    <t>Love Ranch </t>
  </si>
  <si>
    <t>The Counselor </t>
  </si>
  <si>
    <t>Teddy Chan</t>
  </si>
  <si>
    <t>Siu-Wong Fan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</si>
  <si>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</si>
  <si>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</si>
  <si>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</si>
  <si>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</si>
  <si>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</si>
  <si>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</si>
  <si>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</si>
  <si>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</si>
  <si>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</si>
  <si>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</si>
  <si>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</si>
  <si>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</si>
  <si>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</si>
  <si>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</si>
  <si>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</si>
  <si>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</si>
  <si>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Minnie Driver</t>
  </si>
  <si>
    <t>Return to Me </t>
  </si>
  <si>
    <t>Gerry Bednob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</si>
  <si>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</si>
  <si>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</si>
  <si>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</si>
  <si>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</si>
  <si>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</si>
  <si>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</si>
  <si>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</si>
  <si>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</si>
  <si>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</si>
  <si>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</si>
  <si>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</si>
  <si>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</si>
  <si>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</si>
  <si>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</si>
  <si>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Lena Horne</t>
  </si>
  <si>
    <t>The Wiz </t>
  </si>
  <si>
    <t>Ready to Rumble </t>
  </si>
  <si>
    <t>Willie Garson</t>
  </si>
  <si>
    <t>Play It to the Bone </t>
  </si>
  <si>
    <t>Douglas McGrath</t>
  </si>
  <si>
    <t>I Don't Know How She Does It </t>
  </si>
  <si>
    <t>Piranha 3D </t>
  </si>
  <si>
    <t>Beyond the Sea </t>
  </si>
  <si>
    <t>Steve Boyum</t>
  </si>
  <si>
    <t>Meet the Deedles </t>
  </si>
  <si>
    <t>Richard Williams</t>
  </si>
  <si>
    <t>Action|Adventure|Animation|Comedy|Fantasy</t>
  </si>
  <si>
    <t>Donald Pleasence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</si>
  <si>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</si>
  <si>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</si>
  <si>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</si>
  <si>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</si>
  <si>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</si>
  <si>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</si>
  <si>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</si>
  <si>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</si>
  <si>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</si>
  <si>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</si>
  <si>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</si>
  <si>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</si>
  <si>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</si>
  <si>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</si>
  <si>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</si>
  <si>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</si>
  <si>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</si>
  <si>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</si>
  <si>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</si>
  <si>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</si>
  <si>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</si>
  <si>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</si>
  <si>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</si>
  <si>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Seymour Cassel</t>
  </si>
  <si>
    <t>The Crew </t>
  </si>
  <si>
    <t>Haywire </t>
  </si>
  <si>
    <t>Joseph Sargent</t>
  </si>
  <si>
    <t>Judith Barsi</t>
  </si>
  <si>
    <t>Jaws: The Revenge </t>
  </si>
  <si>
    <t>Jerry Zaks</t>
  </si>
  <si>
    <t>Marvin's Room </t>
  </si>
  <si>
    <t>Fred Durst</t>
  </si>
  <si>
    <t>Biography|Comedy|Drama|Family|Sport</t>
  </si>
  <si>
    <t>Tasha Smith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</si>
  <si>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</si>
  <si>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</si>
  <si>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</si>
  <si>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</si>
  <si>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</si>
  <si>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Alessandro Nivola</t>
  </si>
  <si>
    <t>Coco Before Chanel </t>
  </si>
  <si>
    <t>Tom Burke</t>
  </si>
  <si>
    <t>ChÃ©ri </t>
  </si>
  <si>
    <t>Mira Nair</t>
  </si>
  <si>
    <t>Romola Garai</t>
  </si>
  <si>
    <t>Vanity Fair </t>
  </si>
  <si>
    <t>Drew Powell</t>
  </si>
  <si>
    <t>1408 </t>
  </si>
  <si>
    <t>Mel Brooks</t>
  </si>
  <si>
    <t>Joan Rivers</t>
  </si>
  <si>
    <t>Spaceballs </t>
  </si>
  <si>
    <t>Russell Crowe</t>
  </si>
  <si>
    <t>Cem Yilmaz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</si>
  <si>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</si>
  <si>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</si>
  <si>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</si>
  <si>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</si>
  <si>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</si>
  <si>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</si>
  <si>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</si>
  <si>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</si>
  <si>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</si>
  <si>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Manish Dayal</t>
  </si>
  <si>
    <t>The Hundred-Foot Journey </t>
  </si>
  <si>
    <t>The Net </t>
  </si>
  <si>
    <t>Jessie Nelson</t>
  </si>
  <si>
    <t>I Am Sam </t>
  </si>
  <si>
    <t>Christopher Spencer</t>
  </si>
  <si>
    <t>Roma Downey</t>
  </si>
  <si>
    <t>Son of God </t>
  </si>
  <si>
    <t>Underworld </t>
  </si>
  <si>
    <t>Denis O'Hare</t>
  </si>
  <si>
    <t>Derailed </t>
  </si>
  <si>
    <t>The Informant! </t>
  </si>
  <si>
    <t>Shadowlands </t>
  </si>
  <si>
    <t>Mike Bigelow</t>
  </si>
  <si>
    <t>Carlos Ponce</t>
  </si>
  <si>
    <t>Deuce Bigalow: European Gigolo </t>
  </si>
  <si>
    <t>Jack Reynor</t>
  </si>
  <si>
    <t>Delivery Man </t>
  </si>
  <si>
    <t>Amanda Detmer</t>
  </si>
  <si>
    <t>Saving Silverman </t>
  </si>
  <si>
    <t>Zachary Gordon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</si>
  <si>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</si>
  <si>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</si>
  <si>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</si>
  <si>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</si>
  <si>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</si>
  <si>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</si>
  <si>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</si>
  <si>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</si>
  <si>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</si>
  <si>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</si>
  <si>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</si>
  <si>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</si>
  <si>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</si>
  <si>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</si>
  <si>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</si>
  <si>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</si>
  <si>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</si>
  <si>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</si>
  <si>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</si>
  <si>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Rock Hudson</t>
  </si>
  <si>
    <t>Darling Lili </t>
  </si>
  <si>
    <t>Dudley Do-Right </t>
  </si>
  <si>
    <t>Ed Skrein</t>
  </si>
  <si>
    <t>The Transporter Refueled </t>
  </si>
  <si>
    <t>Black Book </t>
  </si>
  <si>
    <t>Dutch</t>
  </si>
  <si>
    <t>Christian Carion</t>
  </si>
  <si>
    <t>Drama|History|Music|Romance|War</t>
  </si>
  <si>
    <t>Gary Lewis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</si>
  <si>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</si>
  <si>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</si>
  <si>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</si>
  <si>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</si>
  <si>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</si>
  <si>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</si>
  <si>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</si>
  <si>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</si>
  <si>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</si>
  <si>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</si>
  <si>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Romain Duris</t>
  </si>
  <si>
    <t>MoliÃ¨re </t>
  </si>
  <si>
    <t>Out of the Furnace </t>
  </si>
  <si>
    <t>Michael Clayton </t>
  </si>
  <si>
    <t>My Fellow Americans </t>
  </si>
  <si>
    <t>Arlington Road </t>
  </si>
  <si>
    <t>Ornella Muti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</si>
  <si>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</si>
  <si>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</si>
  <si>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</si>
  <si>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</si>
  <si>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</si>
  <si>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</si>
  <si>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</si>
  <si>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Paige Turco</t>
  </si>
  <si>
    <t>Teenage Mutant Ninja Turtles III </t>
  </si>
  <si>
    <t>Hardball </t>
  </si>
  <si>
    <t>Silver Linings Playbook </t>
  </si>
  <si>
    <t>Hunter Parrish</t>
  </si>
  <si>
    <t>Freedom Writers </t>
  </si>
  <si>
    <t>The Transporter </t>
  </si>
  <si>
    <t>Never Back Down </t>
  </si>
  <si>
    <t>Katt Shea</t>
  </si>
  <si>
    <t>Jason London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</si>
  <si>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</si>
  <si>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</si>
  <si>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</si>
  <si>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</si>
  <si>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</si>
  <si>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</si>
  <si>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</si>
  <si>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</si>
  <si>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Elaine Hendrix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</si>
  <si>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</si>
  <si>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</si>
  <si>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</si>
  <si>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</si>
  <si>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</si>
  <si>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</si>
  <si>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</si>
  <si>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Bob Balaban</t>
  </si>
  <si>
    <t>Close Encounters of the Third Kind </t>
  </si>
  <si>
    <t>Jim Sonzero</t>
  </si>
  <si>
    <t>Ian Somerhalder</t>
  </si>
  <si>
    <t>Pulse </t>
  </si>
  <si>
    <t>Dean Stockwell</t>
  </si>
  <si>
    <t>Beverly Hills Cop II </t>
  </si>
  <si>
    <t>Angus T. Jones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</si>
  <si>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</si>
  <si>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</si>
  <si>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</si>
  <si>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</si>
  <si>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</si>
  <si>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</si>
  <si>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Bam Margera</t>
  </si>
  <si>
    <t>Jackass 3D </t>
  </si>
  <si>
    <t>Jeannot Szwarc</t>
  </si>
  <si>
    <t>Roy Scheider</t>
  </si>
  <si>
    <t>Jaws 2 </t>
  </si>
  <si>
    <t>Adventure|Comedy|Drama|Family|Romance</t>
  </si>
  <si>
    <t>Beverly Hills Chihuahua </t>
  </si>
  <si>
    <t>Mackenzie Foy</t>
  </si>
  <si>
    <t>The Conjuring </t>
  </si>
  <si>
    <t>Are We There Yet? </t>
  </si>
  <si>
    <t>Tammy </t>
  </si>
  <si>
    <t>Miranda Cosgrove</t>
  </si>
  <si>
    <t>School of Rock </t>
  </si>
  <si>
    <t>Mortal Kombat </t>
  </si>
  <si>
    <t>White Chicks </t>
  </si>
  <si>
    <t>Shailene Woodley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</si>
  <si>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</si>
  <si>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</si>
  <si>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</si>
  <si>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</si>
  <si>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</si>
  <si>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</si>
  <si>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</si>
  <si>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Leonard Roberts</t>
  </si>
  <si>
    <t>Drumline </t>
  </si>
  <si>
    <t>Why Did I Get Married Too? </t>
  </si>
  <si>
    <t>Fantasy|Romance</t>
  </si>
  <si>
    <t>Edward Scissorhands </t>
  </si>
  <si>
    <t>Thea Sharrock</t>
  </si>
  <si>
    <t>Sam Claflin</t>
  </si>
  <si>
    <t>Me Before You </t>
  </si>
  <si>
    <t>John Amos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</si>
  <si>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</si>
  <si>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</si>
  <si>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</si>
  <si>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</si>
  <si>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</si>
  <si>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</si>
  <si>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</si>
  <si>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</si>
  <si>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</si>
  <si>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</si>
  <si>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</si>
  <si>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</si>
  <si>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Barry Watson</t>
  </si>
  <si>
    <t>Boogeyman </t>
  </si>
  <si>
    <t>Mennan Yapo</t>
  </si>
  <si>
    <t>Premonition </t>
  </si>
  <si>
    <t>Jun Falkenstein</t>
  </si>
  <si>
    <t>Animation|Comedy|Drama|Family|Musical</t>
  </si>
  <si>
    <t>Kath Soucie</t>
  </si>
  <si>
    <t>The Tigger Movie </t>
  </si>
  <si>
    <t>Max </t>
  </si>
  <si>
    <t>Epic Movie </t>
  </si>
  <si>
    <t>Tom McCarthy</t>
  </si>
  <si>
    <t>Biography|Crime|Drama|History</t>
  </si>
  <si>
    <t>Billy Crudup</t>
  </si>
  <si>
    <t>Spotlight 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</si>
  <si>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</si>
  <si>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</si>
  <si>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</si>
  <si>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</si>
  <si>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</si>
  <si>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</si>
  <si>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</si>
  <si>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</si>
  <si>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</si>
  <si>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Violante Placido</t>
  </si>
  <si>
    <t>The American </t>
  </si>
  <si>
    <t>Gregory Nava</t>
  </si>
  <si>
    <t>Jon Seda</t>
  </si>
  <si>
    <t>Selena </t>
  </si>
  <si>
    <t>Diedrich Bader</t>
  </si>
  <si>
    <t>Vampires Suck </t>
  </si>
  <si>
    <t>Babel </t>
  </si>
  <si>
    <t>This Is Where I Leave You </t>
  </si>
  <si>
    <t>John Patrick Shanley</t>
  </si>
  <si>
    <t>Doubt </t>
  </si>
  <si>
    <t>Jeremy Shada</t>
  </si>
  <si>
    <t>Team America: World Police </t>
  </si>
  <si>
    <t>Gunnar Hansen</t>
  </si>
  <si>
    <t>Texas Chainsaw 3D </t>
  </si>
  <si>
    <t>William McNamara</t>
  </si>
  <si>
    <t>Copycat </t>
  </si>
  <si>
    <t>Marisa Saks</t>
  </si>
  <si>
    <t>Scary Movie 5 </t>
  </si>
  <si>
    <t>Milk </t>
  </si>
  <si>
    <t>Action|Adventure|Drama|Mystery</t>
  </si>
  <si>
    <t>Peter Firth</t>
  </si>
  <si>
    <t>Risen </t>
  </si>
  <si>
    <t>Steve Beck</t>
  </si>
  <si>
    <t>Isaiah Washington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</si>
  <si>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</si>
  <si>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</si>
  <si>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</si>
  <si>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</si>
  <si>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</si>
  <si>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</si>
  <si>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</si>
  <si>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</si>
  <si>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Johnny Lewis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</si>
  <si>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</si>
  <si>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</si>
  <si>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</si>
  <si>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</si>
  <si>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</si>
  <si>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</si>
  <si>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</si>
  <si>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</si>
  <si>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</si>
  <si>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Kay Panabaker</t>
  </si>
  <si>
    <t>Nancy Drew </t>
  </si>
  <si>
    <t>Michael Spierig</t>
  </si>
  <si>
    <t>Jay Laga'aia</t>
  </si>
  <si>
    <t>Daybreakers </t>
  </si>
  <si>
    <t>Jim Field Smith</t>
  </si>
  <si>
    <t>She's Out of My League </t>
  </si>
  <si>
    <t>Thomas Bezucha</t>
  </si>
  <si>
    <t>Leighton Meester</t>
  </si>
  <si>
    <t>Monte Carlo </t>
  </si>
  <si>
    <t>William Brent Bell</t>
  </si>
  <si>
    <t>Stay Alive </t>
  </si>
  <si>
    <t>Action|Adventure|Drama|Romance|Western</t>
  </si>
  <si>
    <t>Quigley Down Under </t>
  </si>
  <si>
    <t>Anthony Bell</t>
  </si>
  <si>
    <t>Kevin Sussman</t>
  </si>
  <si>
    <t>Alpha and Omega </t>
  </si>
  <si>
    <t>The Covenant </t>
  </si>
  <si>
    <t>Shorts </t>
  </si>
  <si>
    <t>Kurtwood Smith</t>
  </si>
  <si>
    <t>To Die For </t>
  </si>
  <si>
    <t>Henry Joost</t>
  </si>
  <si>
    <t>Adventure|Crime|Mystery|Sci-Fi|Thriller</t>
  </si>
  <si>
    <t>Samira Wiley</t>
  </si>
  <si>
    <t>Nerve </t>
  </si>
  <si>
    <t>Sheryl Lee</t>
  </si>
  <si>
    <t>Vampires </t>
  </si>
  <si>
    <t>Alfred Hitchcock</t>
  </si>
  <si>
    <t>Janet Leigh</t>
  </si>
  <si>
    <t>Psycho </t>
  </si>
  <si>
    <t>My Best Friend's Girl </t>
  </si>
  <si>
    <t>Shana Feste</t>
  </si>
  <si>
    <t>Endless Love </t>
  </si>
  <si>
    <t>Georgia Rule </t>
  </si>
  <si>
    <t>Steve Rash</t>
  </si>
  <si>
    <t>Mako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</si>
  <si>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</si>
  <si>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</si>
  <si>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</si>
  <si>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</si>
  <si>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</si>
  <si>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</si>
  <si>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</si>
  <si>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</si>
  <si>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</si>
  <si>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</si>
  <si>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</si>
  <si>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</si>
  <si>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</si>
  <si>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</si>
  <si>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</si>
  <si>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</si>
  <si>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</si>
  <si>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</si>
  <si>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Shengyi Huang</t>
  </si>
  <si>
    <t>Kung Fu Hustle </t>
  </si>
  <si>
    <t>Peter Hastings</t>
  </si>
  <si>
    <t>Comedy|Family|Music|Musical</t>
  </si>
  <si>
    <t>The Country Bears </t>
  </si>
  <si>
    <t>Mustafa Haidari</t>
  </si>
  <si>
    <t>The Kite Runner </t>
  </si>
  <si>
    <t>Dari</t>
  </si>
  <si>
    <t>21 Grams </t>
  </si>
  <si>
    <t>Paul Abascal</t>
  </si>
  <si>
    <t>Cole Hauser</t>
  </si>
  <si>
    <t>Paparazzi </t>
  </si>
  <si>
    <t>Chris Koch</t>
  </si>
  <si>
    <t>Thomas Lennon</t>
  </si>
  <si>
    <t>A Guy Thing </t>
  </si>
  <si>
    <t>Amy Heckerling</t>
  </si>
  <si>
    <t>Andy Dick</t>
  </si>
  <si>
    <t>Loser </t>
  </si>
  <si>
    <t>George Stevens</t>
  </si>
  <si>
    <t>The Greatest Story Ever Told </t>
  </si>
  <si>
    <t>Disaster Movie </t>
  </si>
  <si>
    <t>Andrew Fiscella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</si>
  <si>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</si>
  <si>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</si>
  <si>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</si>
  <si>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</si>
  <si>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</si>
  <si>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</si>
  <si>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</si>
  <si>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</si>
  <si>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</si>
  <si>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</si>
  <si>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James Callis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</si>
  <si>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</si>
  <si>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</si>
  <si>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</si>
  <si>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</si>
  <si>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</si>
  <si>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</si>
  <si>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Aasif Mandvi</t>
  </si>
  <si>
    <t>Ghost Town </t>
  </si>
  <si>
    <t>Taylor Cole</t>
  </si>
  <si>
    <t>12 Rounds </t>
  </si>
  <si>
    <t>Drama|Fantasy|Horror|Mystery</t>
  </si>
  <si>
    <t>Let Me In </t>
  </si>
  <si>
    <t>Charles T. Kanganis</t>
  </si>
  <si>
    <t>3 Ninjas Kick Back </t>
  </si>
  <si>
    <t>Quinton Aaron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</si>
  <si>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</si>
  <si>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</si>
  <si>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</si>
  <si>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</si>
  <si>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</si>
  <si>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</si>
  <si>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</si>
  <si>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</si>
  <si>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</si>
  <si>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</si>
  <si>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</si>
  <si>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Aisha Tyler</t>
  </si>
  <si>
    <t>Death Sentence </t>
  </si>
  <si>
    <t>Everybody's Fine </t>
  </si>
  <si>
    <t>Bob Clark</t>
  </si>
  <si>
    <t>Scott Baio</t>
  </si>
  <si>
    <t>Superbabies: Baby Geniuses 2 </t>
  </si>
  <si>
    <t>The Man </t>
  </si>
  <si>
    <t>Code Name: The Cleaner </t>
  </si>
  <si>
    <t>Debbie Reynolds</t>
  </si>
  <si>
    <t>Connie and Carla </t>
  </si>
  <si>
    <t>Comedy|Crime|Drama|Mystery|Romance</t>
  </si>
  <si>
    <t>Martin Dew</t>
  </si>
  <si>
    <t>Inherent Vice </t>
  </si>
  <si>
    <t>Dave Borthwick</t>
  </si>
  <si>
    <t>Doogal </t>
  </si>
  <si>
    <t>Benson Lee</t>
  </si>
  <si>
    <t>Chris Brown</t>
  </si>
  <si>
    <t>Battle of the Year </t>
  </si>
  <si>
    <t>Chriss Anglin</t>
  </si>
  <si>
    <t>An American Carol </t>
  </si>
  <si>
    <t>Machete Kills </t>
  </si>
  <si>
    <t>Glen Morgan</t>
  </si>
  <si>
    <t>Willard </t>
  </si>
  <si>
    <t>Kevin Alejandro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</si>
  <si>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</si>
  <si>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</si>
  <si>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</si>
  <si>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</si>
  <si>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</si>
  <si>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</si>
  <si>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</si>
  <si>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</si>
  <si>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</si>
  <si>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</si>
  <si>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Catherine Lough Haggquist</t>
  </si>
  <si>
    <t>Alone in the Dark </t>
  </si>
  <si>
    <t>Bandslam </t>
  </si>
  <si>
    <t>Jonathan Glazer</t>
  </si>
  <si>
    <t>Cameron Bright</t>
  </si>
  <si>
    <t>Birth </t>
  </si>
  <si>
    <t>J.C. Chandor</t>
  </si>
  <si>
    <t>A Most Violent Year </t>
  </si>
  <si>
    <t>Marc Abraham</t>
  </si>
  <si>
    <t>Dylan Authors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</si>
  <si>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</si>
  <si>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</si>
  <si>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</si>
  <si>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</si>
  <si>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</si>
  <si>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</si>
  <si>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</si>
  <si>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</si>
  <si>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</si>
  <si>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</si>
  <si>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</si>
  <si>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</si>
  <si>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</si>
  <si>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Isabelle Adjani</t>
  </si>
  <si>
    <t>Bon voyage </t>
  </si>
  <si>
    <t>Nancy Walker</t>
  </si>
  <si>
    <t>Biography|Comedy|Musical</t>
  </si>
  <si>
    <t>Steve Guttenberg</t>
  </si>
  <si>
    <t>Can't Stop the Music </t>
  </si>
  <si>
    <t>Crime|Drama|Western</t>
  </si>
  <si>
    <t>The Proposition </t>
  </si>
  <si>
    <t>Angelo Pizzo</t>
  </si>
  <si>
    <t>Donny Boaz</t>
  </si>
  <si>
    <t>Courage </t>
  </si>
  <si>
    <t>Damon Wayans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</si>
  <si>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</si>
  <si>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</si>
  <si>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</si>
  <si>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</si>
  <si>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</si>
  <si>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</si>
  <si>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</si>
  <si>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Ã”tomo</t>
  </si>
  <si>
    <t>Action|Adventure|Animation|Family|Sci-Fi|Thriller</t>
  </si>
  <si>
    <t>William Hootkins</t>
  </si>
  <si>
    <t>Steamboy </t>
  </si>
  <si>
    <t>David Anspaugh</t>
  </si>
  <si>
    <t>The Game of Their Lives </t>
  </si>
  <si>
    <t>Esai Morales</t>
  </si>
  <si>
    <t>Rapa Nui </t>
  </si>
  <si>
    <t>Comedy|Family|Fantasy|Sci-Fi</t>
  </si>
  <si>
    <t>Christian Clavier</t>
  </si>
  <si>
    <t>Les couloirs du temps: Les visiteurs II </t>
  </si>
  <si>
    <t>Action|Comedy|Crime|Fantasy|Horror|Mystery|Sci-Fi|Thriller</t>
  </si>
  <si>
    <t>Marco St. John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</si>
  <si>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</si>
  <si>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</si>
  <si>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</si>
  <si>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</si>
  <si>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</si>
  <si>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</si>
  <si>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Moritz Bleibtreu</t>
  </si>
  <si>
    <t>The Baader Meinhof Complex </t>
  </si>
  <si>
    <t>German</t>
  </si>
  <si>
    <t>Mary McDonnell</t>
  </si>
  <si>
    <t>Dances with Wolves </t>
  </si>
  <si>
    <t>Bad Teacher </t>
  </si>
  <si>
    <t>Sea of Love </t>
  </si>
  <si>
    <t>Mark Rosman</t>
  </si>
  <si>
    <t>Dan Byrd</t>
  </si>
  <si>
    <t>A Cinderella Story </t>
  </si>
  <si>
    <t>David Arquette</t>
  </si>
  <si>
    <t>Scream </t>
  </si>
  <si>
    <t>Thir13en Ghosts </t>
  </si>
  <si>
    <t>Back to the Future </t>
  </si>
  <si>
    <t>Jeffrey Combs</t>
  </si>
  <si>
    <t>House on Haunted Hill </t>
  </si>
  <si>
    <t>Eric Mendenhall</t>
  </si>
  <si>
    <t>I Can Do Bad All by Myself </t>
  </si>
  <si>
    <t>Caroline Dhavernas</t>
  </si>
  <si>
    <t>The Switch </t>
  </si>
  <si>
    <t>Taran Killam</t>
  </si>
  <si>
    <t>Just Married </t>
  </si>
  <si>
    <t>Mem Ferda</t>
  </si>
  <si>
    <t>The Devil's Double </t>
  </si>
  <si>
    <t>Britt Allcroft</t>
  </si>
  <si>
    <t>Thomas and the Magic Railroad </t>
  </si>
  <si>
    <t>The Crazies </t>
  </si>
  <si>
    <t>Bunta Sugawara</t>
  </si>
  <si>
    <t>Spirited Away </t>
  </si>
  <si>
    <t>The Bounty </t>
  </si>
  <si>
    <t>Brian Percival</t>
  </si>
  <si>
    <t>The Book Thief </t>
  </si>
  <si>
    <t>Adventure|Comedy|Romance</t>
  </si>
  <si>
    <t>Katrina Bowden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</si>
  <si>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</si>
  <si>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</si>
  <si>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</si>
  <si>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</si>
  <si>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</si>
  <si>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</si>
  <si>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</si>
  <si>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Darci Kistler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</si>
  <si>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</si>
  <si>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</si>
  <si>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</si>
  <si>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</si>
  <si>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</si>
  <si>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</si>
  <si>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</si>
  <si>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</si>
  <si>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Tony Nappo</t>
  </si>
  <si>
    <t>Land of the Dead </t>
  </si>
  <si>
    <t>Fear and Loathing in Las Vegas </t>
  </si>
  <si>
    <t>Ricky Gervais</t>
  </si>
  <si>
    <t>The Invention of Lying </t>
  </si>
  <si>
    <t>Craig Roberts</t>
  </si>
  <si>
    <t>Neighbors </t>
  </si>
  <si>
    <t>The Mask </t>
  </si>
  <si>
    <t>Big </t>
  </si>
  <si>
    <t>Luenell</t>
  </si>
  <si>
    <t>Borat: Cultural Learnings of America for Make Benefit Glorious Nation of Kazakhstan </t>
  </si>
  <si>
    <t>Linda Cardellini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</si>
  <si>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</si>
  <si>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</si>
  <si>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</si>
  <si>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</si>
  <si>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</si>
  <si>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</si>
  <si>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</si>
  <si>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Craig T. Nelson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</si>
  <si>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</si>
  <si>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</si>
  <si>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</si>
  <si>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</si>
  <si>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</si>
  <si>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Nia Vardalos</t>
  </si>
  <si>
    <t>My Big Fat Greek Wedding 2 </t>
  </si>
  <si>
    <t>Diary of a Wimpy Kid: Rodrick Rules </t>
  </si>
  <si>
    <t>Predator </t>
  </si>
  <si>
    <t>Biography|Drama|History|Music</t>
  </si>
  <si>
    <t>Jeffrey Jones</t>
  </si>
  <si>
    <t>Amadeus </t>
  </si>
  <si>
    <t>Nelson McCormick</t>
  </si>
  <si>
    <t>Prom Night </t>
  </si>
  <si>
    <t>Mean Girls </t>
  </si>
  <si>
    <t>Audrey Wells</t>
  </si>
  <si>
    <t>Raoul Bova</t>
  </si>
  <si>
    <t>Under the Tuscan Sun </t>
  </si>
  <si>
    <t>Kristin Scott Thomas</t>
  </si>
  <si>
    <t>Gosford Park </t>
  </si>
  <si>
    <t>Peggy Sue Got Married </t>
  </si>
  <si>
    <t>Birdman or (The Unexpected Virtue of Ignorance) </t>
  </si>
  <si>
    <t>Sally Hawkins</t>
  </si>
  <si>
    <t>Blue Jasmine </t>
  </si>
  <si>
    <t>Christian Clemenson</t>
  </si>
  <si>
    <t>United 93 </t>
  </si>
  <si>
    <t>Bille Woodruff</t>
  </si>
  <si>
    <t>Christian Monzon</t>
  </si>
  <si>
    <t>Honey </t>
  </si>
  <si>
    <t>Rick Friedberg</t>
  </si>
  <si>
    <t>Hulk Hogan</t>
  </si>
  <si>
    <t>Spy Hard </t>
  </si>
  <si>
    <t>The Fog </t>
  </si>
  <si>
    <t>Sean McNamara</t>
  </si>
  <si>
    <t>Biography|Drama|Family|Sport</t>
  </si>
  <si>
    <t>Soul Surfer </t>
  </si>
  <si>
    <t>Jody Hill</t>
  </si>
  <si>
    <t>Collette Wolfe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</si>
  <si>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</si>
  <si>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</si>
  <si>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</si>
  <si>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</si>
  <si>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</si>
  <si>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</si>
  <si>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Nicholas Rowe</t>
  </si>
  <si>
    <t>Young Sherlock Holmes </t>
  </si>
  <si>
    <t>Kevin Tancharoen</t>
  </si>
  <si>
    <t>Kelsey Grammer</t>
  </si>
  <si>
    <t>Fame </t>
  </si>
  <si>
    <t>127 Hours </t>
  </si>
  <si>
    <t>Small Time Crooks </t>
  </si>
  <si>
    <t>Nicholas Hytner</t>
  </si>
  <si>
    <t>Amanda Schull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</si>
  <si>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</si>
  <si>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</si>
  <si>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</si>
  <si>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</si>
  <si>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</si>
  <si>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</si>
  <si>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Alan Ruck</t>
  </si>
  <si>
    <t>I Love You, Beth Cooper </t>
  </si>
  <si>
    <t>Youth in Revolt </t>
  </si>
  <si>
    <t>William A. Fraker</t>
  </si>
  <si>
    <t>Jason Robards</t>
  </si>
  <si>
    <t>The Legend of the Lone Ranger </t>
  </si>
  <si>
    <t>John Boorman</t>
  </si>
  <si>
    <t>The Tailor of Panama </t>
  </si>
  <si>
    <t>Courtney Solomon</t>
  </si>
  <si>
    <t>Rebecca Budig</t>
  </si>
  <si>
    <t>Getaway </t>
  </si>
  <si>
    <t>Joan Allen</t>
  </si>
  <si>
    <t>The Ice Storm </t>
  </si>
  <si>
    <t>Yaya DaCosta</t>
  </si>
  <si>
    <t>And So It Goes </t>
  </si>
  <si>
    <t>Jeff Kanew</t>
  </si>
  <si>
    <t>Troop Beverly Hills </t>
  </si>
  <si>
    <t>IstvÃ¡n SzabÃ³</t>
  </si>
  <si>
    <t>Being Julia </t>
  </si>
  <si>
    <t>David Margulies</t>
  </si>
  <si>
    <t>9½ Weeks </t>
  </si>
  <si>
    <t>Matthew Robbins</t>
  </si>
  <si>
    <t>Ian McDiarmid</t>
  </si>
  <si>
    <t>Dragonslayer </t>
  </si>
  <si>
    <t>David Masterson</t>
  </si>
  <si>
    <t>The Last Station </t>
  </si>
  <si>
    <t>Ed Wood </t>
  </si>
  <si>
    <t>Labor Day </t>
  </si>
  <si>
    <t>Tadanobu Asano</t>
  </si>
  <si>
    <t>Mongol: The Rise of Genghis Khan </t>
  </si>
  <si>
    <t>Mongolian</t>
  </si>
  <si>
    <t>RocknRolla </t>
  </si>
  <si>
    <t>Hal Needham</t>
  </si>
  <si>
    <t>Barry Bostwick</t>
  </si>
  <si>
    <t>Megaforce </t>
  </si>
  <si>
    <t>Julie Christie</t>
  </si>
  <si>
    <t>Hamlet </t>
  </si>
  <si>
    <t>Jeff Nichols</t>
  </si>
  <si>
    <t>Midnight Special </t>
  </si>
  <si>
    <t>Anything Else </t>
  </si>
  <si>
    <t>Jonathan Teplitzky</t>
  </si>
  <si>
    <t>Biography|Drama|Romance|War</t>
  </si>
  <si>
    <t>The Railway Man </t>
  </si>
  <si>
    <t>Michael Haneke</t>
  </si>
  <si>
    <t>Ulrich Tukur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</si>
  <si>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</si>
  <si>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</si>
  <si>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</si>
  <si>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</si>
  <si>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</si>
  <si>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</si>
  <si>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</si>
  <si>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</si>
  <si>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</si>
  <si>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</si>
  <si>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</si>
  <si>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</si>
  <si>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Cassie Ventura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</si>
  <si>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</si>
  <si>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</si>
  <si>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</si>
  <si>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</si>
  <si>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</si>
  <si>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</si>
  <si>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</si>
  <si>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Henry Ian Cusick</t>
  </si>
  <si>
    <t>Hitman </t>
  </si>
  <si>
    <t>Kasi Lemmons</t>
  </si>
  <si>
    <t>Drama|Family|Music|Musical</t>
  </si>
  <si>
    <t>Jennifer Hudson</t>
  </si>
  <si>
    <t>Black Nativity </t>
  </si>
  <si>
    <t>Matt Dillon</t>
  </si>
  <si>
    <t>Kirk Fox</t>
  </si>
  <si>
    <t>City of Ghosts </t>
  </si>
  <si>
    <t>Fionnula Flanagan</t>
  </si>
  <si>
    <t>The Others </t>
  </si>
  <si>
    <t>Aliens </t>
  </si>
  <si>
    <t>George Cukor</t>
  </si>
  <si>
    <t>Drama|Family|Musical|Romance</t>
  </si>
  <si>
    <t>Jeremy Brett</t>
  </si>
  <si>
    <t>My Fair Lady </t>
  </si>
  <si>
    <t>Jim Gillespie</t>
  </si>
  <si>
    <t>I Know What You Did Last Summer </t>
  </si>
  <si>
    <t>Let's Be Cops </t>
  </si>
  <si>
    <t>Sideways </t>
  </si>
  <si>
    <t>Chris Moss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</si>
  <si>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</si>
  <si>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</si>
  <si>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</si>
  <si>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</si>
  <si>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</si>
  <si>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</si>
  <si>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</si>
  <si>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</si>
  <si>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</si>
  <si>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Emmanuelle Vaugier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</si>
  <si>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</si>
  <si>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</si>
  <si>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</si>
  <si>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</si>
  <si>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</si>
  <si>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</si>
  <si>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</si>
  <si>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Kevin Grevioux</t>
  </si>
  <si>
    <t>Dickie Roberts: Former Child Star </t>
  </si>
  <si>
    <t>Morgan Saylor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</si>
  <si>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</si>
  <si>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</si>
  <si>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</si>
  <si>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</si>
  <si>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</si>
  <si>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</si>
  <si>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</si>
  <si>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</si>
  <si>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Thomas F. Wilson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</si>
  <si>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</si>
  <si>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</si>
  <si>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</si>
  <si>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</si>
  <si>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</si>
  <si>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</si>
  <si>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Lou Taylor Pucci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</si>
  <si>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</si>
  <si>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</si>
  <si>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</si>
  <si>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</si>
  <si>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</si>
  <si>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</si>
  <si>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</si>
  <si>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</si>
  <si>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</si>
  <si>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</si>
  <si>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</si>
  <si>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</si>
  <si>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Tippi Hedren</t>
  </si>
  <si>
    <t>Roar </t>
  </si>
  <si>
    <t>Brenda Fricker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</si>
  <si>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</si>
  <si>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</si>
  <si>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</si>
  <si>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</si>
  <si>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</si>
  <si>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</si>
  <si>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Julianna Guill</t>
  </si>
  <si>
    <t>The Apparition </t>
  </si>
  <si>
    <t>Howard Zieff</t>
  </si>
  <si>
    <t>My Girl </t>
  </si>
  <si>
    <t>Steven Shainberg</t>
  </si>
  <si>
    <t>Fur: An Imaginary Portrait of Diane Arbus </t>
  </si>
  <si>
    <t>Hal Holbrook</t>
  </si>
  <si>
    <t>Wall Street </t>
  </si>
  <si>
    <t>Sense and Sensibility </t>
  </si>
  <si>
    <t>Julian Jarrold</t>
  </si>
  <si>
    <t>Becoming Jane </t>
  </si>
  <si>
    <t>Joe Nussbaum</t>
  </si>
  <si>
    <t>Danny Strong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</si>
  <si>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</si>
  <si>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</si>
  <si>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</si>
  <si>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</si>
  <si>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</si>
  <si>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</si>
  <si>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Bruno Kirby</t>
  </si>
  <si>
    <t>When Harry Met Sally... </t>
  </si>
  <si>
    <t>The Verdict </t>
  </si>
  <si>
    <t>Ethan Suplee</t>
  </si>
  <si>
    <t>Road Trip </t>
  </si>
  <si>
    <t>Varsity Blues </t>
  </si>
  <si>
    <t>Michel Hazanavicius</t>
  </si>
  <si>
    <t>BÃ©rÃ©nice Bejo</t>
  </si>
  <si>
    <t>The Artist </t>
  </si>
  <si>
    <t>The Unborn </t>
  </si>
  <si>
    <t>Moonrise Kingdom </t>
  </si>
  <si>
    <t>The Texas Chainsaw Massacre: The Beginning </t>
  </si>
  <si>
    <t>Cyrus Nowrasteh</t>
  </si>
  <si>
    <t>Clive Russell</t>
  </si>
  <si>
    <t>The Young Messiah </t>
  </si>
  <si>
    <t>Perry Andelin Blake</t>
  </si>
  <si>
    <t>Jennifer Esposito</t>
  </si>
  <si>
    <t>The Master of Disguise </t>
  </si>
  <si>
    <t>Drama|Fantasy|War</t>
  </si>
  <si>
    <t>Ivana Baquero</t>
  </si>
  <si>
    <t>Pan's Labyrinth </t>
  </si>
  <si>
    <t>Action|Comedy|Crime|Family</t>
  </si>
  <si>
    <t>Leslie Bibb</t>
  </si>
  <si>
    <t>See Spot Run </t>
  </si>
  <si>
    <t>Baby Boy </t>
  </si>
  <si>
    <t>Christian E. Christiansen</t>
  </si>
  <si>
    <t>The Roommate </t>
  </si>
  <si>
    <t>Brittany Daniel</t>
  </si>
  <si>
    <t>Joe Dirt </t>
  </si>
  <si>
    <t>Sheldon Lettich</t>
  </si>
  <si>
    <t>Bolo Yeung</t>
  </si>
  <si>
    <t>Double Impact </t>
  </si>
  <si>
    <t>Action|Comedy|Mystery</t>
  </si>
  <si>
    <t>Bill Bailey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</si>
  <si>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</si>
  <si>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</si>
  <si>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</si>
  <si>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</si>
  <si>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</si>
  <si>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</si>
  <si>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</si>
  <si>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</si>
  <si>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</si>
  <si>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</si>
  <si>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</si>
  <si>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</si>
  <si>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</si>
  <si>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</si>
  <si>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</si>
  <si>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</si>
  <si>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</si>
  <si>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</si>
  <si>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</si>
  <si>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</si>
  <si>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Gretchen Mol</t>
  </si>
  <si>
    <t>The Thirteenth Floor </t>
  </si>
  <si>
    <t>Bruce Paltrow</t>
  </si>
  <si>
    <t>Lochlyn Munro</t>
  </si>
  <si>
    <t>Duets </t>
  </si>
  <si>
    <t>Hollywood Ending </t>
  </si>
  <si>
    <t>Adam Rifkin</t>
  </si>
  <si>
    <t>Detroit Rock City </t>
  </si>
  <si>
    <t>Highlander </t>
  </si>
  <si>
    <t>Susanne Bier</t>
  </si>
  <si>
    <t>Alison Lohman</t>
  </si>
  <si>
    <t>Things We Lost in the Fire </t>
  </si>
  <si>
    <t>Kenneth Johnson</t>
  </si>
  <si>
    <t>Action|Crime|Sci-Fi</t>
  </si>
  <si>
    <t>Charles Napier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</si>
  <si>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</si>
  <si>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</si>
  <si>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</si>
  <si>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</si>
  <si>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</si>
  <si>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</si>
  <si>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</si>
  <si>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</si>
  <si>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</si>
  <si>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NoÃ©</t>
  </si>
  <si>
    <t>Paz de la Huerta</t>
  </si>
  <si>
    <t>Enter the Void </t>
  </si>
  <si>
    <t>Vamps </t>
  </si>
  <si>
    <t>Tommy Lee Jones</t>
  </si>
  <si>
    <t>Barry Corbin</t>
  </si>
  <si>
    <t>The Homesman </t>
  </si>
  <si>
    <t>Jesse Vaughan</t>
  </si>
  <si>
    <t>Juwanna Mann </t>
  </si>
  <si>
    <t>Wayne Beach</t>
  </si>
  <si>
    <t>Slow Burn </t>
  </si>
  <si>
    <t>GÃ©rard Krawczyk</t>
  </si>
  <si>
    <t>Carole Bouquet</t>
  </si>
  <si>
    <t>Wasabi </t>
  </si>
  <si>
    <t>Comedy|Horror|Sci-Fi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</si>
  <si>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</si>
  <si>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</si>
  <si>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</si>
  <si>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</si>
  <si>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</si>
  <si>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</si>
  <si>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</si>
  <si>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Chen Chang</t>
  </si>
  <si>
    <t>Crouching Tiger, Hidden Dragon 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</si>
  <si>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</si>
  <si>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</si>
  <si>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</si>
  <si>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</si>
  <si>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</si>
  <si>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</si>
  <si>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</si>
  <si>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</si>
  <si>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</si>
  <si>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</si>
  <si>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AndrÃ©s Muschietti</t>
  </si>
  <si>
    <t>Mama </t>
  </si>
  <si>
    <t>Beverly D'Angelo</t>
  </si>
  <si>
    <t>National Lampoon's Vacation </t>
  </si>
  <si>
    <t>Jackson Nicoll</t>
  </si>
  <si>
    <t>Bad Grandpa </t>
  </si>
  <si>
    <t>Roger Allam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</si>
  <si>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</si>
  <si>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</si>
  <si>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</si>
  <si>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</si>
  <si>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</si>
  <si>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</si>
  <si>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</si>
  <si>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</si>
  <si>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</si>
  <si>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Frankie Muniz</t>
  </si>
  <si>
    <t>Big Fat Liar </t>
  </si>
  <si>
    <t>Wag the Dog </t>
  </si>
  <si>
    <t>Jim Fall</t>
  </si>
  <si>
    <t>Adventure|Comedy|Family|Music|Romance</t>
  </si>
  <si>
    <t>Clayton Snyder</t>
  </si>
  <si>
    <t>The Lizzie McGuire Movie </t>
  </si>
  <si>
    <t>Ric Roman Waugh</t>
  </si>
  <si>
    <t>Snitch </t>
  </si>
  <si>
    <t>Michael Dougherty</t>
  </si>
  <si>
    <t>Krampus </t>
  </si>
  <si>
    <t>Jordana Brewster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</si>
  <si>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</si>
  <si>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</si>
  <si>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</si>
  <si>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</si>
  <si>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</si>
  <si>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</si>
  <si>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</si>
  <si>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</si>
  <si>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</si>
  <si>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</si>
  <si>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</si>
  <si>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Claude Rains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</si>
  <si>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</si>
  <si>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</si>
  <si>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</si>
  <si>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</si>
  <si>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</si>
  <si>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</si>
  <si>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Jack Davenport</t>
  </si>
  <si>
    <t>The Wedding Date </t>
  </si>
  <si>
    <t>Rick Rosenthal</t>
  </si>
  <si>
    <t>Comedy|Horror|Thriller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</si>
  <si>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</si>
  <si>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</si>
  <si>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</si>
  <si>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</si>
  <si>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</si>
  <si>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</si>
  <si>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</si>
  <si>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</si>
  <si>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</si>
  <si>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</si>
  <si>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</si>
  <si>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Jessie T. Usher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</si>
  <si>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</si>
  <si>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</si>
  <si>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</si>
  <si>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</si>
  <si>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</si>
  <si>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</si>
  <si>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</si>
  <si>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</si>
  <si>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</si>
  <si>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Kim Director</t>
  </si>
  <si>
    <t>Book of Shadows: Blair Witch 2 </t>
  </si>
  <si>
    <t>Christine Taylor</t>
  </si>
  <si>
    <t>The Craft </t>
  </si>
  <si>
    <t>Match Point </t>
  </si>
  <si>
    <t>Elizabeth Allen Rosenbaum</t>
  </si>
  <si>
    <t>Sierra McCormick</t>
  </si>
  <si>
    <t>Ramona and Beezus </t>
  </si>
  <si>
    <t>The Remains of the Day </t>
  </si>
  <si>
    <t>Boogie Nights </t>
  </si>
  <si>
    <t>Kieran Culkin</t>
  </si>
  <si>
    <t>Nowhere to Run </t>
  </si>
  <si>
    <t>Michael Mayer</t>
  </si>
  <si>
    <t>Flicka </t>
  </si>
  <si>
    <t>Martin Weisz</t>
  </si>
  <si>
    <t>Jeff Kober</t>
  </si>
  <si>
    <t>The Hills Have Eyes II </t>
  </si>
  <si>
    <t>John Ottman</t>
  </si>
  <si>
    <t>Urban Legends: Final Cut </t>
  </si>
  <si>
    <t>William Hurt</t>
  </si>
  <si>
    <t>Tuck Everlasting </t>
  </si>
  <si>
    <t>John Bonito</t>
  </si>
  <si>
    <t>Kelly Carlson</t>
  </si>
  <si>
    <t>The Marine </t>
  </si>
  <si>
    <t>Peter Atencio</t>
  </si>
  <si>
    <t>Keanu </t>
  </si>
  <si>
    <t>Country Strong 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</si>
  <si>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</si>
  <si>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</si>
  <si>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</si>
  <si>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</si>
  <si>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</si>
  <si>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</si>
  <si>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Jason Priestley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</si>
  <si>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</si>
  <si>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</si>
  <si>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</si>
  <si>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</si>
  <si>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</si>
  <si>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</si>
  <si>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</si>
  <si>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</si>
  <si>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</si>
  <si>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Yuri Lowenthal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</si>
  <si>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</si>
  <si>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</si>
  <si>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</si>
  <si>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</si>
  <si>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</si>
  <si>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</si>
  <si>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</si>
  <si>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</si>
  <si>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</si>
  <si>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Daniel Stern</t>
  </si>
  <si>
    <t>Whip It </t>
  </si>
  <si>
    <t>James Foley</t>
  </si>
  <si>
    <t>Confidence </t>
  </si>
  <si>
    <t>The Muse </t>
  </si>
  <si>
    <t>De-Lovely </t>
  </si>
  <si>
    <t>New York Stories </t>
  </si>
  <si>
    <t>Steve Gomer</t>
  </si>
  <si>
    <t>Trevor Morgan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</si>
  <si>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</si>
  <si>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</si>
  <si>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</si>
  <si>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</si>
  <si>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</si>
  <si>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</si>
  <si>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</si>
  <si>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</si>
  <si>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Oliver James</t>
  </si>
  <si>
    <t>Raise Your Voice </t>
  </si>
  <si>
    <t>The Big Lebowski </t>
  </si>
  <si>
    <t>Craig Brewer</t>
  </si>
  <si>
    <t>Black Snake Moan </t>
  </si>
  <si>
    <t>Khandi Alexander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</si>
  <si>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</si>
  <si>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</si>
  <si>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</si>
  <si>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</si>
  <si>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</si>
  <si>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</si>
  <si>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</si>
  <si>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</si>
  <si>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</si>
  <si>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</si>
  <si>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</si>
  <si>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</si>
  <si>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Elizabeth Berrington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</si>
  <si>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</si>
  <si>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</si>
  <si>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</si>
  <si>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</si>
  <si>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</si>
  <si>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</si>
  <si>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</si>
  <si>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</si>
  <si>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Larry David</t>
  </si>
  <si>
    <t>Whatever Works </t>
  </si>
  <si>
    <t>Mary Lambert</t>
  </si>
  <si>
    <t>Matthew Settle</t>
  </si>
  <si>
    <t>The In Crowd </t>
  </si>
  <si>
    <t>Adventure|Crime|Drama|Mystery|Western</t>
  </si>
  <si>
    <t>Levon Helm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</si>
  <si>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</si>
  <si>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</si>
  <si>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</si>
  <si>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</si>
  <si>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</si>
  <si>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</si>
  <si>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</si>
  <si>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</si>
  <si>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</si>
  <si>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</si>
  <si>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</si>
  <si>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Thomas Kretschmann</t>
  </si>
  <si>
    <t>Transsiberian </t>
  </si>
  <si>
    <t>Michael Chapman</t>
  </si>
  <si>
    <t>Curtis Armstrong</t>
  </si>
  <si>
    <t>The Clan of the Cave Bear </t>
  </si>
  <si>
    <t>Antonio Banderas</t>
  </si>
  <si>
    <t>Crazy in Alabama </t>
  </si>
  <si>
    <t>Funny Games </t>
  </si>
  <si>
    <t>Fritz Lang</t>
  </si>
  <si>
    <t>Brigitte Helm</t>
  </si>
  <si>
    <t>Metropolis </t>
  </si>
  <si>
    <t>David Belle</t>
  </si>
  <si>
    <t>District B13 </t>
  </si>
  <si>
    <t>Things to Do in Denver When You're Dead </t>
  </si>
  <si>
    <t>Hsiao-Hsien Hou</t>
  </si>
  <si>
    <t>Qi Shu</t>
  </si>
  <si>
    <t>The Assassin </t>
  </si>
  <si>
    <t>Gregor Jordan</t>
  </si>
  <si>
    <t>Comedy|Crime|Drama|Thriller|War</t>
  </si>
  <si>
    <t>Buffalo Soldiers </t>
  </si>
  <si>
    <t>Tony Jaa</t>
  </si>
  <si>
    <t>Nirut Sirichanya</t>
  </si>
  <si>
    <t>Ong-bak 2 </t>
  </si>
  <si>
    <t>Thai</t>
  </si>
  <si>
    <t>RyÃ»hei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</si>
  <si>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</si>
  <si>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</si>
  <si>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</si>
  <si>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</si>
  <si>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</si>
  <si>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</si>
  <si>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Eddie Izzard</t>
  </si>
  <si>
    <t>All the Queen's Men </t>
  </si>
  <si>
    <t>Jake Paltrow</t>
  </si>
  <si>
    <t>Comedy|Drama|Fantasy|Music|Romance</t>
  </si>
  <si>
    <t>Stephen Graham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</si>
  <si>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</si>
  <si>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</si>
  <si>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</si>
  <si>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</si>
  <si>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</si>
  <si>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</si>
  <si>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</si>
  <si>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</si>
  <si>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</si>
  <si>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</si>
  <si>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Anil Kapoor</t>
  </si>
  <si>
    <t>Slumdog Millionaire </t>
  </si>
  <si>
    <t>Fred Gwynne</t>
  </si>
  <si>
    <t>Fatal Attraction </t>
  </si>
  <si>
    <t>Pretty Woman </t>
  </si>
  <si>
    <t>John Cornell</t>
  </si>
  <si>
    <t>Crocodile Dundee II </t>
  </si>
  <si>
    <t>Born on the Fourth of July </t>
  </si>
  <si>
    <t>Doug E. Doug</t>
  </si>
  <si>
    <t>Cool Runnings </t>
  </si>
  <si>
    <t>Jensen Ackles</t>
  </si>
  <si>
    <t>My Bloody Valentine </t>
  </si>
  <si>
    <t>Stomp the Yard </t>
  </si>
  <si>
    <t>Caroline Munro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</si>
  <si>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</si>
  <si>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</si>
  <si>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</si>
  <si>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</si>
  <si>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</si>
  <si>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</si>
  <si>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</si>
  <si>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Phil Vischer</t>
  </si>
  <si>
    <t>Jonah: A VeggieTales Movie </t>
  </si>
  <si>
    <t>Janet Jackson</t>
  </si>
  <si>
    <t>Poetic Justice </t>
  </si>
  <si>
    <t>Mike Epps</t>
  </si>
  <si>
    <t>All About the Benjamins </t>
  </si>
  <si>
    <t>Vampire in Brooklyn </t>
  </si>
  <si>
    <t>Sissy Spacek</t>
  </si>
  <si>
    <t>An American Haunting </t>
  </si>
  <si>
    <t>My Boss's Daughter </t>
  </si>
  <si>
    <t>Adventure|Mystery|Thriller</t>
  </si>
  <si>
    <t>A Perfect Getaway </t>
  </si>
  <si>
    <t>Rick Famuyiwa</t>
  </si>
  <si>
    <t>America Ferrera</t>
  </si>
  <si>
    <t>Our Family Wedding </t>
  </si>
  <si>
    <t>Alan Cohn</t>
  </si>
  <si>
    <t>Dead Man on Campus </t>
  </si>
  <si>
    <t>Franco Zeffirelli</t>
  </si>
  <si>
    <t>Comedy|Drama|War</t>
  </si>
  <si>
    <t>Lily Tomlin</t>
  </si>
  <si>
    <t>Tea with Mussolini </t>
  </si>
  <si>
    <t>Tom Holland</t>
  </si>
  <si>
    <t>Thinner </t>
  </si>
  <si>
    <t>Crooklyn </t>
  </si>
  <si>
    <t>James Isaac</t>
  </si>
  <si>
    <t>Peter Mensah</t>
  </si>
  <si>
    <t>Jason X </t>
  </si>
  <si>
    <t>Emilio Estevez</t>
  </si>
  <si>
    <t>Bobby </t>
  </si>
  <si>
    <t>Comedy|Mystery|Romance</t>
  </si>
  <si>
    <t>Monica Potter</t>
  </si>
  <si>
    <t>Head Over Heels </t>
  </si>
  <si>
    <t>Josh Schwartz</t>
  </si>
  <si>
    <t>Thomas McDonell</t>
  </si>
  <si>
    <t>Fun Size </t>
  </si>
  <si>
    <t>Todd Field</t>
  </si>
  <si>
    <t>Little Children </t>
  </si>
  <si>
    <t>Davis Guggenheim</t>
  </si>
  <si>
    <t>Gossip </t>
  </si>
  <si>
    <t>A Walk on the Moon </t>
  </si>
  <si>
    <t>Derek Luke</t>
  </si>
  <si>
    <t>Catch a Fire </t>
  </si>
  <si>
    <t>Stephen Carpenter</t>
  </si>
  <si>
    <t>Melissa Sagemiller</t>
  </si>
  <si>
    <t>Soul Survivors </t>
  </si>
  <si>
    <t>Seth Gilliam</t>
  </si>
  <si>
    <t>Jefferson in Paris </t>
  </si>
  <si>
    <t>James Fargo</t>
  </si>
  <si>
    <t>Caravans </t>
  </si>
  <si>
    <t>Lesley Manville</t>
  </si>
  <si>
    <t>Mr. Turner </t>
  </si>
  <si>
    <t>Biography|Crime|Drama|War</t>
  </si>
  <si>
    <t>Sebastian Koch</t>
  </si>
  <si>
    <t>Amen. </t>
  </si>
  <si>
    <t>John Heard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</si>
  <si>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</si>
  <si>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</si>
  <si>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</si>
  <si>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</si>
  <si>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</si>
  <si>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</si>
  <si>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</si>
  <si>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</si>
  <si>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</si>
  <si>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</si>
  <si>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</si>
  <si>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BelÃ©n Rueda</t>
  </si>
  <si>
    <t>The Sea Inside </t>
  </si>
  <si>
    <t>Biography|Comedy|Drama|War</t>
  </si>
  <si>
    <t>Good Morning, Vietnam </t>
  </si>
  <si>
    <t>Jason Mewes</t>
  </si>
  <si>
    <t>The Last Godfather </t>
  </si>
  <si>
    <t>Usher Raymond</t>
  </si>
  <si>
    <t>Justin Bieber: Never Say Never </t>
  </si>
  <si>
    <t>Black Swan </t>
  </si>
  <si>
    <t>The Godfather: Part II </t>
  </si>
  <si>
    <t>Sean Patrick Thomas</t>
  </si>
  <si>
    <t>Save the Last Dance </t>
  </si>
  <si>
    <t>Tuesday Knight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</si>
  <si>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</si>
  <si>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</si>
  <si>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</si>
  <si>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</si>
  <si>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</si>
  <si>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Jack Palance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</si>
  <si>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</si>
  <si>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</si>
  <si>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</si>
  <si>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</si>
  <si>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</si>
  <si>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</si>
  <si>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</si>
  <si>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</si>
  <si>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</si>
  <si>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Ã“scar Jaenada</t>
  </si>
  <si>
    <t>The Shallows </t>
  </si>
  <si>
    <t>Eric Bress</t>
  </si>
  <si>
    <t>The Butterfly Effect </t>
  </si>
  <si>
    <t>Chris Elliott</t>
  </si>
  <si>
    <t>Snow Day </t>
  </si>
  <si>
    <t>Preston A. Whitmore II</t>
  </si>
  <si>
    <t>This Christmas </t>
  </si>
  <si>
    <t>Comedy|Crime|Family|Sci-Fi</t>
  </si>
  <si>
    <t>Kathleen Turner</t>
  </si>
  <si>
    <t>Baby Geniuses </t>
  </si>
  <si>
    <t>Kirk Wong</t>
  </si>
  <si>
    <t>The Big Hit </t>
  </si>
  <si>
    <t>Bronwen Hughes</t>
  </si>
  <si>
    <t>Harriet the Spy </t>
  </si>
  <si>
    <t>John Lafia</t>
  </si>
  <si>
    <t>Jenny Agutter</t>
  </si>
  <si>
    <t>Child's Play 2 </t>
  </si>
  <si>
    <t>Sam Miller</t>
  </si>
  <si>
    <t>No Good Deed </t>
  </si>
  <si>
    <t>The Mist </t>
  </si>
  <si>
    <t>Alex Garland</t>
  </si>
  <si>
    <t>Elina Alminas</t>
  </si>
  <si>
    <t>Ex Machina </t>
  </si>
  <si>
    <t>Being John Malkovich </t>
  </si>
  <si>
    <t>Mark Brown</t>
  </si>
  <si>
    <t>Two Can Play That Game </t>
  </si>
  <si>
    <t>Adventure|Family|Sci-Fi</t>
  </si>
  <si>
    <t>Teo Halm</t>
  </si>
  <si>
    <t>Earth to Echo </t>
  </si>
  <si>
    <t>Crazy/Beautiful </t>
  </si>
  <si>
    <t>Yuki Matsuzaki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</si>
  <si>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</si>
  <si>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</si>
  <si>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</si>
  <si>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</si>
  <si>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</si>
  <si>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</si>
  <si>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</si>
  <si>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</si>
  <si>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Don Rickles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</si>
  <si>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</si>
  <si>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</si>
  <si>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</si>
  <si>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</si>
  <si>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</si>
  <si>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</si>
  <si>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</si>
  <si>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</si>
  <si>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</si>
  <si>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</si>
  <si>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</si>
  <si>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</si>
  <si>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</si>
  <si>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Justin Chon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</si>
  <si>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</si>
  <si>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</si>
  <si>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</si>
  <si>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</si>
  <si>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</si>
  <si>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</si>
  <si>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</si>
  <si>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</si>
  <si>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</si>
  <si>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</si>
  <si>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</si>
  <si>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</si>
  <si>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</si>
  <si>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</si>
  <si>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Burt Young</t>
  </si>
  <si>
    <t>Excessive Force </t>
  </si>
  <si>
    <t>Infamous </t>
  </si>
  <si>
    <t>The Claim </t>
  </si>
  <si>
    <t>The Vatican Tapes </t>
  </si>
  <si>
    <t>Joe Cornish</t>
  </si>
  <si>
    <t>John Boyega</t>
  </si>
  <si>
    <t>Attack the Block </t>
  </si>
  <si>
    <t>Jelena Jovanova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</si>
  <si>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</si>
  <si>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</si>
  <si>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</si>
  <si>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</si>
  <si>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</si>
  <si>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</si>
  <si>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</si>
  <si>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Steve Irwin</t>
  </si>
  <si>
    <t>The Crocodile Hunter: Collision Course </t>
  </si>
  <si>
    <t>Biography|Comedy|Crime|Drama|Romance</t>
  </si>
  <si>
    <t>Dameon Clarke</t>
  </si>
  <si>
    <t>I Love You Phillip Morris </t>
  </si>
  <si>
    <t>Antwone Fisher </t>
  </si>
  <si>
    <t>Gabriel Millman</t>
  </si>
  <si>
    <t>The Emperor's Club </t>
  </si>
  <si>
    <t>True Romance </t>
  </si>
  <si>
    <t>Glengarry Glen Ross </t>
  </si>
  <si>
    <t>The Killer Inside Me </t>
  </si>
  <si>
    <t>Stewart Hendler</t>
  </si>
  <si>
    <t>Julian Morris</t>
  </si>
  <si>
    <t>Sorority Row </t>
  </si>
  <si>
    <t>Lars and the Real Girl </t>
  </si>
  <si>
    <t>Mark Herman</t>
  </si>
  <si>
    <t>Richard Johnson</t>
  </si>
  <si>
    <t>The Boy in the Striped Pajamas </t>
  </si>
  <si>
    <t>Crime|Drama|Musical</t>
  </si>
  <si>
    <t>Dancer in the Dark </t>
  </si>
  <si>
    <t>Oscar and Lucinda </t>
  </si>
  <si>
    <t>Abel Ferrara</t>
  </si>
  <si>
    <t>Isabella Rossellini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</si>
  <si>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</si>
  <si>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</si>
  <si>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</si>
  <si>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</si>
  <si>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</si>
  <si>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</si>
  <si>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</si>
  <si>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</si>
  <si>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</si>
  <si>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Min-sik Choi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</si>
  <si>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</si>
  <si>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</si>
  <si>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</si>
  <si>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</si>
  <si>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</si>
  <si>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</si>
  <si>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</si>
  <si>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</si>
  <si>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StÃ©phane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</si>
  <si>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</si>
  <si>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</si>
  <si>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</si>
  <si>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</si>
  <si>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</si>
  <si>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</si>
  <si>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</si>
  <si>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Sean Young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</si>
  <si>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</si>
  <si>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</si>
  <si>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</si>
  <si>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</si>
  <si>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</si>
  <si>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</si>
  <si>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Alex Veadov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</si>
  <si>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</si>
  <si>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</si>
  <si>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</si>
  <si>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</si>
  <si>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</si>
  <si>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</si>
  <si>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</si>
  <si>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</si>
  <si>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</si>
  <si>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</si>
  <si>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</si>
  <si>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Shelley Duvall</t>
  </si>
  <si>
    <t>Time Bandits </t>
  </si>
  <si>
    <t>Tamra Davis</t>
  </si>
  <si>
    <t>Britney Spears</t>
  </si>
  <si>
    <t>Crossroads </t>
  </si>
  <si>
    <t>Nima Nourizadeh</t>
  </si>
  <si>
    <t>Dax Flame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</si>
  <si>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</si>
  <si>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</si>
  <si>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</si>
  <si>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</si>
  <si>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</si>
  <si>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</si>
  <si>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</si>
  <si>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</si>
  <si>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</si>
  <si>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</si>
  <si>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</si>
  <si>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Steven Mackintosh</t>
  </si>
  <si>
    <t>The Muppet Christmas Carol </t>
  </si>
  <si>
    <t>Frida </t>
  </si>
  <si>
    <t>Dan Cutforth</t>
  </si>
  <si>
    <t>Lexie Contursi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</si>
  <si>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</si>
  <si>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</si>
  <si>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</si>
  <si>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</si>
  <si>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</si>
  <si>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</si>
  <si>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</si>
  <si>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</si>
  <si>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Tammin Sursok</t>
  </si>
  <si>
    <t>Aquamarine </t>
  </si>
  <si>
    <t>Jake Schreier</t>
  </si>
  <si>
    <t>Nat Wolff</t>
  </si>
  <si>
    <t>Paper Towns </t>
  </si>
  <si>
    <t>Devin Ratray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</si>
  <si>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</si>
  <si>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</si>
  <si>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</si>
  <si>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</si>
  <si>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</si>
  <si>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</si>
  <si>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</si>
  <si>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</si>
  <si>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</si>
  <si>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JÃ¼rgen Prochnow</t>
  </si>
  <si>
    <t>Das Boot </t>
  </si>
  <si>
    <t>Wallace Wolodarsky</t>
  </si>
  <si>
    <t>Heather Matarazzo</t>
  </si>
  <si>
    <t>Sorority Boys </t>
  </si>
  <si>
    <t>Tom Hughes</t>
  </si>
  <si>
    <t>About Time </t>
  </si>
  <si>
    <t>House of Flying Daggers </t>
  </si>
  <si>
    <t>Nicholas Jarecki</t>
  </si>
  <si>
    <t>Nate Parker</t>
  </si>
  <si>
    <t>Arbitrage </t>
  </si>
  <si>
    <t>Dean Israelite</t>
  </si>
  <si>
    <t>Gary Weeks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</si>
  <si>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</si>
  <si>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</si>
  <si>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</si>
  <si>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</si>
  <si>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</si>
  <si>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</si>
  <si>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</si>
  <si>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</si>
  <si>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</si>
  <si>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Melanie Griffith</t>
  </si>
  <si>
    <t>Celebrity </t>
  </si>
  <si>
    <t>Jill Clayburgh</t>
  </si>
  <si>
    <t>Running with Scissors </t>
  </si>
  <si>
    <t>Anika Noni Rose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</si>
  <si>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</si>
  <si>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</si>
  <si>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</si>
  <si>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</si>
  <si>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</si>
  <si>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</si>
  <si>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</si>
  <si>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</si>
  <si>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Doona Bae</t>
  </si>
  <si>
    <t>Antonia Bird</t>
  </si>
  <si>
    <t>Jeremy Davies</t>
  </si>
  <si>
    <t>Ravenous </t>
  </si>
  <si>
    <t>Jon Poll</t>
  </si>
  <si>
    <t>Charlie Bartlett </t>
  </si>
  <si>
    <t>Paolo Sorrentino</t>
  </si>
  <si>
    <t>Toni Servillo</t>
  </si>
  <si>
    <t>The Great Beauty </t>
  </si>
  <si>
    <t>Peter Care</t>
  </si>
  <si>
    <t>The Dangerous Lives of Altar Boys </t>
  </si>
  <si>
    <t>Chan-wook Park</t>
  </si>
  <si>
    <t>Mia Wasikowska</t>
  </si>
  <si>
    <t>Stoker </t>
  </si>
  <si>
    <t>2046 </t>
  </si>
  <si>
    <t>Ira Sachs</t>
  </si>
  <si>
    <t>Crime|Drama|Romance</t>
  </si>
  <si>
    <t>David Richmond-Peck</t>
  </si>
  <si>
    <t>Married Life </t>
  </si>
  <si>
    <t>Carroll Ballard</t>
  </si>
  <si>
    <t>Eamonn Walker</t>
  </si>
  <si>
    <t>Duma </t>
  </si>
  <si>
    <t>Ondine </t>
  </si>
  <si>
    <t>Takeshi Kitano</t>
  </si>
  <si>
    <t>Brother </t>
  </si>
  <si>
    <t>Welcome to Collinwood </t>
  </si>
  <si>
    <t>Critical Care </t>
  </si>
  <si>
    <t>Eva Amurri Martino</t>
  </si>
  <si>
    <t>The Life Before Her Eyes </t>
  </si>
  <si>
    <t>Marco Kreuzpaintner</t>
  </si>
  <si>
    <t>Trade </t>
  </si>
  <si>
    <t>Lajos Koltai</t>
  </si>
  <si>
    <t>Marcell Nagy</t>
  </si>
  <si>
    <t>Fateless </t>
  </si>
  <si>
    <t>Hungarian</t>
  </si>
  <si>
    <t>Alan Rudolph</t>
  </si>
  <si>
    <t>Breakfast of Champions </t>
  </si>
  <si>
    <t>Chuan Lu</t>
  </si>
  <si>
    <t>Ye Liu</t>
  </si>
  <si>
    <t>City of Life and Death </t>
  </si>
  <si>
    <t>Richard Coyle</t>
  </si>
  <si>
    <t>5 Days of War </t>
  </si>
  <si>
    <t>Timothy Hines</t>
  </si>
  <si>
    <t>10 Days in a Madhouse </t>
  </si>
  <si>
    <t>Jacob Vargas</t>
  </si>
  <si>
    <t>Heaven Is for Real </t>
  </si>
  <si>
    <t>Snatch </t>
  </si>
  <si>
    <t>Miko Hughes</t>
  </si>
  <si>
    <t>Pet Sematary </t>
  </si>
  <si>
    <t>Akira Kurosawa</t>
  </si>
  <si>
    <t>Tatsuo Matsumura</t>
  </si>
  <si>
    <t>Madadayo </t>
  </si>
  <si>
    <t>Phoebe Cates</t>
  </si>
  <si>
    <t>Gremlins </t>
  </si>
  <si>
    <t>Star Wars: Episode IV - A New Hope </t>
  </si>
  <si>
    <t>Dan Mazer</t>
  </si>
  <si>
    <t>Dirty Grandpa </t>
  </si>
  <si>
    <t>Doctor Zhivago </t>
  </si>
  <si>
    <t>Lucas Grabeel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</si>
  <si>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</si>
  <si>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</si>
  <si>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</si>
  <si>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</si>
  <si>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</si>
  <si>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</si>
  <si>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</si>
  <si>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Corbin Bernsen</t>
  </si>
  <si>
    <t>Major League </t>
  </si>
  <si>
    <t>Phone Booth </t>
  </si>
  <si>
    <t>Lauren German</t>
  </si>
  <si>
    <t>A Walk to Remember </t>
  </si>
  <si>
    <t>Lois Smith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</si>
  <si>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</si>
  <si>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</si>
  <si>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</si>
  <si>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</si>
  <si>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</si>
  <si>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</si>
  <si>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Steven Bauer</t>
  </si>
  <si>
    <t>Raising Cain </t>
  </si>
  <si>
    <t>Louise Fletcher</t>
  </si>
  <si>
    <t>Invaders from Mars </t>
  </si>
  <si>
    <t>John Crowley</t>
  </si>
  <si>
    <t>Brooklyn </t>
  </si>
  <si>
    <t>Brendan Malloy</t>
  </si>
  <si>
    <t>Lee Majors</t>
  </si>
  <si>
    <t>Out Cold </t>
  </si>
  <si>
    <t>The Ladies Man </t>
  </si>
  <si>
    <t>Dustin Hoffman</t>
  </si>
  <si>
    <t>Luke Newberry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</si>
  <si>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</si>
  <si>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</si>
  <si>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</si>
  <si>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</si>
  <si>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</si>
  <si>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</si>
  <si>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</si>
  <si>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</si>
  <si>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Patricia Tallman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</si>
  <si>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</si>
  <si>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</si>
  <si>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</si>
  <si>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</si>
  <si>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</si>
  <si>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</si>
  <si>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</si>
  <si>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Michael McKean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</si>
  <si>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</si>
  <si>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</si>
  <si>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</si>
  <si>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</si>
  <si>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</si>
  <si>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</si>
  <si>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</si>
  <si>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Phyllida Law</t>
  </si>
  <si>
    <t>Copying Beethoven </t>
  </si>
  <si>
    <t>David Hackl</t>
  </si>
  <si>
    <t>Saw V </t>
  </si>
  <si>
    <t>Ray Lawrence</t>
  </si>
  <si>
    <t>John Howard</t>
  </si>
  <si>
    <t>Jindabyne </t>
  </si>
  <si>
    <t>Karan Johar</t>
  </si>
  <si>
    <t>Shah Rukh Khan</t>
  </si>
  <si>
    <t>Kabhi Alvida Naa Kehna </t>
  </si>
  <si>
    <t>Hindi</t>
  </si>
  <si>
    <t>An Ideal Husband </t>
  </si>
  <si>
    <t>Ruairi Robinson</t>
  </si>
  <si>
    <t>The Last Days on Mars </t>
  </si>
  <si>
    <t>Jaume BalaguerÃ³</t>
  </si>
  <si>
    <t>Darkness </t>
  </si>
  <si>
    <t>Keir Dullea</t>
  </si>
  <si>
    <t>2001: A Space Odyssey </t>
  </si>
  <si>
    <t>Family|Sci-Fi</t>
  </si>
  <si>
    <t>Henry Thomas</t>
  </si>
  <si>
    <t>E.T. the Extra-Terrestrial </t>
  </si>
  <si>
    <t>Jon Kasdan</t>
  </si>
  <si>
    <t>In the Land of Women </t>
  </si>
  <si>
    <t>Floyd Mutrux</t>
  </si>
  <si>
    <t>Ricky Schroder</t>
  </si>
  <si>
    <t>There Goes My Baby </t>
  </si>
  <si>
    <t>Dean Wright</t>
  </si>
  <si>
    <t>Santiago Cabrera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</si>
  <si>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</si>
  <si>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</si>
  <si>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</si>
  <si>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</si>
  <si>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</si>
  <si>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</si>
  <si>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</si>
  <si>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</si>
  <si>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</si>
  <si>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</si>
  <si>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</si>
  <si>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</si>
  <si>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Boris Kodjoe</t>
  </si>
  <si>
    <t>Madea's Family Reunion </t>
  </si>
  <si>
    <t>The Color of Money </t>
  </si>
  <si>
    <t>Lane Smith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</si>
  <si>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</si>
  <si>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</si>
  <si>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</si>
  <si>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</si>
  <si>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</si>
  <si>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</si>
  <si>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</si>
  <si>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</si>
  <si>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 Reed</t>
  </si>
  <si>
    <t>Oliver! </t>
  </si>
  <si>
    <t>The Best Exotic Marigold Hotel </t>
  </si>
  <si>
    <t>Chuck Sheetz</t>
  </si>
  <si>
    <t>Recess: School's Out </t>
  </si>
  <si>
    <t>Tina Turner</t>
  </si>
  <si>
    <t>Mad Max Beyond Thunderdome </t>
  </si>
  <si>
    <t>Lauren Cohan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</si>
  <si>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</si>
  <si>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</si>
  <si>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</si>
  <si>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</si>
  <si>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</si>
  <si>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</si>
  <si>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</si>
  <si>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</si>
  <si>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</si>
  <si>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Jeff Fahey</t>
  </si>
  <si>
    <t>The Lawnmower Man </t>
  </si>
  <si>
    <t>Peter Sollett</t>
  </si>
  <si>
    <t>Ari Graynor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</si>
  <si>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</si>
  <si>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</si>
  <si>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</si>
  <si>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</si>
  <si>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</si>
  <si>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</si>
  <si>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</si>
  <si>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</si>
  <si>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</si>
  <si>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</si>
  <si>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</si>
  <si>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</si>
  <si>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</si>
  <si>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</si>
  <si>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</si>
  <si>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CiarÃ¡n Foy</t>
  </si>
  <si>
    <t>Laila Haley</t>
  </si>
  <si>
    <t>Sinister 2 </t>
  </si>
  <si>
    <t>Salim Akil</t>
  </si>
  <si>
    <t>Omari Hardwick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</si>
  <si>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</si>
  <si>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</si>
  <si>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</si>
  <si>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</si>
  <si>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</si>
  <si>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</si>
  <si>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</si>
  <si>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</si>
  <si>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David Zayas</t>
  </si>
  <si>
    <t>Skyline </t>
  </si>
  <si>
    <t>Tina Desai</t>
  </si>
  <si>
    <t>The Second Best Exotic Marigold Hotel </t>
  </si>
  <si>
    <t>Patricia Rozema</t>
  </si>
  <si>
    <t>Kit Kittredge: An American Girl </t>
  </si>
  <si>
    <t>Ben Feldman</t>
  </si>
  <si>
    <t>The Perfect Man </t>
  </si>
  <si>
    <t>Mo' Better Blues </t>
  </si>
  <si>
    <t>Kung Pow: Enter the Fist </t>
  </si>
  <si>
    <t>Reba McEntire</t>
  </si>
  <si>
    <t>Tremors </t>
  </si>
  <si>
    <t>Rob Schmidt</t>
  </si>
  <si>
    <t>Wrong Turn </t>
  </si>
  <si>
    <t>Byron Mann</t>
  </si>
  <si>
    <t>The Corruptor </t>
  </si>
  <si>
    <t>Mud </t>
  </si>
  <si>
    <t>Robert Ben Garant</t>
  </si>
  <si>
    <t>Wendi McLendon-Covey</t>
  </si>
  <si>
    <t>Reno 911!: Miami </t>
  </si>
  <si>
    <t>Morgan Spurlock</t>
  </si>
  <si>
    <t>Harry Styles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</si>
  <si>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</si>
  <si>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</si>
  <si>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</si>
  <si>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</si>
  <si>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</si>
  <si>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</si>
  <si>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</si>
  <si>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</si>
  <si>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</si>
  <si>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</si>
  <si>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Chase Ellison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</si>
  <si>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</si>
  <si>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</si>
  <si>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</si>
  <si>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</si>
  <si>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</si>
  <si>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</si>
  <si>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</si>
  <si>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</si>
  <si>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</si>
  <si>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</si>
  <si>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</si>
  <si>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Jasper Cole</t>
  </si>
  <si>
    <t>MacGruber </t>
  </si>
  <si>
    <t>Sophie Okonedo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</si>
  <si>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</si>
  <si>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</si>
  <si>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</si>
  <si>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</si>
  <si>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</si>
  <si>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</si>
  <si>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</si>
  <si>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</si>
  <si>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</si>
  <si>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</si>
  <si>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Daniel Sharman</t>
  </si>
  <si>
    <t>The Collection </t>
  </si>
  <si>
    <t>Timothy BjÃ¶rklund</t>
  </si>
  <si>
    <t>Teacher's Pet </t>
  </si>
  <si>
    <t>FranÃ§ois Girard</t>
  </si>
  <si>
    <t>Drama|Music|Mystery|Romance</t>
  </si>
  <si>
    <t>Johannes Silberschneider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</si>
  <si>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</si>
  <si>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</si>
  <si>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</si>
  <si>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</si>
  <si>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</si>
  <si>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</si>
  <si>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</si>
  <si>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</si>
  <si>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</si>
  <si>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</si>
  <si>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</si>
  <si>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</si>
  <si>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</si>
  <si>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</si>
  <si>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</si>
  <si>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</si>
  <si>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</si>
  <si>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Flavio Parenti</t>
  </si>
  <si>
    <t>I Am Love </t>
  </si>
  <si>
    <t>John Putch</t>
  </si>
  <si>
    <t>Robert Picardo</t>
  </si>
  <si>
    <t>Atlas Shrugged II: The Strike </t>
  </si>
  <si>
    <t>Peter Medak</t>
  </si>
  <si>
    <t>Romeo Is Bleeding </t>
  </si>
  <si>
    <t>Peter Fonda</t>
  </si>
  <si>
    <t>The Limey </t>
  </si>
  <si>
    <t>Crash </t>
  </si>
  <si>
    <t>Terence Davies</t>
  </si>
  <si>
    <t>Eric Stoltz</t>
  </si>
  <si>
    <t>The House of Mirth </t>
  </si>
  <si>
    <t>Harley Cokeliss</t>
  </si>
  <si>
    <t>Cliff Robertson</t>
  </si>
  <si>
    <t>Malone </t>
  </si>
  <si>
    <t>Scott Mechlowicz</t>
  </si>
  <si>
    <t>Peaceful Warrior </t>
  </si>
  <si>
    <t>Tom Brady</t>
  </si>
  <si>
    <t>Bucky Larson: Born to Be a Star </t>
  </si>
  <si>
    <t>Gillian White</t>
  </si>
  <si>
    <t>Bamboozled </t>
  </si>
  <si>
    <t>Jason Zada</t>
  </si>
  <si>
    <t>Eoin Macken</t>
  </si>
  <si>
    <t>The Forest </t>
  </si>
  <si>
    <t>Franklin J. Schaffner</t>
  </si>
  <si>
    <t>Sphinx </t>
  </si>
  <si>
    <t>Noah Baumbach</t>
  </si>
  <si>
    <t>While We're Young </t>
  </si>
  <si>
    <t>A Better Life </t>
  </si>
  <si>
    <t>Miranda Richardson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</si>
  <si>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</si>
  <si>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</si>
  <si>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</si>
  <si>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</si>
  <si>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</si>
  <si>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</si>
  <si>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</si>
  <si>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</si>
  <si>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</si>
  <si>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</si>
  <si>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</si>
  <si>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</si>
  <si>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</si>
  <si>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</si>
  <si>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</si>
  <si>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</si>
  <si>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Bashar Rahal</t>
  </si>
  <si>
    <t>War, Inc. </t>
  </si>
  <si>
    <t>Wei Zhao</t>
  </si>
  <si>
    <t>Shaolin Soccer </t>
  </si>
  <si>
    <t>Vincent Gallo</t>
  </si>
  <si>
    <t>The Brown Bunny </t>
  </si>
  <si>
    <t>Claude Chabrol</t>
  </si>
  <si>
    <t>Isabelle Huppert</t>
  </si>
  <si>
    <t>The Swindle </t>
  </si>
  <si>
    <t>Jon Stewart</t>
  </si>
  <si>
    <t>Numan Acar</t>
  </si>
  <si>
    <t>Rosewater </t>
  </si>
  <si>
    <t>Dan Harris</t>
  </si>
  <si>
    <t>Kip Pardue</t>
  </si>
  <si>
    <t>Imaginary Heroes </t>
  </si>
  <si>
    <t>Mel Smith</t>
  </si>
  <si>
    <t>Action|Comedy|Drama</t>
  </si>
  <si>
    <t>High Heels and Low Lifes </t>
  </si>
  <si>
    <t>Christopher Smith</t>
  </si>
  <si>
    <t>Danny Dyer</t>
  </si>
  <si>
    <t>Severance </t>
  </si>
  <si>
    <t>Edmond </t>
  </si>
  <si>
    <t>Alan Metter</t>
  </si>
  <si>
    <t>Police Academy: Mission to Moscow </t>
  </si>
  <si>
    <t>Rafa Lara</t>
  </si>
  <si>
    <t>Jorge Luis Moreno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</si>
  <si>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</si>
  <si>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</si>
  <si>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</si>
  <si>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</si>
  <si>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</si>
  <si>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</si>
  <si>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Adrian Martinez</t>
  </si>
  <si>
    <t>The Good Guy </t>
  </si>
  <si>
    <t>Katherine Dieckmann</t>
  </si>
  <si>
    <t>Stephanie Szostak</t>
  </si>
  <si>
    <t>Motherhood </t>
  </si>
  <si>
    <t>Scott Marshall</t>
  </si>
  <si>
    <t>Drew Fuller</t>
  </si>
  <si>
    <t>Blonde Ambition </t>
  </si>
  <si>
    <t>Ã_x0081_lex de la Iglesia</t>
  </si>
  <si>
    <t>Jim Carter</t>
  </si>
  <si>
    <t>The Oxford Murders </t>
  </si>
  <si>
    <t>Michael Clancy</t>
  </si>
  <si>
    <t>Eulogy </t>
  </si>
  <si>
    <t>Benedikt Erlingsson</t>
  </si>
  <si>
    <t>Ingvar Eggert SigurÃ°sson</t>
  </si>
  <si>
    <t>Of Horses and Men </t>
  </si>
  <si>
    <t>Icelandic</t>
  </si>
  <si>
    <t>Kang-ho Song</t>
  </si>
  <si>
    <t>The Good, the Bad, the Weird </t>
  </si>
  <si>
    <t>Andy Garcia</t>
  </si>
  <si>
    <t>Danny Pino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</si>
  <si>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</si>
  <si>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</si>
  <si>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</si>
  <si>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</si>
  <si>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</si>
  <si>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</si>
  <si>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</si>
  <si>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</si>
  <si>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</si>
  <si>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</si>
  <si>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</si>
  <si>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BÃ¡rbara Mori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</si>
  <si>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</si>
  <si>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</si>
  <si>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</si>
  <si>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</si>
  <si>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</si>
  <si>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</si>
  <si>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</si>
  <si>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</si>
  <si>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Topol</t>
  </si>
  <si>
    <t>Fiddler on the Roof </t>
  </si>
  <si>
    <t>Terence Young</t>
  </si>
  <si>
    <t>Thunderball </t>
  </si>
  <si>
    <t>Set It Off </t>
  </si>
  <si>
    <t>The Best Man </t>
  </si>
  <si>
    <t>Catherine Hicks</t>
  </si>
  <si>
    <t>Child's Play </t>
  </si>
  <si>
    <t>Michael Moore</t>
  </si>
  <si>
    <t>Sicko </t>
  </si>
  <si>
    <t>Noel Gugliemi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</si>
  <si>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</si>
  <si>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</si>
  <si>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</si>
  <si>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</si>
  <si>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</si>
  <si>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</si>
  <si>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</si>
  <si>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</si>
  <si>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</si>
  <si>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Brian Blessed</t>
  </si>
  <si>
    <t>Henry V </t>
  </si>
  <si>
    <t>Kristin Lehman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</si>
  <si>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</si>
  <si>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</si>
  <si>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</si>
  <si>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</si>
  <si>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</si>
  <si>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</si>
  <si>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</si>
  <si>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</si>
  <si>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</si>
  <si>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Sarunyu Wongkrachang</t>
  </si>
  <si>
    <t>The Legend of Suriyothai </t>
  </si>
  <si>
    <t>Dario Argento</t>
  </si>
  <si>
    <t>Two Evil Eyes </t>
  </si>
  <si>
    <t>All or Nothing </t>
  </si>
  <si>
    <t>Marc Forby</t>
  </si>
  <si>
    <t>Q'orianka Kilcher</t>
  </si>
  <si>
    <t>Princess Kaiulani </t>
  </si>
  <si>
    <t>Jacqueline McKenzie</t>
  </si>
  <si>
    <t>Opal Dream </t>
  </si>
  <si>
    <t>Ole Christian Madsen</t>
  </si>
  <si>
    <t>Lars Mikkelsen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</si>
  <si>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</si>
  <si>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</si>
  <si>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</si>
  <si>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</si>
  <si>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</si>
  <si>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</si>
  <si>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</si>
  <si>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Hayden Christensen</t>
  </si>
  <si>
    <t>Awake </t>
  </si>
  <si>
    <t>Ekachai Uekrongtham</t>
  </si>
  <si>
    <t>Skin Trade </t>
  </si>
  <si>
    <t>Crazy Heart </t>
  </si>
  <si>
    <t>Mark Rydell</t>
  </si>
  <si>
    <t>David Keith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</si>
  <si>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</si>
  <si>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</si>
  <si>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</si>
  <si>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</si>
  <si>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</si>
  <si>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</si>
  <si>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</si>
  <si>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Mariah Carey</t>
  </si>
  <si>
    <t>Glitter </t>
  </si>
  <si>
    <t>Bright Star </t>
  </si>
  <si>
    <t>My Name Is Khan </t>
  </si>
  <si>
    <t>All Is Lost </t>
  </si>
  <si>
    <t>John Sayles</t>
  </si>
  <si>
    <t>Mary Elizabeth Mastrantonio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</si>
  <si>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</si>
  <si>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</si>
  <si>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</si>
  <si>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</si>
  <si>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</si>
  <si>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</si>
  <si>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</si>
  <si>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</si>
  <si>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Eleanor Parker</t>
  </si>
  <si>
    <t>The Sound of Music </t>
  </si>
  <si>
    <t>Splash </t>
  </si>
  <si>
    <t>Jonathan Dayton</t>
  </si>
  <si>
    <t>Little Miss Sunshine </t>
  </si>
  <si>
    <t>Marshall Bell</t>
  </si>
  <si>
    <t>Stand by Me </t>
  </si>
  <si>
    <t>Noah Huntley</t>
  </si>
  <si>
    <t>28 Days Later... </t>
  </si>
  <si>
    <t>Chris Stokes</t>
  </si>
  <si>
    <t>Jennifer Freeman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</si>
  <si>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</si>
  <si>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</si>
  <si>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</si>
  <si>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</si>
  <si>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</si>
  <si>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</si>
  <si>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</si>
  <si>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</si>
  <si>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</si>
  <si>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James Kyson</t>
  </si>
  <si>
    <t>Shutter </t>
  </si>
  <si>
    <t>Tom Gormican</t>
  </si>
  <si>
    <t>Mackenzie Davis</t>
  </si>
  <si>
    <t>That Awkward Moment </t>
  </si>
  <si>
    <t>Much Ado About Nothing </t>
  </si>
  <si>
    <t>Peter R. Hunt</t>
  </si>
  <si>
    <t>Telly Savalas</t>
  </si>
  <si>
    <t>On Her Majesty's Secret Service </t>
  </si>
  <si>
    <t>New Nightmare </t>
  </si>
  <si>
    <t>Stephen Collins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</si>
  <si>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</si>
  <si>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</si>
  <si>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</si>
  <si>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</si>
  <si>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</si>
  <si>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</si>
  <si>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</si>
  <si>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</si>
  <si>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</si>
  <si>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</si>
  <si>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Christopher Nicholas Smith</t>
  </si>
  <si>
    <t>Enough Said </t>
  </si>
  <si>
    <t>Easy A </t>
  </si>
  <si>
    <t>Drama|Horror</t>
  </si>
  <si>
    <t>Shadow of the Vampire </t>
  </si>
  <si>
    <t>Cameron Monaghan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</si>
  <si>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</si>
  <si>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</si>
  <si>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</si>
  <si>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</si>
  <si>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</si>
  <si>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</si>
  <si>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</si>
  <si>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</si>
  <si>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FranÃ§ois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</si>
  <si>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</si>
  <si>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</si>
  <si>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</si>
  <si>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</si>
  <si>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</si>
  <si>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</si>
  <si>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</si>
  <si>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</si>
  <si>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</si>
  <si>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</si>
  <si>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</si>
  <si>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Sean Lennon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</si>
  <si>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</si>
  <si>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</si>
  <si>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</si>
  <si>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</si>
  <si>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</si>
  <si>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</si>
  <si>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</si>
  <si>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</si>
  <si>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</si>
  <si>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</si>
  <si>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</si>
  <si>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Alexia Fast</t>
  </si>
  <si>
    <t>Fido </t>
  </si>
  <si>
    <t>Andrew Wilson</t>
  </si>
  <si>
    <t>The Wendell Baker Story </t>
  </si>
  <si>
    <t>Rupert Grint</t>
  </si>
  <si>
    <t>Wild Target </t>
  </si>
  <si>
    <t>Marc SchÃ¶lermann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</si>
  <si>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</si>
  <si>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</si>
  <si>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</si>
  <si>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</si>
  <si>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</si>
  <si>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</si>
  <si>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Ian Tracey</t>
  </si>
  <si>
    <t>Aloft </t>
  </si>
  <si>
    <t>Action|Animation|Sci-Fi</t>
  </si>
  <si>
    <t>Mitsuo Iwata</t>
  </si>
  <si>
    <t>Akira </t>
  </si>
  <si>
    <t>Ol Parker</t>
  </si>
  <si>
    <t>Celia Imrie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</si>
  <si>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</si>
  <si>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</si>
  <si>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</si>
  <si>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</si>
  <si>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</si>
  <si>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</si>
  <si>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FranÃ§oise Yip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</si>
  <si>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</si>
  <si>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</si>
  <si>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</si>
  <si>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</si>
  <si>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</si>
  <si>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</si>
  <si>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Joely Richardson</t>
  </si>
  <si>
    <t>The Hotel New Hampshire </t>
  </si>
  <si>
    <t>Narc </t>
  </si>
  <si>
    <t>Paul Gross</t>
  </si>
  <si>
    <t>Molly Parker</t>
  </si>
  <si>
    <t>Men with Brooms </t>
  </si>
  <si>
    <t>Charles Robert Carner</t>
  </si>
  <si>
    <t>Witless Protection </t>
  </si>
  <si>
    <t>Russell Holt</t>
  </si>
  <si>
    <t>Eric Johnson</t>
  </si>
  <si>
    <t>The Work and the Glory </t>
  </si>
  <si>
    <t>Extract </t>
  </si>
  <si>
    <t>Claude Miller</t>
  </si>
  <si>
    <t>Sandrine Kiberlain</t>
  </si>
  <si>
    <t>Alias Betty </t>
  </si>
  <si>
    <t>Drama|Romance|Sci-Fi|Thriller</t>
  </si>
  <si>
    <t>Samantha Morton</t>
  </si>
  <si>
    <t>Code 46 </t>
  </si>
  <si>
    <t>Rodrigo GarcÃ­a</t>
  </si>
  <si>
    <t>Albert Nobbs </t>
  </si>
  <si>
    <t>Siddharth Anand</t>
  </si>
  <si>
    <t>Saif Ali Khan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</si>
  <si>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</si>
  <si>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</si>
  <si>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</si>
  <si>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</si>
  <si>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</si>
  <si>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</si>
  <si>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</si>
  <si>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</si>
  <si>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George Coe</t>
  </si>
  <si>
    <t>The Omega Code </t>
  </si>
  <si>
    <t>Juno </t>
  </si>
  <si>
    <t>Guy Hamilton</t>
  </si>
  <si>
    <t>Diamonds Are Forever </t>
  </si>
  <si>
    <t>The Godfather </t>
  </si>
  <si>
    <t>Michael Nouri</t>
  </si>
  <si>
    <t>Flashdance </t>
  </si>
  <si>
    <t>500 Days of Summer </t>
  </si>
  <si>
    <t>The Piano </t>
  </si>
  <si>
    <t>Magic Mike </t>
  </si>
  <si>
    <t>Sullivan Stapleton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</si>
  <si>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</si>
  <si>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</si>
  <si>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</si>
  <si>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</si>
  <si>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</si>
  <si>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</si>
  <si>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</si>
  <si>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</si>
  <si>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Farrah Fawcett</t>
  </si>
  <si>
    <t>Logan's Run </t>
  </si>
  <si>
    <t>The Man with the Golden Gun </t>
  </si>
  <si>
    <t>Action Jackson </t>
  </si>
  <si>
    <t>MyAnna Buring</t>
  </si>
  <si>
    <t>The Descent </t>
  </si>
  <si>
    <t>Matt Bettinelli-Olpin</t>
  </si>
  <si>
    <t>Devil's Due </t>
  </si>
  <si>
    <t>Flirting with Disaster </t>
  </si>
  <si>
    <t>Crime|Horror</t>
  </si>
  <si>
    <t>Sid Haig</t>
  </si>
  <si>
    <t>The Devil's Rejects </t>
  </si>
  <si>
    <t>Kimberly Elise</t>
  </si>
  <si>
    <t>Dope </t>
  </si>
  <si>
    <t>In Too Deep </t>
  </si>
  <si>
    <t>House of 1000 Corpses </t>
  </si>
  <si>
    <t>Michael Stuhlbarg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</si>
  <si>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</si>
  <si>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</si>
  <si>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</si>
  <si>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</si>
  <si>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</si>
  <si>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</si>
  <si>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</si>
  <si>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</si>
  <si>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Jonathan Brandis</t>
  </si>
  <si>
    <t>Outside Providence </t>
  </si>
  <si>
    <t>Gurinder Chadha</t>
  </si>
  <si>
    <t>Indira Varma</t>
  </si>
  <si>
    <t>Bride &amp; Prejudice </t>
  </si>
  <si>
    <t>Adventure|Biography|Drama|History</t>
  </si>
  <si>
    <t>Roy Billing</t>
  </si>
  <si>
    <t>Rabbit-Proof Fence </t>
  </si>
  <si>
    <t>Who's Your Caddy? </t>
  </si>
  <si>
    <t>Tony Maylam</t>
  </si>
  <si>
    <t>Action|Crime|Horror|Sci-Fi|Thriller</t>
  </si>
  <si>
    <t>Michael J. Pollard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</si>
  <si>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</si>
  <si>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</si>
  <si>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</si>
  <si>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</si>
  <si>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</si>
  <si>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</si>
  <si>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</si>
  <si>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</si>
  <si>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</si>
  <si>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</si>
  <si>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</si>
  <si>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</si>
  <si>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Ezra Miller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</si>
  <si>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</si>
  <si>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</si>
  <si>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</si>
  <si>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</si>
  <si>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</si>
  <si>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</si>
  <si>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</si>
  <si>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Nathalie Fay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</si>
  <si>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</si>
  <si>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</si>
  <si>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</si>
  <si>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</si>
  <si>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</si>
  <si>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</si>
  <si>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</si>
  <si>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</si>
  <si>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</si>
  <si>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</si>
  <si>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Lynn Cohen</t>
  </si>
  <si>
    <t>The Extra Man </t>
  </si>
  <si>
    <t>Stephen Milburn Anderson</t>
  </si>
  <si>
    <t>Ca$h </t>
  </si>
  <si>
    <t>Wah-Wah </t>
  </si>
  <si>
    <t>Western</t>
  </si>
  <si>
    <t>Pale Rider </t>
  </si>
  <si>
    <t>Dazed and Confused </t>
  </si>
  <si>
    <t>Max FÃ¤rberbÃ¶ck</t>
  </si>
  <si>
    <t>Heike Makatsch</t>
  </si>
  <si>
    <t>Aimee &amp; Jaguar </t>
  </si>
  <si>
    <t>Arie Posin</t>
  </si>
  <si>
    <t>The Chumscrubber </t>
  </si>
  <si>
    <t>Damian Nieman</t>
  </si>
  <si>
    <t>Glenn Plummer</t>
  </si>
  <si>
    <t>Shade </t>
  </si>
  <si>
    <t>Mark Tonderai</t>
  </si>
  <si>
    <t>House at the End of the Street </t>
  </si>
  <si>
    <t>Drama|Mystery|War</t>
  </si>
  <si>
    <t>Lubna Azabal</t>
  </si>
  <si>
    <t>Incendies </t>
  </si>
  <si>
    <t>Laura Morante</t>
  </si>
  <si>
    <t>Remember Me, My Love </t>
  </si>
  <si>
    <t>Wagner Moura</t>
  </si>
  <si>
    <t>Elite Squad </t>
  </si>
  <si>
    <t>Portuguese</t>
  </si>
  <si>
    <t>Annabelle </t>
  </si>
  <si>
    <t>Rachel Perkins</t>
  </si>
  <si>
    <t>Comedy|Drama|Musical</t>
  </si>
  <si>
    <t>Deborah Mailman</t>
  </si>
  <si>
    <t>Bran Nue Dae </t>
  </si>
  <si>
    <t>John Cothran</t>
  </si>
  <si>
    <t>Boyz n the Hood </t>
  </si>
  <si>
    <t>Luis Valdez</t>
  </si>
  <si>
    <t>La Bamba </t>
  </si>
  <si>
    <t>Mystery|Romance|Thriller</t>
  </si>
  <si>
    <t>Angie Dickinson</t>
  </si>
  <si>
    <t>Dressed to Kill </t>
  </si>
  <si>
    <t>Adventure|Comedy|Drama|Family</t>
  </si>
  <si>
    <t>The Adventures of Huck Finn </t>
  </si>
  <si>
    <t>Go </t>
  </si>
  <si>
    <t>Greg Germann</t>
  </si>
  <si>
    <t>Friends with Money </t>
  </si>
  <si>
    <t>Louis Morneau</t>
  </si>
  <si>
    <t>Leon</t>
  </si>
  <si>
    <t>Bats </t>
  </si>
  <si>
    <t>Caroline Link</t>
  </si>
  <si>
    <t>Merab Ninidze</t>
  </si>
  <si>
    <t>Nowhere in Africa </t>
  </si>
  <si>
    <t>Shame </t>
  </si>
  <si>
    <t>Layer Cake </t>
  </si>
  <si>
    <t>Sterling Van Wagenen</t>
  </si>
  <si>
    <t>Emily Podleski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</si>
  <si>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</si>
  <si>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</si>
  <si>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</si>
  <si>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</si>
  <si>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</si>
  <si>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</si>
  <si>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</si>
  <si>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</si>
  <si>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Sam Riley</t>
  </si>
  <si>
    <t>Control </t>
  </si>
  <si>
    <t>The Terminator </t>
  </si>
  <si>
    <t>Wolfgang Becker</t>
  </si>
  <si>
    <t>Florian Lukas</t>
  </si>
  <si>
    <t>Good Bye Lenin! </t>
  </si>
  <si>
    <t>The Damned United </t>
  </si>
  <si>
    <t>Mallrats </t>
  </si>
  <si>
    <t>Musical|Romance</t>
  </si>
  <si>
    <t>Olivia Newton-John</t>
  </si>
  <si>
    <t>Grease </t>
  </si>
  <si>
    <t>Platoon </t>
  </si>
  <si>
    <t>Documentary|Drama|War</t>
  </si>
  <si>
    <t>Osama bin Laden</t>
  </si>
  <si>
    <t>Fahrenheit 9/11 </t>
  </si>
  <si>
    <t>George Roy Hill</t>
  </si>
  <si>
    <t>Biography|Crime|Drama|Western</t>
  </si>
  <si>
    <t>Katharine Ross</t>
  </si>
  <si>
    <t>Butch Cassidy and the Sundance Kid </t>
  </si>
  <si>
    <t>Robert Stevenson</t>
  </si>
  <si>
    <t>Comedy|Family|Fantasy|Musical</t>
  </si>
  <si>
    <t>Ed Wynn</t>
  </si>
  <si>
    <t>Mary Poppins </t>
  </si>
  <si>
    <t>Ordinary People </t>
  </si>
  <si>
    <t>Jerome Robbins</t>
  </si>
  <si>
    <t>Crime|Drama|Musical|Romance|Thriller</t>
  </si>
  <si>
    <t>Rita Moreno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</si>
  <si>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</si>
  <si>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</si>
  <si>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</si>
  <si>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</si>
  <si>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</si>
  <si>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</si>
  <si>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</si>
  <si>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Lisa Wilcox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</si>
  <si>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</si>
  <si>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</si>
  <si>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</si>
  <si>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</si>
  <si>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</si>
  <si>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</si>
  <si>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</si>
  <si>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Tisha Campbell-Martin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</si>
  <si>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</si>
  <si>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</si>
  <si>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</si>
  <si>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</si>
  <si>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</si>
  <si>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</si>
  <si>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</si>
  <si>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</si>
  <si>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</si>
  <si>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</si>
  <si>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</si>
  <si>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</si>
  <si>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</si>
  <si>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</si>
  <si>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</si>
  <si>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</si>
  <si>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</si>
  <si>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</si>
  <si>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</si>
  <si>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</si>
  <si>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</si>
  <si>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</si>
  <si>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</si>
  <si>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</si>
  <si>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</si>
  <si>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</si>
  <si>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</si>
  <si>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</si>
  <si>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</si>
  <si>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</si>
  <si>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</si>
  <si>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Hugh M. Hefner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</si>
  <si>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</si>
  <si>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</si>
  <si>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</si>
  <si>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</si>
  <si>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</si>
  <si>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</si>
  <si>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</si>
  <si>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</si>
  <si>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Antoni Corone</t>
  </si>
  <si>
    <t>Only the Strong </t>
  </si>
  <si>
    <t>Billy Ray</t>
  </si>
  <si>
    <t>Shattered Glass </t>
  </si>
  <si>
    <t>David Atkins</t>
  </si>
  <si>
    <t>Chelcie Ross</t>
  </si>
  <si>
    <t>Novocaine </t>
  </si>
  <si>
    <t>The Wackness </t>
  </si>
  <si>
    <t>Sylvio Tabet</t>
  </si>
  <si>
    <t>Michael Berryman</t>
  </si>
  <si>
    <t>Beastmaster 2: Through the Portal of Time </t>
  </si>
  <si>
    <t>Rick Bieber</t>
  </si>
  <si>
    <t>Aidan Quinn</t>
  </si>
  <si>
    <t>The 5th Quarter </t>
  </si>
  <si>
    <t>The Greatest </t>
  </si>
  <si>
    <t>Snow Flower and the Secret Fan </t>
  </si>
  <si>
    <t>Joey Lauren Adams</t>
  </si>
  <si>
    <t>Come Early Morning </t>
  </si>
  <si>
    <t>James Nesbitt</t>
  </si>
  <si>
    <t>Lucky Break </t>
  </si>
  <si>
    <t>S.R. Bindler</t>
  </si>
  <si>
    <t>Surfer, Dude </t>
  </si>
  <si>
    <t>Deadfall </t>
  </si>
  <si>
    <t>CÃ©dric Klapisch</t>
  </si>
  <si>
    <t>L'auberge espagnole </t>
  </si>
  <si>
    <t>Kate Barker-Froyland</t>
  </si>
  <si>
    <t>Song One </t>
  </si>
  <si>
    <t>Martin Koolhoven</t>
  </si>
  <si>
    <t>Yorick van Wageningen</t>
  </si>
  <si>
    <t>Winter in Wartime </t>
  </si>
  <si>
    <t>Prachya Pinkaew</t>
  </si>
  <si>
    <t>Jon Foo</t>
  </si>
  <si>
    <t>The Protector </t>
  </si>
  <si>
    <t>Bend It Like Beckham </t>
  </si>
  <si>
    <t>Sunshine State </t>
  </si>
  <si>
    <t>Action|Sport</t>
  </si>
  <si>
    <t>Wesley Jonathan</t>
  </si>
  <si>
    <t>Crossover </t>
  </si>
  <si>
    <t>Jonathan D. Mellor</t>
  </si>
  <si>
    <t>[Rec] 2 </t>
  </si>
  <si>
    <t>The Sting </t>
  </si>
  <si>
    <t>Alice Krige</t>
  </si>
  <si>
    <t>Chariots of Fire </t>
  </si>
  <si>
    <t>Darren Grant</t>
  </si>
  <si>
    <t>Diary of a Mad Black Woman </t>
  </si>
  <si>
    <t>Noah Taylor</t>
  </si>
  <si>
    <t>Shine </t>
  </si>
  <si>
    <t>Don Jon </t>
  </si>
  <si>
    <t>Ghost World </t>
  </si>
  <si>
    <t>Iris </t>
  </si>
  <si>
    <t>Christophe Barratier</t>
  </si>
  <si>
    <t>Jean-Baptiste Maunier</t>
  </si>
  <si>
    <t>The Chorus </t>
  </si>
  <si>
    <t>Ã‰mile Gaudreault</t>
  </si>
  <si>
    <t>Mambo Italiano </t>
  </si>
  <si>
    <t>James Cox</t>
  </si>
  <si>
    <t>Alexis Dziena</t>
  </si>
  <si>
    <t>Wonderland </t>
  </si>
  <si>
    <t>Ruby Dee</t>
  </si>
  <si>
    <t>Do the Right Thing </t>
  </si>
  <si>
    <t>James Toback</t>
  </si>
  <si>
    <t>Harvard Man </t>
  </si>
  <si>
    <t>Aki KaurismÃ¤ki</t>
  </si>
  <si>
    <t>Jean-Pierre LÃ©aud</t>
  </si>
  <si>
    <t>Le Havre </t>
  </si>
  <si>
    <t>Hitoshi Matsumoto</t>
  </si>
  <si>
    <t>Lindsay Kay Hayward</t>
  </si>
  <si>
    <t>R100 </t>
  </si>
  <si>
    <t>George Ratliff</t>
  </si>
  <si>
    <t>Action|Comedy|Drama|Thriller</t>
  </si>
  <si>
    <t>Salvation Boulevard </t>
  </si>
  <si>
    <t>The Ten </t>
  </si>
  <si>
    <t>Aksel Hennie</t>
  </si>
  <si>
    <t>Headhunters </t>
  </si>
  <si>
    <t>Norwegian</t>
  </si>
  <si>
    <t>Michael McGowan</t>
  </si>
  <si>
    <t>Campbell Scott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</si>
  <si>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</si>
  <si>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</si>
  <si>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</si>
  <si>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</si>
  <si>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</si>
  <si>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</si>
  <si>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</si>
  <si>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</si>
  <si>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</si>
  <si>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</si>
  <si>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Johanna Braddy</t>
  </si>
  <si>
    <t>Paranormal Activity 3 </t>
  </si>
  <si>
    <t>Stiles White</t>
  </si>
  <si>
    <t>Ouija </t>
  </si>
  <si>
    <t>John Saxon</t>
  </si>
  <si>
    <t>A Nightmare on Elm Street 3: Dream Warriors </t>
  </si>
  <si>
    <t>Eugenio Derbez</t>
  </si>
  <si>
    <t>Instructions Not Included </t>
  </si>
  <si>
    <t>Matt Shively</t>
  </si>
  <si>
    <t>Paranormal Activity 4 </t>
  </si>
  <si>
    <t>Henry Koster</t>
  </si>
  <si>
    <t>Richard Burton</t>
  </si>
  <si>
    <t>The Robe </t>
  </si>
  <si>
    <t>Freddy's Dead: The Final Nightmare </t>
  </si>
  <si>
    <t>Patty Jenkins</t>
  </si>
  <si>
    <t>Monster </t>
  </si>
  <si>
    <t>Christopher Landon</t>
  </si>
  <si>
    <t>Richard Cabral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</si>
  <si>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</si>
  <si>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</si>
  <si>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</si>
  <si>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</si>
  <si>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</si>
  <si>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</si>
  <si>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James Lafferty</t>
  </si>
  <si>
    <t>Oculus </t>
  </si>
  <si>
    <t>Clerks II </t>
  </si>
  <si>
    <t>Billy Elliot </t>
  </si>
  <si>
    <t>Nat Faxon</t>
  </si>
  <si>
    <t>The Way Way Back </t>
  </si>
  <si>
    <t>George Jackson</t>
  </si>
  <si>
    <t>William Schallert</t>
  </si>
  <si>
    <t>House Party 2 </t>
  </si>
  <si>
    <t>Maurice Joyce</t>
  </si>
  <si>
    <t>Doug's 1st Movie </t>
  </si>
  <si>
    <t>John Beasley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</si>
  <si>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</si>
  <si>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</si>
  <si>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</si>
  <si>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</si>
  <si>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</si>
  <si>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</si>
  <si>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</si>
  <si>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Jurnee Smollett-Bell</t>
  </si>
  <si>
    <t>Eve's Bayou </t>
  </si>
  <si>
    <t>Richard Glatzer</t>
  </si>
  <si>
    <t>Still Alice </t>
  </si>
  <si>
    <t>Rob Hedden</t>
  </si>
  <si>
    <t>Adventure|Horror</t>
  </si>
  <si>
    <t>Kane Hodder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</si>
  <si>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</si>
  <si>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</si>
  <si>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</si>
  <si>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</si>
  <si>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</si>
  <si>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</si>
  <si>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Maribel VerdÃº</t>
  </si>
  <si>
    <t>Y Tu MamÃ¡ TambiÃ©n </t>
  </si>
  <si>
    <t>Peter Serafinowicz</t>
  </si>
  <si>
    <t>Shaun of the Dead </t>
  </si>
  <si>
    <t>Mickey Liddell</t>
  </si>
  <si>
    <t>Jessica Lowndes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</si>
  <si>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</si>
  <si>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</si>
  <si>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</si>
  <si>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</si>
  <si>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</si>
  <si>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</si>
  <si>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</si>
  <si>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</si>
  <si>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LÃ³pez-Gallego</t>
  </si>
  <si>
    <t>Warren Christie</t>
  </si>
  <si>
    <t>Apollo 18 </t>
  </si>
  <si>
    <t>Christine Jeffs</t>
  </si>
  <si>
    <t>Sunshine Cleaning </t>
  </si>
  <si>
    <t>Sterling Jerins</t>
  </si>
  <si>
    <t>No Escape </t>
  </si>
  <si>
    <t>Michael Tiddes</t>
  </si>
  <si>
    <t>Fred Willard</t>
  </si>
  <si>
    <t>Fifty Shades of Black </t>
  </si>
  <si>
    <t>Not Easily Broken </t>
  </si>
  <si>
    <t>The Perfect Match </t>
  </si>
  <si>
    <t>Mamoru Hosoda</t>
  </si>
  <si>
    <t>Lara Jill Miller</t>
  </si>
  <si>
    <t>Digimon: The Movie </t>
  </si>
  <si>
    <t>Brian Dannelly</t>
  </si>
  <si>
    <t>Saved! </t>
  </si>
  <si>
    <t>Denys Arcand</t>
  </si>
  <si>
    <t>Marie-JosÃ©e Croze</t>
  </si>
  <si>
    <t>The Barbarian Invasions </t>
  </si>
  <si>
    <t>J.S. Cardone</t>
  </si>
  <si>
    <t>Brendan Fehr</t>
  </si>
  <si>
    <t>The Forsaken </t>
  </si>
  <si>
    <t>Jay Levey</t>
  </si>
  <si>
    <t>Fran Drescher</t>
  </si>
  <si>
    <t>UHF </t>
  </si>
  <si>
    <t>Tamara Jenkins</t>
  </si>
  <si>
    <t>Slums of Beverly Hills </t>
  </si>
  <si>
    <t>Made </t>
  </si>
  <si>
    <t>Moon </t>
  </si>
  <si>
    <t>Ronan Chapalain</t>
  </si>
  <si>
    <t>Norbert Ferrer</t>
  </si>
  <si>
    <t>Sea Rex 3D: Journey to a Prehistoric World </t>
  </si>
  <si>
    <t>The Sweet Hereafter </t>
  </si>
  <si>
    <t>Xavier Beauvois</t>
  </si>
  <si>
    <t>Lambert Wilson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</si>
  <si>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</si>
  <si>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</si>
  <si>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</si>
  <si>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</si>
  <si>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</si>
  <si>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</si>
  <si>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</si>
  <si>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</si>
  <si>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</si>
  <si>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Kim Dickens</t>
  </si>
  <si>
    <t>Zero Effect </t>
  </si>
  <si>
    <t>The Machinist </t>
  </si>
  <si>
    <t>Dana Delany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</si>
  <si>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</si>
  <si>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</si>
  <si>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</si>
  <si>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</si>
  <si>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</si>
  <si>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</si>
  <si>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</si>
  <si>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</si>
  <si>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</si>
  <si>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Alia Shawkat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</si>
  <si>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</si>
  <si>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</si>
  <si>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</si>
  <si>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</si>
  <si>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</si>
  <si>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</si>
  <si>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</si>
  <si>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</si>
  <si>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</si>
  <si>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Ocean James</t>
  </si>
  <si>
    <t>The Visit </t>
  </si>
  <si>
    <t>Crime|Thriller|War</t>
  </si>
  <si>
    <t>Mike Figueroa</t>
  </si>
  <si>
    <t>Redacted </t>
  </si>
  <si>
    <t>Klaus Menzel</t>
  </si>
  <si>
    <t>Fascination </t>
  </si>
  <si>
    <t>William H. Macy</t>
  </si>
  <si>
    <t>Rudderless </t>
  </si>
  <si>
    <t>JirÃ­ Menzel</t>
  </si>
  <si>
    <t>Comedy|Drama|Romance|War</t>
  </si>
  <si>
    <t>Julia Jentsch</t>
  </si>
  <si>
    <t>I Served the King of England </t>
  </si>
  <si>
    <t>Czech</t>
  </si>
  <si>
    <t>Fatih Akin</t>
  </si>
  <si>
    <t>Udo Kier</t>
  </si>
  <si>
    <t>Soul Kitchen </t>
  </si>
  <si>
    <t>Sling Blade </t>
  </si>
  <si>
    <t>Hostel </t>
  </si>
  <si>
    <t>Tristram Shandy: A Cock and Bull Story </t>
  </si>
  <si>
    <t>Katy Mixon</t>
  </si>
  <si>
    <t>Take Shelter </t>
  </si>
  <si>
    <t>Frank LaLoggia</t>
  </si>
  <si>
    <t>Alex Rocco</t>
  </si>
  <si>
    <t>Lady in White </t>
  </si>
  <si>
    <t>Bill Johnson</t>
  </si>
  <si>
    <t>The Texas Chainsaw Massacre 2 </t>
  </si>
  <si>
    <t>Only God Forgives </t>
  </si>
  <si>
    <t>Michel Leclerc</t>
  </si>
  <si>
    <t>Sara Forestier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</si>
  <si>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</si>
  <si>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</si>
  <si>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</si>
  <si>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</si>
  <si>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</si>
  <si>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</si>
  <si>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Christopher Meloni</t>
  </si>
  <si>
    <t>Bound </t>
  </si>
  <si>
    <t>Requiem for a Dream </t>
  </si>
  <si>
    <t>Carlos Saura</t>
  </si>
  <si>
    <t>Drama|Musical</t>
  </si>
  <si>
    <t>MÃ­a Maestro</t>
  </si>
  <si>
    <t>Tango </t>
  </si>
  <si>
    <t>Andrew Erwin</t>
  </si>
  <si>
    <t>Alex Kendrick</t>
  </si>
  <si>
    <t>Moms' Night Out </t>
  </si>
  <si>
    <t>Donnie Darko </t>
  </si>
  <si>
    <t>Mike van Diem</t>
  </si>
  <si>
    <t>Jan Decleir</t>
  </si>
  <si>
    <t>Character </t>
  </si>
  <si>
    <t>Jonas Ã…kerlund</t>
  </si>
  <si>
    <t>Spun </t>
  </si>
  <si>
    <t>Lady Vengeance </t>
  </si>
  <si>
    <t>Barry Skolnick</t>
  </si>
  <si>
    <t>Mean Machine </t>
  </si>
  <si>
    <t>Johnnie To</t>
  </si>
  <si>
    <t>Simon Yam</t>
  </si>
  <si>
    <t>Exiled </t>
  </si>
  <si>
    <t>Agnieszka Wojtowicz-Vosloo</t>
  </si>
  <si>
    <t>After.Life </t>
  </si>
  <si>
    <t>Scatman Crothers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</si>
  <si>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</si>
  <si>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</si>
  <si>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</si>
  <si>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</si>
  <si>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</si>
  <si>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</si>
  <si>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</si>
  <si>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Vidya Balan</t>
  </si>
  <si>
    <t>Paa </t>
  </si>
  <si>
    <t>Fantasy|Thriller</t>
  </si>
  <si>
    <t>Konstantin Khabenskiy</t>
  </si>
  <si>
    <t>Night Watch </t>
  </si>
  <si>
    <t>Russian</t>
  </si>
  <si>
    <t>The Crying Game </t>
  </si>
  <si>
    <t>Art Hindle</t>
  </si>
  <si>
    <t>Porky's </t>
  </si>
  <si>
    <t>Julian Richings</t>
  </si>
  <si>
    <t>Survival of the Dead </t>
  </si>
  <si>
    <t>Lost in Translation </t>
  </si>
  <si>
    <t>Annie Hall </t>
  </si>
  <si>
    <t>Cecil B. DeMille</t>
  </si>
  <si>
    <t>Gloria Grahame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</si>
  <si>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</si>
  <si>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</si>
  <si>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</si>
  <si>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</si>
  <si>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</si>
  <si>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</si>
  <si>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</si>
  <si>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</si>
  <si>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</si>
  <si>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Meg Foster</t>
  </si>
  <si>
    <t>They Live </t>
  </si>
  <si>
    <t>Ed Gass-Donnelly</t>
  </si>
  <si>
    <t>The Last Exorcism Part II </t>
  </si>
  <si>
    <t>Ellar Coltrane</t>
  </si>
  <si>
    <t>Boyhood </t>
  </si>
  <si>
    <t>Scoop </t>
  </si>
  <si>
    <t>DJ Pooh</t>
  </si>
  <si>
    <t>Angell Conwell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</si>
  <si>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</si>
  <si>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</si>
  <si>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</si>
  <si>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</si>
  <si>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</si>
  <si>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</si>
  <si>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Geraldine Chaplin</t>
  </si>
  <si>
    <t>The Orphanage </t>
  </si>
  <si>
    <t>Ashley Rickards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</si>
  <si>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</si>
  <si>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</si>
  <si>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</si>
  <si>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</si>
  <si>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</si>
  <si>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</si>
  <si>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</si>
  <si>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</si>
  <si>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</si>
  <si>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</si>
  <si>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</si>
  <si>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</si>
  <si>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</si>
  <si>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</si>
  <si>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</si>
  <si>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</si>
  <si>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Stephanie Leonidas</t>
  </si>
  <si>
    <t>Mirrormask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</si>
  <si>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</si>
  <si>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</si>
  <si>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</si>
  <si>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</si>
  <si>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</si>
  <si>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</si>
  <si>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</si>
  <si>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Peter McNamara</t>
  </si>
  <si>
    <t>Shooting Fish </t>
  </si>
  <si>
    <t>Prison </t>
  </si>
  <si>
    <t>Robert Lee King</t>
  </si>
  <si>
    <t>Comedy|Horror|Mystery</t>
  </si>
  <si>
    <t>Lauren Ambrose</t>
  </si>
  <si>
    <t>Psycho Beach Party </t>
  </si>
  <si>
    <t>The Big Tease </t>
  </si>
  <si>
    <t>Jorge RamÃ­rez SuÃ¡rez</t>
  </si>
  <si>
    <t>Hector Kotsifakis</t>
  </si>
  <si>
    <t>Buen DÃ­a, RamÃ³n </t>
  </si>
  <si>
    <t>David Schwimmer</t>
  </si>
  <si>
    <t>Noah Emmerich</t>
  </si>
  <si>
    <t>Trust </t>
  </si>
  <si>
    <t>Anna Friel</t>
  </si>
  <si>
    <t>An Everlasting Piece </t>
  </si>
  <si>
    <t>Rachel Griffiths</t>
  </si>
  <si>
    <t>Among Giants </t>
  </si>
  <si>
    <t>Adore </t>
  </si>
  <si>
    <t>Fernando LeÃ³n de Aranoa</t>
  </si>
  <si>
    <t>Luis Tosar</t>
  </si>
  <si>
    <t>Mondays in the Sun </t>
  </si>
  <si>
    <t>Jim Mickle</t>
  </si>
  <si>
    <t>Connor Paolo</t>
  </si>
  <si>
    <t>Stake Land </t>
  </si>
  <si>
    <t>The Last Time I Committed Suicide </t>
  </si>
  <si>
    <t>Karim AÃ¯nouz</t>
  </si>
  <si>
    <t>Futuro Beach </t>
  </si>
  <si>
    <t>Ruba Nadda</t>
  </si>
  <si>
    <t>Saad Siddiqui</t>
  </si>
  <si>
    <t>Inescapable </t>
  </si>
  <si>
    <t>Victor Fleming</t>
  </si>
  <si>
    <t>Hattie McDaniel</t>
  </si>
  <si>
    <t>Gone with the Wind </t>
  </si>
  <si>
    <t>Richard Raymond</t>
  </si>
  <si>
    <t>Tom Cullen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</si>
  <si>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</si>
  <si>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</si>
  <si>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</si>
  <si>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</si>
  <si>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</si>
  <si>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</si>
  <si>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Keenan Wynn</t>
  </si>
  <si>
    <t>Annie Get Your Gun </t>
  </si>
  <si>
    <t>Peter Stebbings</t>
  </si>
  <si>
    <t>Defendor </t>
  </si>
  <si>
    <t>Vincente Minnelli</t>
  </si>
  <si>
    <t>Adventure|Comedy|Musical|Romance</t>
  </si>
  <si>
    <t>Gladys Cooper</t>
  </si>
  <si>
    <t>The Pirate </t>
  </si>
  <si>
    <t>Dagur KÃ¡ri</t>
  </si>
  <si>
    <t>Alice Olivia Clarke</t>
  </si>
  <si>
    <t>The Good Heart </t>
  </si>
  <si>
    <t>The History Boys </t>
  </si>
  <si>
    <t>The Full Monty </t>
  </si>
  <si>
    <t>Jim Abrahams</t>
  </si>
  <si>
    <t>Peter Graves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</si>
  <si>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</si>
  <si>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</si>
  <si>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</si>
  <si>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</si>
  <si>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</si>
  <si>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</si>
  <si>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</si>
  <si>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</si>
  <si>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Joe Estevez</t>
  </si>
  <si>
    <t>I Got the Hook Up </t>
  </si>
  <si>
    <t>Edward Burns</t>
  </si>
  <si>
    <t>John Mahoney</t>
  </si>
  <si>
    <t>She's the One </t>
  </si>
  <si>
    <t>Gods and Monsters </t>
  </si>
  <si>
    <t>Juan JosÃ© Campanella</t>
  </si>
  <si>
    <t>Ricardo DarÃ­n</t>
  </si>
  <si>
    <t>The Secret in Their Eyes </t>
  </si>
  <si>
    <t>Ted Raimi</t>
  </si>
  <si>
    <t>Evil Dead II </t>
  </si>
  <si>
    <t>Louis C.K.</t>
  </si>
  <si>
    <t>Action|Adventure|Comedy|Musical</t>
  </si>
  <si>
    <t>Wanda Sykes</t>
  </si>
  <si>
    <t>Pootie Tang </t>
  </si>
  <si>
    <t>Salvador Carrasco</t>
  </si>
  <si>
    <t>Elpidia Carrillo</t>
  </si>
  <si>
    <t>La otra conquista </t>
  </si>
  <si>
    <t>AndrÃ© Ã˜vredal</t>
  </si>
  <si>
    <t>Comedy|Drama|Fantasy|Horror</t>
  </si>
  <si>
    <t>Otto Jespersen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</si>
  <si>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</si>
  <si>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</si>
  <si>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</si>
  <si>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</si>
  <si>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</si>
  <si>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</si>
  <si>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</si>
  <si>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</si>
  <si>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Diahann Carroll</t>
  </si>
  <si>
    <t>The Masked Saint </t>
  </si>
  <si>
    <t>Charles Ferguson</t>
  </si>
  <si>
    <t>Jane Goodall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</si>
  <si>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</si>
  <si>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</si>
  <si>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</si>
  <si>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</si>
  <si>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</si>
  <si>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</si>
  <si>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</si>
  <si>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</si>
  <si>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</si>
  <si>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</si>
  <si>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</si>
  <si>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Thomas Bo Larsen</t>
  </si>
  <si>
    <t>The Hunt </t>
  </si>
  <si>
    <t>Armando Riesco</t>
  </si>
  <si>
    <t>Bella </t>
  </si>
  <si>
    <t>Eric Styles</t>
  </si>
  <si>
    <t>Dreaming of Joseph Lees </t>
  </si>
  <si>
    <t>Joshua Marston</t>
  </si>
  <si>
    <t>Catalina Sandino Moreno</t>
  </si>
  <si>
    <t>Maria Full of Grace </t>
  </si>
  <si>
    <t>Beginners </t>
  </si>
  <si>
    <t>Animal House </t>
  </si>
  <si>
    <t>Honor Blackman</t>
  </si>
  <si>
    <t>Goldfinger </t>
  </si>
  <si>
    <t>Trainspotting </t>
  </si>
  <si>
    <t>The Original Kings of Comedy </t>
  </si>
  <si>
    <t>Tod Williams</t>
  </si>
  <si>
    <t>Sprague Grayden</t>
  </si>
  <si>
    <t>Paranormal Activity 2 </t>
  </si>
  <si>
    <t>Waking Ned Devine </t>
  </si>
  <si>
    <t>Crime|Documentary|Drama</t>
  </si>
  <si>
    <t>Bowling for Columbine </t>
  </si>
  <si>
    <t>Jack Sholder</t>
  </si>
  <si>
    <t>Clu Gulager</t>
  </si>
  <si>
    <t>A Nightmare on Elm Street 2: Freddy's Revenge </t>
  </si>
  <si>
    <t>A Room with a View </t>
  </si>
  <si>
    <t>Rhys Wakefield</t>
  </si>
  <si>
    <t>The Purge </t>
  </si>
  <si>
    <t>Danielle Kotch</t>
  </si>
  <si>
    <t>Sinister </t>
  </si>
  <si>
    <t>Biography|Comedy|Documentary</t>
  </si>
  <si>
    <t>Nancy O'Dell</t>
  </si>
  <si>
    <t>Martin Lawrence Live: Runteldat </t>
  </si>
  <si>
    <t>Air Bud </t>
  </si>
  <si>
    <t>Tom McLoughlin</t>
  </si>
  <si>
    <t>Jason Lives: Friday the 13th Part VI </t>
  </si>
  <si>
    <t>William Holden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</si>
  <si>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</si>
  <si>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</si>
  <si>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</si>
  <si>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</si>
  <si>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</si>
  <si>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Common</t>
  </si>
  <si>
    <t>Dave Chappelle's Block Party </t>
  </si>
  <si>
    <t>Benny Boom</t>
  </si>
  <si>
    <t>Next Day Air </t>
  </si>
  <si>
    <t>Nnegest LikkÃ©</t>
  </si>
  <si>
    <t>Phat Girlz </t>
  </si>
  <si>
    <t>Seamus Davey-Fitzpatrick</t>
  </si>
  <si>
    <t>Before Midnight </t>
  </si>
  <si>
    <t>Christopher Leitch</t>
  </si>
  <si>
    <t>John Astin</t>
  </si>
  <si>
    <t>Teen Wolf Too </t>
  </si>
  <si>
    <t>Don Coscarelli</t>
  </si>
  <si>
    <t>Angus Scrimm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</si>
  <si>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</si>
  <si>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</si>
  <si>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</si>
  <si>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</si>
  <si>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</si>
  <si>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</si>
  <si>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Callie Thorne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</si>
  <si>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</si>
  <si>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</si>
  <si>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</si>
  <si>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</si>
  <si>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</si>
  <si>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</si>
  <si>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Kristy Swanson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</si>
  <si>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</si>
  <si>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</si>
  <si>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</si>
  <si>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</si>
  <si>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</si>
  <si>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</si>
  <si>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</si>
  <si>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</si>
  <si>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</si>
  <si>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</si>
  <si>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</si>
  <si>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Eddie Griffin</t>
  </si>
  <si>
    <t>DysFunktional Family </t>
  </si>
  <si>
    <t>Comedy|Drama|Horror</t>
  </si>
  <si>
    <t>Tusk </t>
  </si>
  <si>
    <t>Oldboy </t>
  </si>
  <si>
    <t>David Nixon</t>
  </si>
  <si>
    <t>Robyn Lively</t>
  </si>
  <si>
    <t>Letters to God </t>
  </si>
  <si>
    <t>Jason Eisener</t>
  </si>
  <si>
    <t>Hobo with a Shotgun </t>
  </si>
  <si>
    <t>Enrique Begne</t>
  </si>
  <si>
    <t>Kevin Pollak</t>
  </si>
  <si>
    <t>Compadres </t>
  </si>
  <si>
    <t>Leslye Headland</t>
  </si>
  <si>
    <t>Bachelorette </t>
  </si>
  <si>
    <t>Tim Heidecker</t>
  </si>
  <si>
    <t>Michael Gross</t>
  </si>
  <si>
    <t>Tim and Eric's Billion Dollar Movie </t>
  </si>
  <si>
    <t>Alicja Bachleda</t>
  </si>
  <si>
    <t>Summer Storm </t>
  </si>
  <si>
    <t>Kate Connor</t>
  </si>
  <si>
    <t>Johnny Pacar</t>
  </si>
  <si>
    <t>Fort McCoy </t>
  </si>
  <si>
    <t>Deon Taylor</t>
  </si>
  <si>
    <t>Matt Cohen</t>
  </si>
  <si>
    <t>Chain Letter </t>
  </si>
  <si>
    <t>Just Looking </t>
  </si>
  <si>
    <t>The Divide </t>
  </si>
  <si>
    <t>Francesca Gregorini</t>
  </si>
  <si>
    <t>Tom Everett Scott</t>
  </si>
  <si>
    <t>Tanner Hall </t>
  </si>
  <si>
    <t>Fernanda Montenegro</t>
  </si>
  <si>
    <t>Central Station </t>
  </si>
  <si>
    <t>Susan Seidelman</t>
  </si>
  <si>
    <t>Dyan Cannon</t>
  </si>
  <si>
    <t>Boynton Beach Club </t>
  </si>
  <si>
    <t>Heidi Ewing</t>
  </si>
  <si>
    <t>Greg Crowe</t>
  </si>
  <si>
    <t>Freakonomics </t>
  </si>
  <si>
    <t>CÃ©cile De France</t>
  </si>
  <si>
    <t>High Tension </t>
  </si>
  <si>
    <t>Isaac Hayes</t>
  </si>
  <si>
    <t>Hustle &amp; Flow </t>
  </si>
  <si>
    <t>Billy Wilder</t>
  </si>
  <si>
    <t>Nehemiah Persoff</t>
  </si>
  <si>
    <t>Some Like It Hot </t>
  </si>
  <si>
    <t>John Carl Buechler</t>
  </si>
  <si>
    <t>Friday the 13th Part VII: The New Blood </t>
  </si>
  <si>
    <t>Margaret Hamilton</t>
  </si>
  <si>
    <t>The Wizard of Oz </t>
  </si>
  <si>
    <t>Madeline Kahn</t>
  </si>
  <si>
    <t>Young Frankenstein </t>
  </si>
  <si>
    <t>Megan Park</t>
  </si>
  <si>
    <t>Diary of the Dead </t>
  </si>
  <si>
    <t>Victor Nunez</t>
  </si>
  <si>
    <t>Ulee's Gold </t>
  </si>
  <si>
    <t>Blazing Saddles </t>
  </si>
  <si>
    <t>Joseph Zito</t>
  </si>
  <si>
    <t>Judie Aronson</t>
  </si>
  <si>
    <t>Friday the 13th: The Final Chapter </t>
  </si>
  <si>
    <t>Rupert Graves</t>
  </si>
  <si>
    <t>Maurice </t>
  </si>
  <si>
    <t>Frank Sebastiano</t>
  </si>
  <si>
    <t>Beer League </t>
  </si>
  <si>
    <t>Nacho Vigalondo</t>
  </si>
  <si>
    <t>Karra Elejalde</t>
  </si>
  <si>
    <t>Timecrimes </t>
  </si>
  <si>
    <t>Essence Atkins</t>
  </si>
  <si>
    <t>A Haunted House </t>
  </si>
  <si>
    <t>Dinesh D'Souza</t>
  </si>
  <si>
    <t>Barack Obama</t>
  </si>
  <si>
    <t>2016: Obama's America </t>
  </si>
  <si>
    <t>That Thing You Do! </t>
  </si>
  <si>
    <t>Tommy Lee Wallace</t>
  </si>
  <si>
    <t>Tom Atkins</t>
  </si>
  <si>
    <t>Halloween III: Season of the Witch </t>
  </si>
  <si>
    <t>Leslie Small</t>
  </si>
  <si>
    <t>David Jason Perez</t>
  </si>
  <si>
    <t>Kevin Hart: Let Me Explain </t>
  </si>
  <si>
    <t>My Own Private Idaho </t>
  </si>
  <si>
    <t>Garden State </t>
  </si>
  <si>
    <t>Hanno PÃ¶schl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</si>
  <si>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</si>
  <si>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</si>
  <si>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</si>
  <si>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</si>
  <si>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</si>
  <si>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</si>
  <si>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</si>
  <si>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</si>
  <si>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</si>
  <si>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</si>
  <si>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</si>
  <si>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</si>
  <si>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Bill Maher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</si>
  <si>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</si>
  <si>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</si>
  <si>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</si>
  <si>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</si>
  <si>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</si>
  <si>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</si>
  <si>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</si>
  <si>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</si>
  <si>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Dustin Lance Black</t>
  </si>
  <si>
    <t>8: The Mormon Proposition </t>
  </si>
  <si>
    <t>James Dodson</t>
  </si>
  <si>
    <t>The Other End of the Line </t>
  </si>
  <si>
    <t>Benno FÃ¼rmann</t>
  </si>
  <si>
    <t>Anatomy </t>
  </si>
  <si>
    <t>Alex Rivera</t>
  </si>
  <si>
    <t>Leonor Varela</t>
  </si>
  <si>
    <t>Sleep Dealer </t>
  </si>
  <si>
    <t>Super </t>
  </si>
  <si>
    <t>Get on the Bus </t>
  </si>
  <si>
    <t>Robby Henson</t>
  </si>
  <si>
    <t>Thr3e </t>
  </si>
  <si>
    <t>Shane Meadows</t>
  </si>
  <si>
    <t>This Is England </t>
  </si>
  <si>
    <t>Carmen Marron</t>
  </si>
  <si>
    <t>Jossara Jinaro</t>
  </si>
  <si>
    <t>Go for It! </t>
  </si>
  <si>
    <t>Leopold Stokowski</t>
  </si>
  <si>
    <t>Fantasia </t>
  </si>
  <si>
    <t>Richard Brooker</t>
  </si>
  <si>
    <t>Friday the 13th Part III </t>
  </si>
  <si>
    <t>Danny Steinmann</t>
  </si>
  <si>
    <t>Tiffany Helm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</si>
  <si>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</si>
  <si>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</si>
  <si>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</si>
  <si>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</si>
  <si>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</si>
  <si>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</si>
  <si>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Myrna Loy</t>
  </si>
  <si>
    <t>The Best Years of Our Lives </t>
  </si>
  <si>
    <t>Petter NÃ¦ss</t>
  </si>
  <si>
    <t>JÃ¸rgen Langhelle</t>
  </si>
  <si>
    <t>Elling </t>
  </si>
  <si>
    <t>Robert Fontaine</t>
  </si>
  <si>
    <t>Michael Derek</t>
  </si>
  <si>
    <t>Mi America </t>
  </si>
  <si>
    <t>Robert Shaw</t>
  </si>
  <si>
    <t>From Russia with Love </t>
  </si>
  <si>
    <t>Michael Herz</t>
  </si>
  <si>
    <t>Action|Comedy|Horror|Sci-Fi</t>
  </si>
  <si>
    <t>Phoebe Legere</t>
  </si>
  <si>
    <t>The Toxic Avenger Part II </t>
  </si>
  <si>
    <t>David Robert Mitchell</t>
  </si>
  <si>
    <t>Maika Monroe</t>
  </si>
  <si>
    <t>It Follows </t>
  </si>
  <si>
    <t>Vernon Wells</t>
  </si>
  <si>
    <t>Mad Max 2: The Road Warrior </t>
  </si>
  <si>
    <t>Chia-Liang Liu</t>
  </si>
  <si>
    <t>Andy Lau</t>
  </si>
  <si>
    <t>The Legend of Drunken Master </t>
  </si>
  <si>
    <t>Alicia Goranson</t>
  </si>
  <si>
    <t>Boys Don't Cry </t>
  </si>
  <si>
    <t>Chris Kentis</t>
  </si>
  <si>
    <t>Eric Sheffer Stevens</t>
  </si>
  <si>
    <t>Silent House </t>
  </si>
  <si>
    <t>The Lives of Others </t>
  </si>
  <si>
    <t>Ben Davies</t>
  </si>
  <si>
    <t>Courageous </t>
  </si>
  <si>
    <t>Sylvain Chomet</t>
  </si>
  <si>
    <t>Animation|Comedy|Drama</t>
  </si>
  <si>
    <t>Michel Robin</t>
  </si>
  <si>
    <t>The Triplets of Belleville </t>
  </si>
  <si>
    <t>Chris Eyre</t>
  </si>
  <si>
    <t>Michael Greyeyes</t>
  </si>
  <si>
    <t>Smoke Signals </t>
  </si>
  <si>
    <t>Vernon Dobtcheff</t>
  </si>
  <si>
    <t>Before Sunset </t>
  </si>
  <si>
    <t>Adriana Barraza</t>
  </si>
  <si>
    <t>Amores Perros </t>
  </si>
  <si>
    <t>Thirteen </t>
  </si>
  <si>
    <t>Debra Granik</t>
  </si>
  <si>
    <t>Winter's Bone </t>
  </si>
  <si>
    <t>Miranda July</t>
  </si>
  <si>
    <t>Najarra Townsend</t>
  </si>
  <si>
    <t>Me and You and Everyone We Know </t>
  </si>
  <si>
    <t>Max Joseph</t>
  </si>
  <si>
    <t>Vanessa Lengies</t>
  </si>
  <si>
    <t>We Are Your Friends </t>
  </si>
  <si>
    <t>Harsh Times </t>
  </si>
  <si>
    <t>Captive </t>
  </si>
  <si>
    <t>Full Frontal </t>
  </si>
  <si>
    <t>Kevin Tenney</t>
  </si>
  <si>
    <t>Kathleen Wilhoite</t>
  </si>
  <si>
    <t>Witchboard </t>
  </si>
  <si>
    <t>Sook-Yin Lee</t>
  </si>
  <si>
    <t>Shortbus </t>
  </si>
  <si>
    <t>Ari Folman</t>
  </si>
  <si>
    <t>Animation|Biography|Documentary|Drama|History|War</t>
  </si>
  <si>
    <t>Waltz with Bashir </t>
  </si>
  <si>
    <t>Hebrew</t>
  </si>
  <si>
    <t>Gary Rogers</t>
  </si>
  <si>
    <t>Noah Danby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</si>
  <si>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</si>
  <si>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</si>
  <si>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</si>
  <si>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</si>
  <si>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</si>
  <si>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</si>
  <si>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</si>
  <si>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John F. Kennedy</t>
  </si>
  <si>
    <t>In the Shadow of the Moon </t>
  </si>
  <si>
    <t>Biography|Documentary|History</t>
  </si>
  <si>
    <t>Inside Deep Throat </t>
  </si>
  <si>
    <t>Huck Botko</t>
  </si>
  <si>
    <t>Matt Bennett</t>
  </si>
  <si>
    <t>The Virginity Hit </t>
  </si>
  <si>
    <t>David Duchovny</t>
  </si>
  <si>
    <t>House of D </t>
  </si>
  <si>
    <t>Lance Mungia</t>
  </si>
  <si>
    <t>Action|Adventure|Comedy|Drama|Music|Sci-Fi</t>
  </si>
  <si>
    <t>Jeffrey Falcon</t>
  </si>
  <si>
    <t>Six-String Samurai </t>
  </si>
  <si>
    <t>Hue Rhodes</t>
  </si>
  <si>
    <t>Saint John of Las Vegas </t>
  </si>
  <si>
    <t>Stonewall </t>
  </si>
  <si>
    <t>Noah Buschel</t>
  </si>
  <si>
    <t>Merritt Wever</t>
  </si>
  <si>
    <t>The Missing Person </t>
  </si>
  <si>
    <t>Hunter Richards</t>
  </si>
  <si>
    <t>London </t>
  </si>
  <si>
    <t>Laurie Collyer</t>
  </si>
  <si>
    <t>Brad William Henke</t>
  </si>
  <si>
    <t>Sherrybaby </t>
  </si>
  <si>
    <t>Ralph Ziman</t>
  </si>
  <si>
    <t>Rapulana Seiphemo</t>
  </si>
  <si>
    <t>Gangster's Paradise: Jerusalema </t>
  </si>
  <si>
    <t>Orson Welles</t>
  </si>
  <si>
    <t>Crime|Drama|Film-Noir|Mystery|Thriller</t>
  </si>
  <si>
    <t>Rita Hayworth</t>
  </si>
  <si>
    <t>The Lady from Shanghai </t>
  </si>
  <si>
    <t>Paul Bunnell</t>
  </si>
  <si>
    <t>Comedy|Fantasy|Musical|Sci-Fi</t>
  </si>
  <si>
    <t>Kate Maberly</t>
  </si>
  <si>
    <t>The Ghastly Love of Johnny X </t>
  </si>
  <si>
    <t>Tim Hunter</t>
  </si>
  <si>
    <t>River's Edge </t>
  </si>
  <si>
    <t>Northfork </t>
  </si>
  <si>
    <t>Rodrigo CortÃ©s</t>
  </si>
  <si>
    <t>Buried </t>
  </si>
  <si>
    <t>Pascal Arnold</t>
  </si>
  <si>
    <t>Karl E. Landler</t>
  </si>
  <si>
    <t>One to Another </t>
  </si>
  <si>
    <t>Biography|Crime|Documentary|History|Thriller</t>
  </si>
  <si>
    <t>Paul McGill</t>
  </si>
  <si>
    <t>Man on Wire </t>
  </si>
  <si>
    <t>Jamal Hill</t>
  </si>
  <si>
    <t>Logan Browning</t>
  </si>
  <si>
    <t>Brotherly Love </t>
  </si>
  <si>
    <t>Daniel Stamm</t>
  </si>
  <si>
    <t>Caleb Landry Jones</t>
  </si>
  <si>
    <t>The Last Exorcism </t>
  </si>
  <si>
    <t>Carlos Carrera</t>
  </si>
  <si>
    <t>DamiÃ¡n AlcÃ¡zar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</si>
  <si>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</si>
  <si>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</si>
  <si>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</si>
  <si>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</si>
  <si>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</si>
  <si>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</si>
  <si>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</si>
  <si>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Tshewang Dendup</t>
  </si>
  <si>
    <t>Travelers and Magicians </t>
  </si>
  <si>
    <t>Dzongkha</t>
  </si>
  <si>
    <t>Run Lola Run </t>
  </si>
  <si>
    <t>Lucky McKee</t>
  </si>
  <si>
    <t>James Duval</t>
  </si>
  <si>
    <t>May </t>
  </si>
  <si>
    <t>In the Bedroom </t>
  </si>
  <si>
    <t>Steven R. Monroe</t>
  </si>
  <si>
    <t>Sarah Butler</t>
  </si>
  <si>
    <t>I Spit on Your Grave </t>
  </si>
  <si>
    <t>Mark Illsley</t>
  </si>
  <si>
    <t>Ally Walker</t>
  </si>
  <si>
    <t>Happy, Texas </t>
  </si>
  <si>
    <t>Pawel Pawlikowski</t>
  </si>
  <si>
    <t>My Summer of Love </t>
  </si>
  <si>
    <t>Ritesh Batra</t>
  </si>
  <si>
    <t>Nawazuddin Siddiqui</t>
  </si>
  <si>
    <t>The Lunchbox </t>
  </si>
  <si>
    <t>Sally Potter</t>
  </si>
  <si>
    <t>Yes </t>
  </si>
  <si>
    <t>Dave Meyers</t>
  </si>
  <si>
    <t>Foolish </t>
  </si>
  <si>
    <t>Nadine Labaki</t>
  </si>
  <si>
    <t>Yasmine Al Massri</t>
  </si>
  <si>
    <t>Caramel </t>
  </si>
  <si>
    <t>Arabic</t>
  </si>
  <si>
    <t>Eytan Fox</t>
  </si>
  <si>
    <t>Ohad Knoller</t>
  </si>
  <si>
    <t>The Bubble </t>
  </si>
  <si>
    <t>FranÃ§ois Truffaut</t>
  </si>
  <si>
    <t>Mississippi Mermaid </t>
  </si>
  <si>
    <t>I Love Your Work </t>
  </si>
  <si>
    <t>Adrienne Shelly</t>
  </si>
  <si>
    <t>Lew Temple</t>
  </si>
  <si>
    <t>Waitress </t>
  </si>
  <si>
    <t>Newt Arnold</t>
  </si>
  <si>
    <t>Bloodsport </t>
  </si>
  <si>
    <t>Larry Clark</t>
  </si>
  <si>
    <t>Kids </t>
  </si>
  <si>
    <t>William Baldwin</t>
  </si>
  <si>
    <t>The Squid and the Whale </t>
  </si>
  <si>
    <t>Scott Cohen</t>
  </si>
  <si>
    <t>Kissing Jessica Stein </t>
  </si>
  <si>
    <t>Exotica </t>
  </si>
  <si>
    <t>Buffalo '66 </t>
  </si>
  <si>
    <t>Insidious </t>
  </si>
  <si>
    <t>FabiÃ¡n Bielinsky</t>
  </si>
  <si>
    <t>Nine Queens </t>
  </si>
  <si>
    <t>Rebecca Miller</t>
  </si>
  <si>
    <t>Beau Bridges</t>
  </si>
  <si>
    <t>The Ballad of Jack and Rose </t>
  </si>
  <si>
    <t>Maggie Carey</t>
  </si>
  <si>
    <t>Donald Glover</t>
  </si>
  <si>
    <t>The To Do List </t>
  </si>
  <si>
    <t>Killing Zoe </t>
  </si>
  <si>
    <t>Henry Bean</t>
  </si>
  <si>
    <t>The Believer </t>
  </si>
  <si>
    <t>Paul Guilfoyle</t>
  </si>
  <si>
    <t>Session 9 </t>
  </si>
  <si>
    <t>Jeff Garlin</t>
  </si>
  <si>
    <t>Jessy Schram</t>
  </si>
  <si>
    <t>I Want Someone to Eat Cheese With </t>
  </si>
  <si>
    <t>Charles Chaplin</t>
  </si>
  <si>
    <t>Paulette Goddard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</si>
  <si>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</si>
  <si>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</si>
  <si>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</si>
  <si>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</si>
  <si>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</si>
  <si>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</si>
  <si>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</si>
  <si>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Jay Mohr</t>
  </si>
  <si>
    <t>Road Hard </t>
  </si>
  <si>
    <t>Brian Lee Franklin</t>
  </si>
  <si>
    <t>Amigo </t>
  </si>
  <si>
    <t>Bruce McDonald</t>
  </si>
  <si>
    <t>Stephen McHattie</t>
  </si>
  <si>
    <t>Pontypool </t>
  </si>
  <si>
    <t>James Mottern</t>
  </si>
  <si>
    <t>Trucker </t>
  </si>
  <si>
    <t>The Lords of Salem </t>
  </si>
  <si>
    <t>William Cottrell</t>
  </si>
  <si>
    <t>Adriana Caselotti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</si>
  <si>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</si>
  <si>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</si>
  <si>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</si>
  <si>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</si>
  <si>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</si>
  <si>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</si>
  <si>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</si>
  <si>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Ulrich Thomsen</t>
  </si>
  <si>
    <t>The Celebration </t>
  </si>
  <si>
    <t>Trees Lounge </t>
  </si>
  <si>
    <t>Ham Tran</t>
  </si>
  <si>
    <t>Long Nguyen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</si>
  <si>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</si>
  <si>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</si>
  <si>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</si>
  <si>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</si>
  <si>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</si>
  <si>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</si>
  <si>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</si>
  <si>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</si>
  <si>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</si>
  <si>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Abhishek Bachchan</t>
  </si>
  <si>
    <t>Neal 'N' Nikki </t>
  </si>
  <si>
    <t>Betsy Palmer</t>
  </si>
  <si>
    <t>Friday the 13th Part 2 </t>
  </si>
  <si>
    <t>Youssef Delara</t>
  </si>
  <si>
    <t>Filly Brown </t>
  </si>
  <si>
    <t>Peter Gallagher</t>
  </si>
  <si>
    <t>Sex, Lies, and Videotape </t>
  </si>
  <si>
    <t>Saw </t>
  </si>
  <si>
    <t>Geoffrey Arend</t>
  </si>
  <si>
    <t>Super Troopers </t>
  </si>
  <si>
    <t>Claudia Sainte-Luce</t>
  </si>
  <si>
    <t>Ximena Ayala</t>
  </si>
  <si>
    <t>The Amazing Catfish </t>
  </si>
  <si>
    <t>Naseeruddin Shah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</si>
  <si>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</si>
  <si>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</si>
  <si>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</si>
  <si>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</si>
  <si>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</si>
  <si>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</si>
  <si>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</si>
  <si>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</si>
  <si>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</si>
  <si>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Alex Huszar</t>
  </si>
  <si>
    <t>The Second Mother </t>
  </si>
  <si>
    <t>Steve Taylor</t>
  </si>
  <si>
    <t>Jason Marsden</t>
  </si>
  <si>
    <t>Blue Like Jazz </t>
  </si>
  <si>
    <t>Kurt Voss</t>
  </si>
  <si>
    <t>Lemmy</t>
  </si>
  <si>
    <t>Down and Out with the Dolls </t>
  </si>
  <si>
    <t>James David Pasternak</t>
  </si>
  <si>
    <t>Certifiably Jonathan </t>
  </si>
  <si>
    <t>Tom Sanchez</t>
  </si>
  <si>
    <t>Nataniel SÃ¡nchez</t>
  </si>
  <si>
    <t>The Knife of Don Juan </t>
  </si>
  <si>
    <t>Adventure|Comedy|Sport</t>
  </si>
  <si>
    <t>Alanna Ubach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</si>
  <si>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</si>
  <si>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</si>
  <si>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</si>
  <si>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</si>
  <si>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</si>
  <si>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</si>
  <si>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Terry Kiser</t>
  </si>
  <si>
    <t>From a Whisper to a Scream </t>
  </si>
  <si>
    <t>Guy Maddin</t>
  </si>
  <si>
    <t>Comedy|Horror|Musical</t>
  </si>
  <si>
    <t>Sarah Murphy-Dyson</t>
  </si>
  <si>
    <t>Dracula: Pages from a Virgin's Diary </t>
  </si>
  <si>
    <t>Panos Cosmatos</t>
  </si>
  <si>
    <t>Chris Gauthier</t>
  </si>
  <si>
    <t>Beyond the Black Rainbow </t>
  </si>
  <si>
    <t>Gareth Evans</t>
  </si>
  <si>
    <t>Iko Uwais</t>
  </si>
  <si>
    <t>The Raid: Redemption </t>
  </si>
  <si>
    <t>Indonesian</t>
  </si>
  <si>
    <t>Rocky </t>
  </si>
  <si>
    <t>Levan Gabriadze</t>
  </si>
  <si>
    <t>Shelley Hennig</t>
  </si>
  <si>
    <t>Unfriended </t>
  </si>
  <si>
    <t>The Howling </t>
  </si>
  <si>
    <t>Ursula Andress</t>
  </si>
  <si>
    <t>Dr. No </t>
  </si>
  <si>
    <t>Bradley Parker</t>
  </si>
  <si>
    <t>Chernobyl Diaries </t>
  </si>
  <si>
    <t>Clive Barker</t>
  </si>
  <si>
    <t>Andrew Robinson</t>
  </si>
  <si>
    <t>Hellraiser </t>
  </si>
  <si>
    <t>Harold Cronk</t>
  </si>
  <si>
    <t>Benjamin A. Onyango</t>
  </si>
  <si>
    <t>God's Not Dead 2 </t>
  </si>
  <si>
    <t>Cry_Wolf </t>
  </si>
  <si>
    <t>Takao Okawara</t>
  </si>
  <si>
    <t>Hiroshi Abe</t>
  </si>
  <si>
    <t>Godzilla 2000 </t>
  </si>
  <si>
    <t>Blue Valentine </t>
  </si>
  <si>
    <t>Duncan Tucker</t>
  </si>
  <si>
    <t>Transamerica </t>
  </si>
  <si>
    <t>Fernanda Andrade</t>
  </si>
  <si>
    <t>The Devil Inside </t>
  </si>
  <si>
    <t>Russ Meyer</t>
  </si>
  <si>
    <t>Beyond the Valley of the Dolls </t>
  </si>
  <si>
    <t>The Green Inferno </t>
  </si>
  <si>
    <t>Ben Lewin</t>
  </si>
  <si>
    <t>W. Earl Brown</t>
  </si>
  <si>
    <t>The Sessions </t>
  </si>
  <si>
    <t>Next Stop Wonderland </t>
  </si>
  <si>
    <t>Courtney Hunt</t>
  </si>
  <si>
    <t>Frozen River </t>
  </si>
  <si>
    <t>Morgan Neville</t>
  </si>
  <si>
    <t>Sheryl Crow</t>
  </si>
  <si>
    <t>20 Feet from Stardom </t>
  </si>
  <si>
    <t>Two Girls and a Guy </t>
  </si>
  <si>
    <t>Kevin Corrigan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</si>
  <si>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</si>
  <si>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</si>
  <si>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</si>
  <si>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</si>
  <si>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</si>
  <si>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</si>
  <si>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Sonja Sohn</t>
  </si>
  <si>
    <t>Slam </t>
  </si>
  <si>
    <t>Richard Dutcher</t>
  </si>
  <si>
    <t>Brigham City </t>
  </si>
  <si>
    <t>Khalid Mohamed</t>
  </si>
  <si>
    <t>Karisma Kapoor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</si>
  <si>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</si>
  <si>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</si>
  <si>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</si>
  <si>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</si>
  <si>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</si>
  <si>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</si>
  <si>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</si>
  <si>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JosÃ© Luis Valenzuela</t>
  </si>
  <si>
    <t>Luminarias </t>
  </si>
  <si>
    <t>Goran Dukic</t>
  </si>
  <si>
    <t>Wristcutters: A Love Story </t>
  </si>
  <si>
    <t>Efram Potelle</t>
  </si>
  <si>
    <t>Shiri Appleby</t>
  </si>
  <si>
    <t>The Battle of Shaker Heights </t>
  </si>
  <si>
    <t>Joshua Oppenheimer</t>
  </si>
  <si>
    <t>Biography|Crime|Documentary|History</t>
  </si>
  <si>
    <t>Anwar Congo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</si>
  <si>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</si>
  <si>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</si>
  <si>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</si>
  <si>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</si>
  <si>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</si>
  <si>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</si>
  <si>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PelÃ©</t>
  </si>
  <si>
    <t>Once in a Lifetime: The Extraordinary Story of the New York Cosmos </t>
  </si>
  <si>
    <t>Anthony Powell</t>
  </si>
  <si>
    <t>Adventure|Biography|Documentary|Drama</t>
  </si>
  <si>
    <t>Josh Swanson</t>
  </si>
  <si>
    <t>Antarctica: A Year on Ice </t>
  </si>
  <si>
    <t>Kief Davidson</t>
  </si>
  <si>
    <t>G.W. Krauss</t>
  </si>
  <si>
    <t>A Lego Brickumentary </t>
  </si>
  <si>
    <t>Johnny Remo</t>
  </si>
  <si>
    <t>Matthew Ziff</t>
  </si>
  <si>
    <t>Hardflip </t>
  </si>
  <si>
    <t>Vivek Agnihotri</t>
  </si>
  <si>
    <t>Emraan Hashmi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</si>
  <si>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</si>
  <si>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</si>
  <si>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</si>
  <si>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</si>
  <si>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</si>
  <si>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</si>
  <si>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Harvey Fierstein</t>
  </si>
  <si>
    <t>Safe Men </t>
  </si>
  <si>
    <t>The Specials </t>
  </si>
  <si>
    <t>Eric Nicholas</t>
  </si>
  <si>
    <t>Jordana Spiro</t>
  </si>
  <si>
    <t>Alone with Her </t>
  </si>
  <si>
    <t>Benjamin Dickinson</t>
  </si>
  <si>
    <t>Nora Zehetner</t>
  </si>
  <si>
    <t>Creative Control </t>
  </si>
  <si>
    <t>Hal Haberman</t>
  </si>
  <si>
    <t>Special </t>
  </si>
  <si>
    <t>In Her Line of Fire </t>
  </si>
  <si>
    <t>The Jimmy Show </t>
  </si>
  <si>
    <t>Elia Kazan</t>
  </si>
  <si>
    <t>On the Waterfront </t>
  </si>
  <si>
    <t>Kat Coiro</t>
  </si>
  <si>
    <t>Justin Kirk</t>
  </si>
  <si>
    <t>L!fe Happens </t>
  </si>
  <si>
    <t>Cristian Mungiu</t>
  </si>
  <si>
    <t>Anamaria Marinca</t>
  </si>
  <si>
    <t>4 Months, 3 Weeks and 2 Days </t>
  </si>
  <si>
    <t>Romanian</t>
  </si>
  <si>
    <t>Odessa Rae</t>
  </si>
  <si>
    <t>Hard Candy </t>
  </si>
  <si>
    <t>The Quiet </t>
  </si>
  <si>
    <t>Ahna O'Reilly</t>
  </si>
  <si>
    <t>Fruitvale Station </t>
  </si>
  <si>
    <t>Ramaa Mosley</t>
  </si>
  <si>
    <t>Comedy|Fantasy|Thriller</t>
  </si>
  <si>
    <t>The Brass Teapot </t>
  </si>
  <si>
    <t>John Enos III</t>
  </si>
  <si>
    <t>The Hammer </t>
  </si>
  <si>
    <t>C. Jay Cox</t>
  </si>
  <si>
    <t>Latter Days </t>
  </si>
  <si>
    <t>Jamie Travis</t>
  </si>
  <si>
    <t>James Wolk</t>
  </si>
  <si>
    <t>For a Good Time, Call... </t>
  </si>
  <si>
    <t>Rich Christiano</t>
  </si>
  <si>
    <t>Drama|Fantasy|Sci-Fi</t>
  </si>
  <si>
    <t>Gavin MacLeod</t>
  </si>
  <si>
    <t>Time Changer </t>
  </si>
  <si>
    <t>Asghar Farhadi</t>
  </si>
  <si>
    <t>Shahab Hosseini</t>
  </si>
  <si>
    <t>A Separation </t>
  </si>
  <si>
    <t>Persian</t>
  </si>
  <si>
    <t>Welcome to the Dollhouse </t>
  </si>
  <si>
    <t>Allison Dean</t>
  </si>
  <si>
    <t>Ruby in Paradise </t>
  </si>
  <si>
    <t>Victor Rasuk</t>
  </si>
  <si>
    <t>Raising Victor Vargas </t>
  </si>
  <si>
    <t>Deterrence </t>
  </si>
  <si>
    <t>Shane Dawson</t>
  </si>
  <si>
    <t>Not Cool </t>
  </si>
  <si>
    <t>BjÃ¸rn Sundquist</t>
  </si>
  <si>
    <t>Dead Snow </t>
  </si>
  <si>
    <t>Ryan Little</t>
  </si>
  <si>
    <t>Action|Adventure|Drama|War</t>
  </si>
  <si>
    <t>Corbin Allred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</si>
  <si>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</si>
  <si>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</si>
  <si>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</si>
  <si>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</si>
  <si>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</si>
  <si>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</si>
  <si>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</si>
  <si>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</si>
  <si>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</si>
  <si>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Raymond J. Barry</t>
  </si>
  <si>
    <t>Interview with the Assassin </t>
  </si>
  <si>
    <t>Oliver Blackburn</t>
  </si>
  <si>
    <t>Donkey Punch </t>
  </si>
  <si>
    <t>Documentary|Drama|Sport</t>
  </si>
  <si>
    <t>William Gates</t>
  </si>
  <si>
    <t>Hoop Dreams </t>
  </si>
  <si>
    <t>Adam LeFevre</t>
  </si>
  <si>
    <t>L.I.E. </t>
  </si>
  <si>
    <t>Ryan Fleck</t>
  </si>
  <si>
    <t>Half Nelson </t>
  </si>
  <si>
    <t>Jennifer Wynne Farmer</t>
  </si>
  <si>
    <t>Irene Bedard</t>
  </si>
  <si>
    <t>Naturally Native </t>
  </si>
  <si>
    <t>Christopher Scott Cherot</t>
  </si>
  <si>
    <t>Hill Harper</t>
  </si>
  <si>
    <t>Hav Plenty </t>
  </si>
  <si>
    <t>Mark Sandrich</t>
  </si>
  <si>
    <t>Ginger Rogers</t>
  </si>
  <si>
    <t>Top Hat </t>
  </si>
  <si>
    <t>Daniel Myrick</t>
  </si>
  <si>
    <t>Heather Donahue</t>
  </si>
  <si>
    <t>The Blair Witch Project </t>
  </si>
  <si>
    <t>Michael Wadleigh</t>
  </si>
  <si>
    <t>Documentary|History|Music</t>
  </si>
  <si>
    <t>Joe Cocker</t>
  </si>
  <si>
    <t>Woodstock </t>
  </si>
  <si>
    <t>Stacy Keach</t>
  </si>
  <si>
    <t>Mercy Streets </t>
  </si>
  <si>
    <t>Scott Ziehl</t>
  </si>
  <si>
    <t>Broken Vessels </t>
  </si>
  <si>
    <t>Paul McCartney</t>
  </si>
  <si>
    <t>A Hard Day's Night </t>
  </si>
  <si>
    <t>Kirk Cameron</t>
  </si>
  <si>
    <t>Fireproof </t>
  </si>
  <si>
    <t>Joe Camp</t>
  </si>
  <si>
    <t>Adventure|Family|Romance</t>
  </si>
  <si>
    <t>Frances Bavier</t>
  </si>
  <si>
    <t>Benji </t>
  </si>
  <si>
    <t>Adventure|Biography|Drama|Horror|Thriller</t>
  </si>
  <si>
    <t>Blanchard Ryan</t>
  </si>
  <si>
    <t>Open Water </t>
  </si>
  <si>
    <t>John 'Bud' Cardos</t>
  </si>
  <si>
    <t>Woody Strode</t>
  </si>
  <si>
    <t>Kingdom of the Spiders </t>
  </si>
  <si>
    <t>The Station Agent </t>
  </si>
  <si>
    <t>Brian Baugh</t>
  </si>
  <si>
    <t>Randy Wayne</t>
  </si>
  <si>
    <t>To Save a Life </t>
  </si>
  <si>
    <t>Barry W. Blaustein</t>
  </si>
  <si>
    <t>Biography|Documentary|Sport</t>
  </si>
  <si>
    <t>Terry Funk</t>
  </si>
  <si>
    <t>Beyond the Mat </t>
  </si>
  <si>
    <t>Kurt Hale</t>
  </si>
  <si>
    <t>Kirby Heyborne</t>
  </si>
  <si>
    <t>The Singles Ward </t>
  </si>
  <si>
    <t>Siddiq Barmak</t>
  </si>
  <si>
    <t>Marina Golbahari</t>
  </si>
  <si>
    <t>Osama </t>
  </si>
  <si>
    <t>Joseph Dorman</t>
  </si>
  <si>
    <t>Rachel Dratch</t>
  </si>
  <si>
    <t>Sholem Aleichem: Laughing in the Darkness </t>
  </si>
  <si>
    <t>Greg Harrison</t>
  </si>
  <si>
    <t>Rachel True</t>
  </si>
  <si>
    <t>Groove </t>
  </si>
  <si>
    <t>The R.M. </t>
  </si>
  <si>
    <t>Sasha Alexander</t>
  </si>
  <si>
    <t>Twin Falls Idaho </t>
  </si>
  <si>
    <t>Jacob Aaron Estes</t>
  </si>
  <si>
    <t>Mean Creek </t>
  </si>
  <si>
    <t>Edie Falco</t>
  </si>
  <si>
    <t>Hurricane Streets </t>
  </si>
  <si>
    <t>Eric Schaeffer</t>
  </si>
  <si>
    <t>Never Again </t>
  </si>
  <si>
    <t>Neema Barnette</t>
  </si>
  <si>
    <t>Monica Calhoun</t>
  </si>
  <si>
    <t>Civil Brand </t>
  </si>
  <si>
    <t>Lonesome Jim </t>
  </si>
  <si>
    <t>Molly Bernstein</t>
  </si>
  <si>
    <t>Deceptive Practice: The Mysteries and Mentors of Ricky Jay </t>
  </si>
  <si>
    <t>Takashi Shimura</t>
  </si>
  <si>
    <t>Seven Samurai </t>
  </si>
  <si>
    <t>Marius A. Markevicius</t>
  </si>
  <si>
    <t>Tommy Sheppard</t>
  </si>
  <si>
    <t>The Other Dream Team </t>
  </si>
  <si>
    <t>Monique Gabriela Curnen</t>
  </si>
  <si>
    <t>Finishing the Game: The Search for a New Bruce Lee </t>
  </si>
  <si>
    <t>Quentin Dupieux</t>
  </si>
  <si>
    <t>Haley Ramm</t>
  </si>
  <si>
    <t>Rubber </t>
  </si>
  <si>
    <t>Tori Spelling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</si>
  <si>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</si>
  <si>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</si>
  <si>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</si>
  <si>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</si>
  <si>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</si>
  <si>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</si>
  <si>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</si>
  <si>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</si>
  <si>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</si>
  <si>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</si>
  <si>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</si>
  <si>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Elizabeth Streb</t>
  </si>
  <si>
    <t>Born to Fly: Elizabeth Streb vs. Gravity </t>
  </si>
  <si>
    <t>Matty Rich</t>
  </si>
  <si>
    <t>Lawrence Gilliard Jr.</t>
  </si>
  <si>
    <t>Straight Out of Brooklyn </t>
  </si>
  <si>
    <t>Bloody Sunday </t>
  </si>
  <si>
    <t>Hans Canosa</t>
  </si>
  <si>
    <t>Conversations with Other Women </t>
  </si>
  <si>
    <t>Lloyd Kaufman</t>
  </si>
  <si>
    <t>John Karyus</t>
  </si>
  <si>
    <t>Poultrygeist: Night of the Chicken Dead </t>
  </si>
  <si>
    <t>Lloyd Bacon</t>
  </si>
  <si>
    <t>42nd Street </t>
  </si>
  <si>
    <t>Whit Stillman</t>
  </si>
  <si>
    <t>Chris Eigeman</t>
  </si>
  <si>
    <t>Metropolitan </t>
  </si>
  <si>
    <t>Kay Pollak</t>
  </si>
  <si>
    <t>Michael Nyqvist</t>
  </si>
  <si>
    <t>As It Is in Heaven </t>
  </si>
  <si>
    <t>Swedish</t>
  </si>
  <si>
    <t>Napoleon Dynamite </t>
  </si>
  <si>
    <t>Blue Ruin </t>
  </si>
  <si>
    <t>Oren Peli</t>
  </si>
  <si>
    <t>Micah Sloat</t>
  </si>
  <si>
    <t>Paranormal Activity </t>
  </si>
  <si>
    <t>Monty Python and the Holy Grail </t>
  </si>
  <si>
    <t>Emily Rios</t>
  </si>
  <si>
    <t>QuinceaÃ±era </t>
  </si>
  <si>
    <t>Sue Corcoran</t>
  </si>
  <si>
    <t>Comedy|Fantasy|Horror|Musical</t>
  </si>
  <si>
    <t>Tony Doupe</t>
  </si>
  <si>
    <t>Gory Gory Hallelujah </t>
  </si>
  <si>
    <t>Jonathan Caouette</t>
  </si>
  <si>
    <t>Biography|Documentary</t>
  </si>
  <si>
    <t>Greg Ayres</t>
  </si>
  <si>
    <t>Tarnation </t>
  </si>
  <si>
    <t>Ray Griggs</t>
  </si>
  <si>
    <t>Bill Farmer</t>
  </si>
  <si>
    <t>I Want Your Money </t>
  </si>
  <si>
    <t>Lucio Fulci</t>
  </si>
  <si>
    <t>Catriona MacColl</t>
  </si>
  <si>
    <t>The Beyond </t>
  </si>
  <si>
    <t>Treat Williams</t>
  </si>
  <si>
    <t>What Happens in Vegas </t>
  </si>
  <si>
    <t>Roger Nygard</t>
  </si>
  <si>
    <t>Walter Koenig</t>
  </si>
  <si>
    <t>Trekkies </t>
  </si>
  <si>
    <t>Harry Beaumont</t>
  </si>
  <si>
    <t>Anita Page</t>
  </si>
  <si>
    <t>The Broadway Melody </t>
  </si>
  <si>
    <t>Franck Khalfoun</t>
  </si>
  <si>
    <t>America Olivo</t>
  </si>
  <si>
    <t>Maniac </t>
  </si>
  <si>
    <t>Mor Loushy</t>
  </si>
  <si>
    <t>Amos Oz</t>
  </si>
  <si>
    <t>Censored Voices </t>
  </si>
  <si>
    <t>Henry Alex Rubin</t>
  </si>
  <si>
    <t>Mark Zupan</t>
  </si>
  <si>
    <t>Murderball </t>
  </si>
  <si>
    <t>Sam Firstenberg</t>
  </si>
  <si>
    <t>Michael Dudikoff</t>
  </si>
  <si>
    <t>American Ninja 2: The Confrontation </t>
  </si>
  <si>
    <t>Kimberly J. Brown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</si>
  <si>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</si>
  <si>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</si>
  <si>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</si>
  <si>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</si>
  <si>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</si>
  <si>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</si>
  <si>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Pieces of April </t>
  </si>
  <si>
    <t>Kelly Reichardt</t>
  </si>
  <si>
    <t>Daniel London</t>
  </si>
  <si>
    <t>Old Joy </t>
  </si>
  <si>
    <t>John Robinson</t>
  </si>
  <si>
    <t>Wendy and Lucy </t>
  </si>
  <si>
    <t>Michael Roemer</t>
  </si>
  <si>
    <t>Nothing But a Man </t>
  </si>
  <si>
    <t>Robert John Burke</t>
  </si>
  <si>
    <t>First Love, Last Rites </t>
  </si>
  <si>
    <t>Eddie O'Flaherty</t>
  </si>
  <si>
    <t>Don Wallace</t>
  </si>
  <si>
    <t>Fighting Tommy Riley </t>
  </si>
  <si>
    <t>Bruce Dellis</t>
  </si>
  <si>
    <t>Tatyana Ali</t>
  </si>
  <si>
    <t>Locker 13 </t>
  </si>
  <si>
    <t>Craig Zobel</t>
  </si>
  <si>
    <t>Dreama Walker</t>
  </si>
  <si>
    <t>Compliance </t>
  </si>
  <si>
    <t>Chasing Amy </t>
  </si>
  <si>
    <t>Aunjanue Ellis</t>
  </si>
  <si>
    <t>Lovely &amp; Amazing </t>
  </si>
  <si>
    <t>Parry Shen</t>
  </si>
  <si>
    <t>Better Luck Tomorrow </t>
  </si>
  <si>
    <t>Maria Maggenti</t>
  </si>
  <si>
    <t>Nicole Ari Parker</t>
  </si>
  <si>
    <t>The Incredibly True Adventure of Two Girls in Love </t>
  </si>
  <si>
    <t>Chuck &amp; Buck </t>
  </si>
  <si>
    <t>Piyush Dinker Pandya</t>
  </si>
  <si>
    <t>Purva Bedi</t>
  </si>
  <si>
    <t>American Desi </t>
  </si>
  <si>
    <t>David Hewlett</t>
  </si>
  <si>
    <t>Cube </t>
  </si>
  <si>
    <t>Emma-Kate Croghan</t>
  </si>
  <si>
    <t>Love and Other Catastrophes </t>
  </si>
  <si>
    <t>Bill Plympton</t>
  </si>
  <si>
    <t>Animation|Comedy|Drama|Fantasy|Sci-Fi</t>
  </si>
  <si>
    <t>Charis Michelsen</t>
  </si>
  <si>
    <t>I Married a Strange Person! </t>
  </si>
  <si>
    <t>Amir Talai</t>
  </si>
  <si>
    <t>November </t>
  </si>
  <si>
    <t>Drake Doremus</t>
  </si>
  <si>
    <t>Like Crazy </t>
  </si>
  <si>
    <t>Ally Sheedy</t>
  </si>
  <si>
    <t>Sugar Town </t>
  </si>
  <si>
    <t>Nolan Gerard Funk</t>
  </si>
  <si>
    <t>The Canyons </t>
  </si>
  <si>
    <t>Hilary Brougher</t>
  </si>
  <si>
    <t>Sci-Fi</t>
  </si>
  <si>
    <t>James Urbaniak</t>
  </si>
  <si>
    <t>The Sticky Fingers of Time </t>
  </si>
  <si>
    <t>Tom Putnam</t>
  </si>
  <si>
    <t>Brendan Doogie Milewski</t>
  </si>
  <si>
    <t>Burn </t>
  </si>
  <si>
    <t>Jon Shear</t>
  </si>
  <si>
    <t>Dan Futterman</t>
  </si>
  <si>
    <t>Urbania </t>
  </si>
  <si>
    <t>EugÃ¨ne LouriÃ©</t>
  </si>
  <si>
    <t>Adventure|Horror|Sci-Fi</t>
  </si>
  <si>
    <t>Kenneth Tobey</t>
  </si>
  <si>
    <t>The Beast from 20,000 Fathoms </t>
  </si>
  <si>
    <t>Swingers </t>
  </si>
  <si>
    <t>A Fistful of Dollars </t>
  </si>
  <si>
    <t>Maurizio Benazzo</t>
  </si>
  <si>
    <t>The Dalai Lama</t>
  </si>
  <si>
    <t>Short Cut to Nirvana: Kumbh Mela </t>
  </si>
  <si>
    <t>David G. Evans</t>
  </si>
  <si>
    <t>Michael Joiner</t>
  </si>
  <si>
    <t>The Grace Card </t>
  </si>
  <si>
    <t>Middle of Nowhere </t>
  </si>
  <si>
    <t>Sherman Alexie</t>
  </si>
  <si>
    <t>William Joseph Elk III</t>
  </si>
  <si>
    <t>The Business of Fancydancing </t>
  </si>
  <si>
    <t>Justin Dillon</t>
  </si>
  <si>
    <t>Matisyahu</t>
  </si>
  <si>
    <t>Call + Response </t>
  </si>
  <si>
    <t>Ricki Stern</t>
  </si>
  <si>
    <t>Crime|Documentary</t>
  </si>
  <si>
    <t>Darryl Hunt</t>
  </si>
  <si>
    <t>The Trials of Darryl Hunt </t>
  </si>
  <si>
    <t>Majid Majidi</t>
  </si>
  <si>
    <t>Bahare Seddiqi</t>
  </si>
  <si>
    <t>Children of Heaven </t>
  </si>
  <si>
    <t>Andrew Haigh</t>
  </si>
  <si>
    <t>Weekend </t>
  </si>
  <si>
    <t>S. Epatha Merkerson</t>
  </si>
  <si>
    <t>She's Gotta Have It </t>
  </si>
  <si>
    <t>Mike Cahill</t>
  </si>
  <si>
    <t>Robin Lord Taylor</t>
  </si>
  <si>
    <t>Another Earth </t>
  </si>
  <si>
    <t>Melvin Van Peebles</t>
  </si>
  <si>
    <t>Sweet Sweetback's Baadasssss Song </t>
  </si>
  <si>
    <t>Bebe Neuwirth</t>
  </si>
  <si>
    <t>Tadpole </t>
  </si>
  <si>
    <t>Glen Hansard</t>
  </si>
  <si>
    <t>Once </t>
  </si>
  <si>
    <t>Robinson Devor</t>
  </si>
  <si>
    <t>Marilyn Rising</t>
  </si>
  <si>
    <t>The Woman Chaser </t>
  </si>
  <si>
    <t>Michel Orion Scott</t>
  </si>
  <si>
    <t>Temple Grandin</t>
  </si>
  <si>
    <t>The Horse Boy </t>
  </si>
  <si>
    <t>Dena Seidel</t>
  </si>
  <si>
    <t>Adventure|Documentary</t>
  </si>
  <si>
    <t>Naderev Sano</t>
  </si>
  <si>
    <t>Antarctic Edge: 70° South </t>
  </si>
  <si>
    <t>Sara Newens</t>
  </si>
  <si>
    <t>Ariel Hsing</t>
  </si>
  <si>
    <t>Top Spin </t>
  </si>
  <si>
    <t>Roger &amp; Me </t>
  </si>
  <si>
    <t>Lynn Shelton</t>
  </si>
  <si>
    <t>Mark Duplass</t>
  </si>
  <si>
    <t>Your Sister's Sister </t>
  </si>
  <si>
    <t>Facing the Giants </t>
  </si>
  <si>
    <t>Travis Cluff</t>
  </si>
  <si>
    <t>Pfeifer Brown</t>
  </si>
  <si>
    <t>The Gallows </t>
  </si>
  <si>
    <t>Robert Townsend</t>
  </si>
  <si>
    <t>Hollywood Shuffle </t>
  </si>
  <si>
    <t>Larry Blamire</t>
  </si>
  <si>
    <t>Fay Masterson</t>
  </si>
  <si>
    <t>The Lost Skeleton of Cadavra </t>
  </si>
  <si>
    <t>E.L. Katz</t>
  </si>
  <si>
    <t>Comedy|Crime|Drama|Horror|Thriller</t>
  </si>
  <si>
    <t>Brighton Sharbino</t>
  </si>
  <si>
    <t>Cheap Thrills </t>
  </si>
  <si>
    <t>Pi </t>
  </si>
  <si>
    <t>Myles Berkowitz</t>
  </si>
  <si>
    <t>20 Dates </t>
  </si>
  <si>
    <t>Comedy|Documentary|Drama</t>
  </si>
  <si>
    <t>Chemeeka Walker</t>
  </si>
  <si>
    <t>Super Size Me </t>
  </si>
  <si>
    <t>Brandon Trost</t>
  </si>
  <si>
    <t>The FP </t>
  </si>
  <si>
    <t>Joe Swanberg</t>
  </si>
  <si>
    <t>Happy Christmas </t>
  </si>
  <si>
    <t>Shari Albert</t>
  </si>
  <si>
    <t>The Brothers McMullen </t>
  </si>
  <si>
    <t>Tiny Furniture </t>
  </si>
  <si>
    <t>Paul Schneider</t>
  </si>
  <si>
    <t>George Washington </t>
  </si>
  <si>
    <t>Kevin Jordan</t>
  </si>
  <si>
    <t>Derick Martini</t>
  </si>
  <si>
    <t>Smiling Fish &amp; Goat on Fire </t>
  </si>
  <si>
    <t>Mike Bruce</t>
  </si>
  <si>
    <t>Joseph Campanella</t>
  </si>
  <si>
    <t>The Legend of God's Gun </t>
  </si>
  <si>
    <t>Clerks </t>
  </si>
  <si>
    <t>James Bidgood</t>
  </si>
  <si>
    <t>Don Brooks</t>
  </si>
  <si>
    <t>Pink Narcissus </t>
  </si>
  <si>
    <t>Stacy Edwards</t>
  </si>
  <si>
    <t>In the Company of Men </t>
  </si>
  <si>
    <t>Tommy Pallotta</t>
  </si>
  <si>
    <t>Slacker </t>
  </si>
  <si>
    <t>The Puffy Chair </t>
  </si>
  <si>
    <t>Daryl Wein</t>
  </si>
  <si>
    <t>Zoe Lister-Jones</t>
  </si>
  <si>
    <t>Breaking Upwards </t>
  </si>
  <si>
    <t>Comedy|Crime|Horror</t>
  </si>
  <si>
    <t>Divine</t>
  </si>
  <si>
    <t>Pink Flamingos </t>
  </si>
  <si>
    <t>Maggie Cheung</t>
  </si>
  <si>
    <t>Clean </t>
  </si>
  <si>
    <t>Jafar Panahi</t>
  </si>
  <si>
    <t>Fereshteh Sadre Orafaiy</t>
  </si>
  <si>
    <t>The Circle </t>
  </si>
  <si>
    <t>Kiyoshi Kurosawa</t>
  </si>
  <si>
    <t>KÃ´ji Yakusho</t>
  </si>
  <si>
    <t>The Cure </t>
  </si>
  <si>
    <t>Shane Carruth</t>
  </si>
  <si>
    <t>Primer </t>
  </si>
  <si>
    <t>Neill Dela Llana</t>
  </si>
  <si>
    <t>Ian Gamazon</t>
  </si>
  <si>
    <t>Cavite </t>
  </si>
  <si>
    <t>Carlos Gallardo</t>
  </si>
  <si>
    <t>El Mariachi </t>
  </si>
  <si>
    <t>Kerry BishÃ©</t>
  </si>
  <si>
    <t>Newlyweds </t>
  </si>
  <si>
    <t>John August</t>
  </si>
  <si>
    <t>My Date with Drew </t>
  </si>
  <si>
    <t>Genre</t>
  </si>
  <si>
    <t>No of Movies</t>
  </si>
  <si>
    <t>Descriptive Analysis fo Various Genres</t>
  </si>
  <si>
    <t>Animation</t>
  </si>
  <si>
    <t>Mean_IMDb</t>
  </si>
  <si>
    <t>Mode_IMDb</t>
  </si>
  <si>
    <t>Median_IMDb</t>
  </si>
  <si>
    <t>Max_IMDb</t>
  </si>
  <si>
    <t>Min_IMDb</t>
  </si>
  <si>
    <t>StdDev_IMDb</t>
  </si>
  <si>
    <t>Var_IMDb</t>
  </si>
  <si>
    <t>Crime</t>
  </si>
  <si>
    <t>Family</t>
  </si>
  <si>
    <t>Fantasy</t>
  </si>
  <si>
    <t>History</t>
  </si>
  <si>
    <t>Musical</t>
  </si>
  <si>
    <t>Mystery</t>
  </si>
  <si>
    <t>Sport</t>
  </si>
  <si>
    <t>War</t>
  </si>
  <si>
    <t>Movie Duration</t>
  </si>
  <si>
    <t>IMDb_Ratings</t>
  </si>
  <si>
    <t>Average</t>
  </si>
  <si>
    <t>Median</t>
  </si>
  <si>
    <t>Standard Deviation</t>
  </si>
  <si>
    <t>Languages</t>
  </si>
  <si>
    <t>Language</t>
  </si>
  <si>
    <t>No.of Movies</t>
  </si>
  <si>
    <t>Average IMDb Ratings</t>
  </si>
  <si>
    <t>Median IMDb Ratings</t>
  </si>
  <si>
    <t>Director Name</t>
  </si>
  <si>
    <t>Mean IMDb Ratings</t>
  </si>
  <si>
    <t>Top 10 Directors Name</t>
  </si>
  <si>
    <t>Percentile</t>
  </si>
  <si>
    <t>Percentile Rank</t>
  </si>
  <si>
    <t>Movie Title</t>
  </si>
  <si>
    <t>Budget in Millions</t>
  </si>
  <si>
    <t>Gross in Millions</t>
  </si>
  <si>
    <t>Profits in Millions</t>
  </si>
  <si>
    <t>Q1</t>
  </si>
  <si>
    <t>Correlation Coefficient</t>
  </si>
  <si>
    <t>Q2</t>
  </si>
  <si>
    <t>Maximum Gross Profitable Movie</t>
  </si>
  <si>
    <t>Million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</si>
</sst>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-409]#,##0.00"/>
    <numFmt numFmtId="165" formatCode="0.0"/>
    <numFmt numFmtId="166" formatCode="[$USD]\ #,##0.00;[$USD]\ \-#,##0.00"/>
    <numFmt numFmtId="167" formatCode="[$USD]\ #,##0.00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8.0"/>
      <color theme="1"/>
      <name val="Courier New"/>
    </font>
    <font>
      <b/>
      <sz val="11.0"/>
      <color theme="1"/>
      <name val="Calibri"/>
    </font>
    <font>
      <b/>
      <u/>
      <sz val="16.0"/>
      <color theme="1"/>
      <name val="Aptos narrow"/>
    </font>
    <font>
      <b/>
      <u/>
      <sz val="16.0"/>
      <color theme="1"/>
      <name val="Aptos narrow"/>
    </font>
    <font>
      <sz val="11.0"/>
      <color theme="1"/>
      <name val="Aptos narrow"/>
    </font>
    <font>
      <sz val="11.0"/>
      <color theme="1"/>
      <name val="Quattrocento Sans"/>
    </font>
    <font>
      <sz val="11.0"/>
      <color rgb="FF0D0D0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2" xfId="0" applyFont="1" applyNumberFormat="1"/>
    <xf borderId="0" fillId="0" fontId="1" numFmtId="0" xfId="0" applyFont="1"/>
    <xf borderId="0" fillId="0" fontId="4" numFmtId="0" xfId="0" applyFont="1"/>
    <xf borderId="0" fillId="0" fontId="5" numFmtId="2" xfId="0" applyFont="1" applyNumberFormat="1"/>
    <xf borderId="0" fillId="0" fontId="6" numFmtId="2" xfId="0" applyAlignment="1" applyFont="1" applyNumberFormat="1">
      <alignment horizontal="center"/>
    </xf>
    <xf borderId="0" fillId="0" fontId="7" numFmtId="2" xfId="0" applyAlignment="1" applyFont="1" applyNumberFormat="1">
      <alignment horizontal="center"/>
    </xf>
    <xf borderId="1" fillId="0" fontId="2" numFmtId="0" xfId="0" applyBorder="1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8" numFmtId="2" xfId="0" applyFont="1" applyNumberFormat="1"/>
    <xf borderId="2" fillId="0" fontId="2" numFmtId="2" xfId="0" applyAlignment="1" applyBorder="1" applyFont="1" applyNumberFormat="1">
      <alignment horizontal="center"/>
    </xf>
    <xf borderId="2" fillId="0" fontId="7" numFmtId="2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2" fontId="4" numFmtId="2" xfId="0" applyAlignment="1" applyBorder="1" applyFill="1" applyFont="1" applyNumberFormat="1">
      <alignment horizontal="center"/>
    </xf>
    <xf borderId="2" fillId="2" fontId="4" numFmtId="0" xfId="0" applyAlignment="1" applyBorder="1" applyFont="1">
      <alignment horizontal="center"/>
    </xf>
    <xf borderId="0" fillId="0" fontId="7" numFmtId="2" xfId="0" applyAlignment="1" applyFont="1" applyNumberFormat="1">
      <alignment horizontal="center" vertical="center"/>
    </xf>
    <xf borderId="3" fillId="0" fontId="2" numFmtId="0" xfId="0" applyBorder="1" applyFont="1"/>
    <xf borderId="0" fillId="0" fontId="2" numFmtId="1" xfId="0" applyFont="1" applyNumberFormat="1"/>
    <xf borderId="4" fillId="3" fontId="4" numFmtId="0" xfId="0" applyAlignment="1" applyBorder="1" applyFill="1" applyFont="1">
      <alignment horizontal="center"/>
    </xf>
    <xf borderId="4" fillId="3" fontId="4" numFmtId="1" xfId="0" applyAlignment="1" applyBorder="1" applyFont="1" applyNumberFormat="1">
      <alignment horizontal="center"/>
    </xf>
    <xf borderId="4" fillId="3" fontId="4" numFmtId="2" xfId="0" applyAlignment="1" applyBorder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2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4" fillId="2" fontId="2" numFmtId="0" xfId="0" applyAlignment="1" applyBorder="1" applyFont="1">
      <alignment horizontal="center"/>
    </xf>
    <xf borderId="4" fillId="2" fontId="2" numFmtId="0" xfId="0" applyBorder="1" applyFont="1"/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4" fillId="2" fontId="4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9" numFmtId="0" xfId="0" applyFont="1"/>
    <xf borderId="0" fillId="0" fontId="4" numFmtId="166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4" fillId="2" fontId="4" numFmtId="164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/>
    </xf>
    <xf borderId="4" fillId="2" fontId="4" numFmtId="166" xfId="0" applyAlignment="1" applyBorder="1" applyFont="1" applyNumberFormat="1">
      <alignment horizontal="center"/>
    </xf>
    <xf borderId="4" fillId="2" fontId="4" numFmtId="167" xfId="0" applyAlignment="1" applyBorder="1" applyFont="1" applyNumberFormat="1">
      <alignment horizontal="center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">
    <tableStyle count="3" pivot="0" name="IMDB_Movies-style">
      <tableStyleElement dxfId="1" type="headerRow"/>
      <tableStyleElement dxfId="2" type="firstRowStripe"/>
      <tableStyleElement dxfId="3" type="secondRowStripe"/>
    </tableStyle>
    <tableStyle count="3" pivot="0" name=" Task 1 -Movie Genre Analysis-style">
      <tableStyleElement dxfId="4" type="headerRow"/>
      <tableStyleElement dxfId="5" type="firstRowStripe"/>
      <tableStyleElement dxfId="6" type="secondRowStripe"/>
    </tableStyle>
    <tableStyle count="3" pivot="0" name="Task 2 -  Movie Duration Analys-style">
      <tableStyleElement dxfId="7" type="headerRow"/>
      <tableStyleElement dxfId="2" type="firstRowStripe"/>
      <tableStyleElement dxfId="3" type="secondRowStripe"/>
    </tableStyle>
    <tableStyle count="3" pivot="0" name="Task 4 - Director Analysis-style">
      <tableStyleElement dxfId="8" type="headerRow"/>
      <tableStyleElement dxfId="9" type="firstRowStripe"/>
      <tableStyleElement dxfId="3" type="secondRowStripe"/>
    </tableStyle>
    <tableStyle count="3" pivot="0" name="Task 5 -Budget Analysis-style">
      <tableStyleElement dxfId="10" type="headerRow"/>
      <tableStyleElement dxfId="1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chemeClr val="accent1"/>
                </a:solidFill>
                <a:latin typeface="+mn-lt"/>
              </a:defRPr>
            </a:pPr>
            <a:r>
              <a:rPr b="0" i="0" sz="1400">
                <a:solidFill>
                  <a:schemeClr val="accent1"/>
                </a:solidFill>
                <a:latin typeface="+mn-lt"/>
              </a:rPr>
              <a:t>Popular Genres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Action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Analysis'!$B$2</c:f>
              <c:numCache/>
            </c:numRef>
          </c:val>
        </c:ser>
        <c:ser>
          <c:idx val="1"/>
          <c:order val="1"/>
          <c:tx>
            <c:v>Adventure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Analysis'!$B$3</c:f>
              <c:numCache/>
            </c:numRef>
          </c:val>
        </c:ser>
        <c:ser>
          <c:idx val="2"/>
          <c:order val="2"/>
          <c:tx>
            <c:v>Animation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Analysis'!$B$4</c:f>
              <c:numCache/>
            </c:numRef>
          </c:val>
        </c:ser>
        <c:ser>
          <c:idx val="3"/>
          <c:order val="3"/>
          <c:tx>
            <c:v>Comedy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Analysis'!$B$5</c:f>
              <c:numCache/>
            </c:numRef>
          </c:val>
        </c:ser>
        <c:ser>
          <c:idx val="4"/>
          <c:order val="4"/>
          <c:tx>
            <c:v>Crime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Analysis'!$B$6</c:f>
              <c:numCache/>
            </c:numRef>
          </c:val>
        </c:ser>
        <c:ser>
          <c:idx val="5"/>
          <c:order val="5"/>
          <c:tx>
            <c:v>Documentary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Analysis'!$B$7</c:f>
              <c:numCache/>
            </c:numRef>
          </c:val>
        </c:ser>
        <c:ser>
          <c:idx val="6"/>
          <c:order val="6"/>
          <c:tx>
            <c:v>Drama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Analysis'!$B$8</c:f>
              <c:numCache/>
            </c:numRef>
          </c:val>
        </c:ser>
        <c:ser>
          <c:idx val="7"/>
          <c:order val="7"/>
          <c:tx>
            <c:v>Family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Analysis'!$B$9</c:f>
              <c:numCache/>
            </c:numRef>
          </c:val>
        </c:ser>
        <c:ser>
          <c:idx val="8"/>
          <c:order val="8"/>
          <c:tx>
            <c:v>Fantasy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Analysis'!$B$10</c:f>
              <c:numCache/>
            </c:numRef>
          </c:val>
        </c:ser>
        <c:ser>
          <c:idx val="9"/>
          <c:order val="9"/>
          <c:tx>
            <c:v>History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Analysis'!$B$11</c:f>
              <c:numCache/>
            </c:numRef>
          </c:val>
        </c:ser>
        <c:ser>
          <c:idx val="10"/>
          <c:order val="10"/>
          <c:tx>
            <c:v>Musical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Analysis'!$B$12</c:f>
              <c:numCache/>
            </c:numRef>
          </c:val>
        </c:ser>
        <c:ser>
          <c:idx val="11"/>
          <c:order val="11"/>
          <c:tx>
            <c:v>Mystery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Analysis'!$B$13</c:f>
              <c:numCache/>
            </c:numRef>
          </c:val>
        </c:ser>
        <c:ser>
          <c:idx val="12"/>
          <c:order val="12"/>
          <c:tx>
            <c:v>Romance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Analysis'!$B$14</c:f>
              <c:numCache/>
            </c:numRef>
          </c:val>
        </c:ser>
        <c:ser>
          <c:idx val="13"/>
          <c:order val="13"/>
          <c:tx>
            <c:v>Sci-Fi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Analysis'!$B$15</c:f>
              <c:numCache/>
            </c:numRef>
          </c:val>
        </c:ser>
        <c:ser>
          <c:idx val="14"/>
          <c:order val="14"/>
          <c:tx>
            <c:v>Sport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Analysis'!$B$16</c:f>
              <c:numCache/>
            </c:numRef>
          </c:val>
        </c:ser>
        <c:ser>
          <c:idx val="15"/>
          <c:order val="15"/>
          <c:tx>
            <c:v>Thriller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Analysis'!$B$17</c:f>
              <c:numCache/>
            </c:numRef>
          </c:val>
        </c:ser>
        <c:ser>
          <c:idx val="16"/>
          <c:order val="16"/>
          <c:tx>
            <c:v>War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Analysis'!$B$18</c:f>
              <c:numCache/>
            </c:numRef>
          </c:val>
        </c:ser>
        <c:ser>
          <c:idx val="17"/>
          <c:order val="17"/>
          <c:tx>
            <c:v>Western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 Task 1 -Movie Genre Analysis'!$B$1</c:f>
            </c:strRef>
          </c:cat>
          <c:val>
            <c:numRef>
              <c:f>' Task 1 -Movie Genre Analysis'!$B$19</c:f>
              <c:numCache/>
            </c:numRef>
          </c:val>
        </c:ser>
        <c:axId val="1259091568"/>
        <c:axId val="1377210277"/>
      </c:barChart>
      <c:catAx>
        <c:axId val="125909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7210277"/>
      </c:catAx>
      <c:valAx>
        <c:axId val="1377210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909156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Movie Duration Analysis</a:t>
            </a:r>
          </a:p>
        </c:rich>
      </c:tx>
      <c:overlay val="0"/>
    </c:title>
    <c:plotArea>
      <c:layout>
        <c:manualLayout>
          <c:xMode val="edge"/>
          <c:yMode val="edge"/>
          <c:x val="0.06958718841591707"/>
          <c:y val="0.09922029218709469"/>
          <c:w val="0.9051947078043816"/>
          <c:h val="0.7815642474038571"/>
        </c:manualLayout>
      </c:layout>
      <c:scatterChart>
        <c:scatterStyle val="lineMarker"/>
        <c:varyColors val="0"/>
        <c:ser>
          <c:idx val="0"/>
          <c:order val="0"/>
          <c:tx>
            <c:v>IMDb_Ratings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(IMDb_Ratings)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'Task 2 -  Movie Duration Analys'!$A$2:$A$3848</c:f>
            </c:numRef>
          </c:xVal>
          <c:yVal>
            <c:numRef>
              <c:f>'Task 2 -  Movie Duration Analys'!$B$2:$B$3848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567467"/>
        <c:axId val="1577228744"/>
      </c:scatterChart>
      <c:valAx>
        <c:axId val="17515674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Movie Duration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7228744"/>
      </c:valAx>
      <c:valAx>
        <c:axId val="1577228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IMDb_Ratings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1567467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Language Analysis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v>English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</c:f>
              <c:numCache/>
            </c:numRef>
          </c:val>
        </c:ser>
        <c:ser>
          <c:idx val="1"/>
          <c:order val="1"/>
          <c:tx>
            <c:v>French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</c:f>
              <c:numCache/>
            </c:numRef>
          </c:val>
        </c:ser>
        <c:ser>
          <c:idx val="2"/>
          <c:order val="2"/>
          <c:tx>
            <c:v>Spanish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Analysis'!$G$4</c:f>
              <c:numCache/>
            </c:numRef>
          </c:val>
        </c:ser>
        <c:ser>
          <c:idx val="3"/>
          <c:order val="3"/>
          <c:tx>
            <c:v>Mandarin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Analysis'!$G$5</c:f>
              <c:numCache/>
            </c:numRef>
          </c:val>
        </c:ser>
        <c:ser>
          <c:idx val="4"/>
          <c:order val="4"/>
          <c:tx>
            <c:v>German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Analysis'!$G$6</c:f>
              <c:numCache/>
            </c:numRef>
          </c:val>
        </c:ser>
        <c:ser>
          <c:idx val="5"/>
          <c:order val="5"/>
          <c:tx>
            <c:v>Japanese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Analysis'!$G$7</c:f>
              <c:numCache/>
            </c:numRef>
          </c:val>
        </c:ser>
        <c:ser>
          <c:idx val="6"/>
          <c:order val="6"/>
          <c:tx>
            <c:v>Hindi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Analysis'!$G$8</c:f>
              <c:numCache/>
            </c:numRef>
          </c:val>
        </c:ser>
        <c:ser>
          <c:idx val="7"/>
          <c:order val="7"/>
          <c:tx>
            <c:v>Cantonese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Analysis'!$G$9</c:f>
              <c:numCache/>
            </c:numRef>
          </c:val>
        </c:ser>
        <c:ser>
          <c:idx val="8"/>
          <c:order val="8"/>
          <c:tx>
            <c:v>Italian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Analysis'!$G$10</c:f>
              <c:numCache/>
            </c:numRef>
          </c:val>
        </c:ser>
        <c:ser>
          <c:idx val="9"/>
          <c:order val="9"/>
          <c:tx>
            <c:v>Korean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Analysis'!$G$11</c:f>
              <c:numCache/>
            </c:numRef>
          </c:val>
        </c:ser>
        <c:ser>
          <c:idx val="10"/>
          <c:order val="10"/>
          <c:tx>
            <c:v>Portuguese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Analysis'!$G$12</c:f>
              <c:numCache/>
            </c:numRef>
          </c:val>
        </c:ser>
        <c:ser>
          <c:idx val="11"/>
          <c:order val="11"/>
          <c:tx>
            <c:v>Norwegian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Analysis'!$G$13</c:f>
              <c:numCache/>
            </c:numRef>
          </c:val>
        </c:ser>
        <c:ser>
          <c:idx val="12"/>
          <c:order val="12"/>
          <c:tx>
            <c:v>Danish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Analysis'!$G$14</c:f>
              <c:numCache/>
            </c:numRef>
          </c:val>
        </c:ser>
        <c:ser>
          <c:idx val="13"/>
          <c:order val="13"/>
          <c:tx>
            <c:v>Dutch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Analysis'!$G$15</c:f>
              <c:numCache/>
            </c:numRef>
          </c:val>
        </c:ser>
        <c:ser>
          <c:idx val="14"/>
          <c:order val="14"/>
          <c:tx>
            <c:v>Hebrew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Analysis'!$G$16</c:f>
              <c:numCache/>
            </c:numRef>
          </c:val>
        </c:ser>
        <c:ser>
          <c:idx val="15"/>
          <c:order val="15"/>
          <c:tx>
            <c:v>Persian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Analysis'!$G$17</c:f>
              <c:numCache/>
            </c:numRef>
          </c:val>
        </c:ser>
        <c:ser>
          <c:idx val="16"/>
          <c:order val="16"/>
          <c:tx>
            <c:v>Thai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Analysis'!$G$18</c:f>
              <c:numCache/>
            </c:numRef>
          </c:val>
        </c:ser>
        <c:ser>
          <c:idx val="17"/>
          <c:order val="17"/>
          <c:tx>
            <c:v>Aboriginal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Analysis'!$G$19</c:f>
              <c:numCache/>
            </c:numRef>
          </c:val>
        </c:ser>
        <c:ser>
          <c:idx val="18"/>
          <c:order val="18"/>
          <c:tx>
            <c:v>Dari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Analysis'!$G$20</c:f>
              <c:numCache/>
            </c:numRef>
          </c:val>
        </c:ser>
        <c:ser>
          <c:idx val="19"/>
          <c:order val="19"/>
          <c:tx>
            <c:v>Indonesian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Analysis'!$G$21</c:f>
              <c:numCache/>
            </c:numRef>
          </c:val>
        </c:ser>
        <c:ser>
          <c:idx val="20"/>
          <c:order val="20"/>
          <c:tx>
            <c:v>Arabic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Analysis'!$G$22</c:f>
              <c:numCache/>
            </c:numRef>
          </c:val>
        </c:ser>
        <c:ser>
          <c:idx val="21"/>
          <c:order val="21"/>
          <c:tx>
            <c:v>Aramaic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Analysis'!$G$23</c:f>
              <c:numCache/>
            </c:numRef>
          </c:val>
        </c:ser>
        <c:ser>
          <c:idx val="22"/>
          <c:order val="22"/>
          <c:tx>
            <c:v>Bosnian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Analysis'!$G$24</c:f>
              <c:numCache/>
            </c:numRef>
          </c:val>
        </c:ser>
        <c:ser>
          <c:idx val="23"/>
          <c:order val="23"/>
          <c:tx>
            <c:v>Czech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Analysis'!$G$25</c:f>
              <c:numCache/>
            </c:numRef>
          </c:val>
        </c:ser>
        <c:ser>
          <c:idx val="24"/>
          <c:order val="24"/>
          <c:tx>
            <c:v>Dzongkha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Analysis'!$G$26</c:f>
              <c:numCache/>
            </c:numRef>
          </c:val>
        </c:ser>
        <c:ser>
          <c:idx val="25"/>
          <c:order val="25"/>
          <c:tx>
            <c:v>Filipino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Analysis'!$G$27</c:f>
              <c:numCache/>
            </c:numRef>
          </c:val>
        </c:ser>
        <c:ser>
          <c:idx val="26"/>
          <c:order val="26"/>
          <c:tx>
            <c:v>Hungarian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Analysis'!$G$28</c:f>
              <c:numCache/>
            </c:numRef>
          </c:val>
        </c:ser>
        <c:ser>
          <c:idx val="27"/>
          <c:order val="27"/>
          <c:tx>
            <c:v>Icelandic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Analysis'!$G$29</c:f>
              <c:numCache/>
            </c:numRef>
          </c:val>
        </c:ser>
        <c:ser>
          <c:idx val="28"/>
          <c:order val="28"/>
          <c:tx>
            <c:v>Kazakh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Analysis'!$G$30</c:f>
              <c:numCache/>
            </c:numRef>
          </c:val>
        </c:ser>
        <c:ser>
          <c:idx val="29"/>
          <c:order val="29"/>
          <c:tx>
            <c:v>Maya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Analysis'!$G$31</c:f>
              <c:numCache/>
            </c:numRef>
          </c:val>
        </c:ser>
        <c:ser>
          <c:idx val="30"/>
          <c:order val="30"/>
          <c:tx>
            <c:v>Mongolian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Analysis'!$G$32</c:f>
              <c:numCache/>
            </c:numRef>
          </c:val>
        </c:ser>
        <c:ser>
          <c:idx val="31"/>
          <c:order val="31"/>
          <c:tx>
            <c:v>Romanian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Analysis'!$G$33</c:f>
              <c:numCache/>
            </c:numRef>
          </c:val>
        </c:ser>
        <c:ser>
          <c:idx val="32"/>
          <c:order val="32"/>
          <c:tx>
            <c:v>Russian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Analysis'!$G$34</c:f>
              <c:numCache/>
            </c:numRef>
          </c:val>
        </c:ser>
        <c:ser>
          <c:idx val="33"/>
          <c:order val="33"/>
          <c:tx>
            <c:v>Swedish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Analysis'!$G$35</c:f>
              <c:numCache/>
            </c:numRef>
          </c:val>
        </c:ser>
        <c:ser>
          <c:idx val="34"/>
          <c:order val="34"/>
          <c:tx>
            <c:v>Telugu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Analysis'!$G$36</c:f>
              <c:numCache/>
            </c:numRef>
          </c:val>
        </c:ser>
        <c:ser>
          <c:idx val="35"/>
          <c:order val="35"/>
          <c:tx>
            <c:v>Vietnamese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Analysis'!$G$37</c:f>
              <c:numCache/>
            </c:numRef>
          </c:val>
        </c:ser>
        <c:ser>
          <c:idx val="36"/>
          <c:order val="36"/>
          <c:tx>
            <c:v>Zulu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3- Language Analysis'!$G$1</c:f>
            </c:strRef>
          </c:cat>
          <c:val>
            <c:numRef>
              <c:f>'Task 3- Language Analysis'!$G$38</c:f>
              <c:numCache/>
            </c:numRef>
          </c:val>
        </c:ser>
        <c:overlap val="100"/>
        <c:axId val="559414552"/>
        <c:axId val="372466759"/>
      </c:barChart>
      <c:catAx>
        <c:axId val="55941455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2466759"/>
      </c:catAx>
      <c:valAx>
        <c:axId val="3724667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9414552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Descriptive language analysis</a:t>
            </a:r>
          </a:p>
        </c:rich>
      </c:tx>
      <c:layout>
        <c:manualLayout>
          <c:xMode val="edge"/>
          <c:yMode val="edge"/>
          <c:x val="0.1948748906386702"/>
          <c:y val="0.037037037037037035"/>
        </c:manualLayout>
      </c:layout>
      <c:overlay val="0"/>
    </c:title>
    <c:plotArea>
      <c:layout/>
      <c:lineChart>
        <c:ser>
          <c:idx val="0"/>
          <c:order val="0"/>
          <c:tx>
            <c:v>No.of Movies</c:v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'Task 3- Language Analysis'!$F$2:$F$38</c:f>
            </c:strRef>
          </c:cat>
          <c:val>
            <c:numRef>
              <c:f>'Task 3- Language Analysis'!$G$2:$G$38</c:f>
              <c:numCache/>
            </c:numRef>
          </c:val>
          <c:smooth val="0"/>
        </c:ser>
        <c:ser>
          <c:idx val="1"/>
          <c:order val="1"/>
          <c:tx>
            <c:v>Average IMDb Ratings</c:v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'Task 3- Language Analysis'!$F$2:$F$38</c:f>
            </c:strRef>
          </c:cat>
          <c:val>
            <c:numRef>
              <c:f>'Task 3- Language Analysis'!$H$2:$H$38</c:f>
              <c:numCache/>
            </c:numRef>
          </c:val>
          <c:smooth val="0"/>
        </c:ser>
        <c:ser>
          <c:idx val="2"/>
          <c:order val="2"/>
          <c:tx>
            <c:v>Median IMDb Ratings</c:v>
          </c:tx>
          <c:spPr>
            <a:ln cmpd="sng" w="3810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'Task 3- Language Analysis'!$F$2:$F$38</c:f>
            </c:strRef>
          </c:cat>
          <c:val>
            <c:numRef>
              <c:f>'Task 3- Language Analysis'!$I$2:$I$38</c:f>
              <c:numCache/>
            </c:numRef>
          </c:val>
          <c:smooth val="0"/>
        </c:ser>
        <c:ser>
          <c:idx val="3"/>
          <c:order val="3"/>
          <c:tx>
            <c:v>Standard Deviation</c:v>
          </c:tx>
          <c:spPr>
            <a:ln cmpd="sng" w="38100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'Task 3- Language Analysis'!$F$2:$F$38</c:f>
            </c:strRef>
          </c:cat>
          <c:val>
            <c:numRef>
              <c:f>'Task 3- Language Analysis'!$J$2:$J$38</c:f>
              <c:numCache/>
            </c:numRef>
          </c:val>
          <c:smooth val="0"/>
        </c:ser>
        <c:axId val="174803565"/>
        <c:axId val="1961018352"/>
      </c:lineChart>
      <c:catAx>
        <c:axId val="174803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1018352"/>
      </c:catAx>
      <c:valAx>
        <c:axId val="1961018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4803565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Top 10 Best Directors - IMDb Ratings</a:t>
            </a:r>
          </a:p>
        </c:rich>
      </c:tx>
      <c:layout>
        <c:manualLayout>
          <c:xMode val="edge"/>
          <c:yMode val="edge"/>
          <c:x val="0.3291248906386702"/>
          <c:y val="0.027777777777777776"/>
        </c:manualLayout>
      </c:layout>
      <c:overlay val="0"/>
    </c:title>
    <c:plotArea>
      <c:layout/>
      <c:barChart>
        <c:barDir val="bar"/>
        <c:grouping val="stacked"/>
        <c:ser>
          <c:idx val="0"/>
          <c:order val="0"/>
          <c:tx>
            <c:v>Average IMDb Ratings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4 - Director Analysis'!$G$2:$G$12</c:f>
            </c:strRef>
          </c:cat>
          <c:val>
            <c:numRef>
              <c:f>'Task 4 - Director Analysis'!$H$2:$H$12</c:f>
              <c:numCache/>
            </c:numRef>
          </c:val>
        </c:ser>
        <c:ser>
          <c:idx val="1"/>
          <c:order val="1"/>
          <c:tx>
            <c:strRef>
              <c:f>'Task 4 - Director Analysis'!$I$1</c:f>
            </c:strRef>
          </c:tx>
          <c:cat>
            <c:strRef>
              <c:f>'Task 4 - Director Analysis'!$G$2:$G$12</c:f>
            </c:strRef>
          </c:cat>
          <c:val>
            <c:numRef>
              <c:f>'Task 4 - Director Analysis'!$I$2:$I$12</c:f>
              <c:numCache/>
            </c:numRef>
          </c:val>
        </c:ser>
        <c:overlap val="100"/>
        <c:axId val="1420535124"/>
        <c:axId val="1730149335"/>
      </c:barChart>
      <c:catAx>
        <c:axId val="14205351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+mn-lt"/>
              </a:defRPr>
            </a:pPr>
          </a:p>
        </c:txPr>
        <c:crossAx val="1730149335"/>
      </c:catAx>
      <c:valAx>
        <c:axId val="1730149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535124"/>
        <c:crosses val="max"/>
      </c:valAx>
    </c:plotArea>
    <c:plotVisOnly val="1"/>
  </c:chart>
  <c:spPr>
    <a:solidFill>
      <a:schemeClr val="lt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Top 10 Highest Profitable Movies IMDb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Budget in Millions</c:v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'Task 5 -Budget Analysis'!$G$2:$G$11</c:f>
            </c:strRef>
          </c:cat>
          <c:val>
            <c:numRef>
              <c:f>'Task 5 -Budget Analysis'!$H$2:$H$11</c:f>
              <c:numCache/>
            </c:numRef>
          </c:val>
        </c:ser>
        <c:ser>
          <c:idx val="1"/>
          <c:order val="1"/>
          <c:tx>
            <c:v>Gross in Millions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5 -Budget Analysis'!$G$2:$G$11</c:f>
            </c:strRef>
          </c:cat>
          <c:val>
            <c:numRef>
              <c:f>'Task 5 -Budget Analysis'!$I$2:$I$11</c:f>
              <c:numCache/>
            </c:numRef>
          </c:val>
        </c:ser>
        <c:ser>
          <c:idx val="2"/>
          <c:order val="2"/>
          <c:tx>
            <c:v>Profits in Millions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cat>
            <c:strRef>
              <c:f>'Task 5 -Budget Analysis'!$G$2:$G$11</c:f>
            </c:strRef>
          </c:cat>
          <c:val>
            <c:numRef>
              <c:f>'Task 5 -Budget Analysis'!$J$2:$J$11</c:f>
              <c:numCache/>
            </c:numRef>
          </c:val>
        </c:ser>
        <c:axId val="563683411"/>
        <c:axId val="1204451290"/>
      </c:barChart>
      <c:catAx>
        <c:axId val="563683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4451290"/>
      </c:catAx>
      <c:valAx>
        <c:axId val="1204451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6368341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'Task 4 - Director Analysis'!$I$2:$I$12</cx:f>
      </cx:num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Top 10 Best Directors</a:t>
          </a:r>
        </a:p>
      </cx:txPr>
    </cx:title>
    <cx:plotArea>
      <cx:plotAreaRegion>
        <cx:series layoutId="waterfall" uniqueId="{25E4C25D-6BBC-4FE1-A5DA-159DDF8E07FA}">
          <cx:dataLabels>
            <cx:visibility seriesName="0" categoryName="0" value="1"/>
          </cx:dataLabels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/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/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t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  <cx:spPr>
    <a:solidFill>
      <a:schemeClr val="lt1"/>
    </a:solidFill>
  </cx:spPr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chemeClr val="lt1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microsoft.com/office/2014/relationships/chartEx" Target="../charts/chartEx1.xml"/><Relationship Id="rId2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</xdr:row>
      <xdr:rowOff>152400</xdr:rowOff>
    </xdr:from>
    <xdr:ext cx="6734175" cy="33242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0</xdr:row>
      <xdr:rowOff>19050</xdr:rowOff>
    </xdr:from>
    <xdr:ext cx="6086475" cy="45053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</xdr:colOff>
      <xdr:row>0</xdr:row>
      <xdr:rowOff>47625</xdr:rowOff>
    </xdr:from>
    <xdr:ext cx="5715000" cy="34290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19</xdr:row>
      <xdr:rowOff>38100</xdr:rowOff>
    </xdr:from>
    <xdr:ext cx="5724525" cy="34385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12</xdr:row>
      <xdr:rowOff>19050</xdr:rowOff>
    </xdr:from>
    <xdr:ext cx="6372225" cy="2714625"/>
    <mc:AlternateContent>
      <mc:Choice Requires="cx1">
        <xdr:graphicFrame>
          <xdr:nvGraphicFramePr>
            <xdr:cNvPr id="5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6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11</xdr:col>
      <xdr:colOff>0</xdr:colOff>
      <xdr:row>0</xdr:row>
      <xdr:rowOff>9525</xdr:rowOff>
    </xdr:from>
    <xdr:ext cx="5219700" cy="359092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1943100</xdr:colOff>
      <xdr:row>11</xdr:row>
      <xdr:rowOff>19050</xdr:rowOff>
    </xdr:from>
    <xdr:ext cx="5924550" cy="271462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L3848" displayName="Table_1" name="Table_1" id="1">
  <tableColumns count="12">
    <tableColumn name="director_name" id="1"/>
    <tableColumn name="duration" id="2"/>
    <tableColumn name="gross" id="3"/>
    <tableColumn name="genres" id="4"/>
    <tableColumn name="actor_1_name" id="5"/>
    <tableColumn name="movie_title" id="6"/>
    <tableColumn name="num_voted_users" id="7"/>
    <tableColumn name="num_user_for_reviews" id="8"/>
    <tableColumn name="language" id="9"/>
    <tableColumn name="budget" id="10"/>
    <tableColumn name="title_year" id="11"/>
    <tableColumn name="imdb_score" id="12"/>
  </tableColumns>
  <tableStyleInfo name="IMDB_Movies-style" showColumnStripes="0" showFirstColumn="1" showLastColumn="1" showRowStripes="1"/>
</table>
</file>

<file path=xl/tables/table2.xml><?xml version="1.0" encoding="utf-8"?>
<table xmlns="http://schemas.openxmlformats.org/spreadsheetml/2006/main" ref="A1:B19" displayName="Table_2" name="Table_2" id="2">
  <tableColumns count="2">
    <tableColumn name="Genre" id="1"/>
    <tableColumn name="No of Movies" id="2"/>
  </tableColumns>
  <tableStyleInfo name=" Task 1 -Movie Genre Analysis-style" showColumnStripes="0" showFirstColumn="1" showLastColumn="1" showRowStripes="1"/>
</table>
</file>

<file path=xl/tables/table3.xml><?xml version="1.0" encoding="utf-8"?>
<table xmlns="http://schemas.openxmlformats.org/spreadsheetml/2006/main" ref="A1:B3848" displayName="Table_3" name="Table_3" id="3">
  <tableColumns count="2">
    <tableColumn name="Movie Duration" id="1"/>
    <tableColumn name="IMDb_Ratings" id="2"/>
  </tableColumns>
  <tableStyleInfo name="Task 2 -  Movie Duration Analys-style" showColumnStripes="0" showFirstColumn="1" showLastColumn="1" showRowStripes="1"/>
</table>
</file>

<file path=xl/tables/table4.xml><?xml version="1.0" encoding="utf-8"?>
<table xmlns="http://schemas.openxmlformats.org/spreadsheetml/2006/main" ref="G1:K12" displayName="Table_4" name="Table_4" id="4">
  <tableColumns count="5">
    <tableColumn name="No of Movies" id="1"/>
    <tableColumn name="Top 10 Directors Name" id="2"/>
    <tableColumn name="Average IMDb Ratings" id="3"/>
    <tableColumn name="Percentile" id="4"/>
    <tableColumn name="Percentile Rank" id="5"/>
  </tableColumns>
  <tableStyleInfo name="Task 4 - Director Analysis-style" showColumnStripes="0" showFirstColumn="1" showLastColumn="1" showRowStripes="1"/>
</table>
</file>

<file path=xl/tables/table5.xml><?xml version="1.0" encoding="utf-8"?>
<table xmlns="http://schemas.openxmlformats.org/spreadsheetml/2006/main" ref="G1:J11" displayName="Table_5" name="Table_5" id="5">
  <tableColumns count="4">
    <tableColumn name="Movie Title" id="1"/>
    <tableColumn name="Budget in Millions" id="2"/>
    <tableColumn name="Gross in Millions" id="3"/>
    <tableColumn name="Profits in Millions" id="4"/>
  </tableColumns>
  <tableStyleInfo name="Task 5 -Budget Analysi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0.57"/>
    <col customWidth="1" min="3" max="3" width="10.71"/>
    <col customWidth="1" min="4" max="4" width="65.29"/>
    <col customWidth="1" min="5" max="5" width="25.57"/>
    <col customWidth="1" min="6" max="6" width="74.29"/>
    <col customWidth="1" min="7" max="7" width="18.71"/>
    <col customWidth="1" min="8" max="8" width="23.29"/>
    <col customWidth="1" min="9" max="9" width="10.86"/>
    <col customWidth="1" min="10" max="10" width="13.0"/>
    <col customWidth="1" min="11" max="11" width="11.71"/>
    <col customWidth="1" min="12" max="12" width="13.29"/>
    <col customWidth="1" min="13" max="13" width="23.57"/>
    <col customWidth="1" min="14" max="14" width="24.29"/>
    <col customWidth="1" min="15" max="15" width="12.0"/>
    <col customWidth="1" min="16" max="16" width="12.14"/>
    <col customWidth="1" min="17" max="17" width="13.71"/>
    <col customWidth="1" min="18" max="18" width="10.71"/>
    <col customWidth="1" min="19" max="19" width="10.43"/>
    <col customWidth="1" min="20" max="20" width="13.29"/>
    <col customWidth="1" min="21" max="21" width="10.0"/>
    <col customWidth="1" min="22" max="22" width="9.71"/>
    <col customWidth="1" min="23" max="23" width="8.71"/>
    <col customWidth="1" min="24" max="24" width="12.43"/>
    <col customWidth="1" min="25" max="3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3"/>
      <c r="S1" s="4"/>
    </row>
    <row r="2" ht="14.25" customHeight="1">
      <c r="A2" s="1" t="s">
        <v>12</v>
      </c>
      <c r="B2" s="1">
        <v>178.0</v>
      </c>
      <c r="C2" s="1">
        <v>7.60505847E8</v>
      </c>
      <c r="D2" s="1" t="s">
        <v>13</v>
      </c>
      <c r="E2" s="1" t="s">
        <v>14</v>
      </c>
      <c r="F2" s="1" t="s">
        <v>15</v>
      </c>
      <c r="G2" s="1">
        <v>886204.0</v>
      </c>
      <c r="H2" s="1">
        <v>3054.0</v>
      </c>
      <c r="I2" s="1" t="s">
        <v>16</v>
      </c>
      <c r="J2" s="1">
        <v>2.37E8</v>
      </c>
      <c r="K2" s="1">
        <v>2009.0</v>
      </c>
      <c r="L2" s="1">
        <v>7.9</v>
      </c>
      <c r="M2" s="2"/>
      <c r="N2" s="2"/>
      <c r="O2" s="3"/>
      <c r="S2" s="4"/>
      <c r="V2" s="5"/>
    </row>
    <row r="3" ht="14.25" customHeight="1">
      <c r="A3" s="1" t="s">
        <v>17</v>
      </c>
      <c r="B3" s="1">
        <v>169.0</v>
      </c>
      <c r="C3" s="1">
        <v>3.09404152E8</v>
      </c>
      <c r="D3" s="1" t="s">
        <v>18</v>
      </c>
      <c r="E3" s="1" t="s">
        <v>19</v>
      </c>
      <c r="F3" s="1" t="s">
        <v>20</v>
      </c>
      <c r="G3" s="1">
        <v>471220.0</v>
      </c>
      <c r="H3" s="1">
        <v>1238.0</v>
      </c>
      <c r="I3" s="1" t="s">
        <v>16</v>
      </c>
      <c r="J3" s="1">
        <v>3.0E8</v>
      </c>
      <c r="K3" s="1">
        <v>2007.0</v>
      </c>
      <c r="L3" s="1">
        <v>7.1</v>
      </c>
      <c r="M3" s="2"/>
      <c r="N3" s="2"/>
      <c r="O3" s="3"/>
      <c r="S3" s="4"/>
      <c r="V3" s="5"/>
    </row>
    <row r="4" ht="14.25" customHeight="1">
      <c r="A4" s="1" t="s">
        <v>21</v>
      </c>
      <c r="B4" s="1">
        <v>148.0</v>
      </c>
      <c r="C4" s="1">
        <v>2.00074175E8</v>
      </c>
      <c r="D4" s="1" t="s">
        <v>22</v>
      </c>
      <c r="E4" s="1" t="s">
        <v>23</v>
      </c>
      <c r="F4" s="1" t="s">
        <v>24</v>
      </c>
      <c r="G4" s="1">
        <v>275868.0</v>
      </c>
      <c r="H4" s="1">
        <v>994.0</v>
      </c>
      <c r="I4" s="1" t="s">
        <v>16</v>
      </c>
      <c r="J4" s="1">
        <v>2.45E8</v>
      </c>
      <c r="K4" s="1">
        <v>2015.0</v>
      </c>
      <c r="L4" s="1">
        <v>6.8</v>
      </c>
      <c r="M4" s="2"/>
      <c r="N4" s="2"/>
      <c r="O4" s="3"/>
      <c r="S4" s="4"/>
      <c r="V4" s="5"/>
    </row>
    <row r="5" ht="14.25" customHeight="1">
      <c r="A5" s="1" t="s">
        <v>25</v>
      </c>
      <c r="B5" s="1">
        <v>164.0</v>
      </c>
      <c r="C5" s="1">
        <v>4.48130642E8</v>
      </c>
      <c r="D5" s="1" t="s">
        <v>26</v>
      </c>
      <c r="E5" s="1" t="s">
        <v>27</v>
      </c>
      <c r="F5" s="1" t="s">
        <v>28</v>
      </c>
      <c r="G5" s="1">
        <v>1144337.0</v>
      </c>
      <c r="H5" s="1">
        <v>2701.0</v>
      </c>
      <c r="I5" s="1" t="s">
        <v>16</v>
      </c>
      <c r="J5" s="1">
        <v>2.5E8</v>
      </c>
      <c r="K5" s="1">
        <v>2012.0</v>
      </c>
      <c r="L5" s="1">
        <v>8.5</v>
      </c>
      <c r="M5" s="2"/>
      <c r="N5" s="2"/>
      <c r="O5" s="3"/>
      <c r="S5" s="4"/>
      <c r="V5" s="5"/>
    </row>
    <row r="6" ht="14.25" customHeight="1">
      <c r="A6" s="1" t="s">
        <v>29</v>
      </c>
      <c r="B6" s="1">
        <v>132.0</v>
      </c>
      <c r="C6" s="1">
        <v>7.3058679E7</v>
      </c>
      <c r="D6" s="1" t="s">
        <v>30</v>
      </c>
      <c r="E6" s="1" t="s">
        <v>31</v>
      </c>
      <c r="F6" s="1" t="s">
        <v>32</v>
      </c>
      <c r="G6" s="1">
        <v>212204.0</v>
      </c>
      <c r="H6" s="1">
        <v>738.0</v>
      </c>
      <c r="I6" s="1" t="s">
        <v>16</v>
      </c>
      <c r="J6" s="1">
        <v>2.637E8</v>
      </c>
      <c r="K6" s="1">
        <v>2012.0</v>
      </c>
      <c r="L6" s="1">
        <v>6.6</v>
      </c>
      <c r="M6" s="2"/>
      <c r="N6" s="2"/>
      <c r="O6" s="3"/>
      <c r="S6" s="4"/>
      <c r="V6" s="5"/>
    </row>
    <row r="7" ht="14.25" customHeight="1">
      <c r="A7" s="1" t="s">
        <v>33</v>
      </c>
      <c r="B7" s="1">
        <v>156.0</v>
      </c>
      <c r="C7" s="1">
        <v>3.36530303E8</v>
      </c>
      <c r="D7" s="1" t="s">
        <v>34</v>
      </c>
      <c r="E7" s="1" t="s">
        <v>35</v>
      </c>
      <c r="F7" s="1" t="s">
        <v>36</v>
      </c>
      <c r="G7" s="1">
        <v>383056.0</v>
      </c>
      <c r="H7" s="1">
        <v>1902.0</v>
      </c>
      <c r="I7" s="1" t="s">
        <v>16</v>
      </c>
      <c r="J7" s="1">
        <v>2.58E8</v>
      </c>
      <c r="K7" s="1">
        <v>2007.0</v>
      </c>
      <c r="L7" s="1">
        <v>6.2</v>
      </c>
      <c r="M7" s="2"/>
      <c r="N7" s="2"/>
      <c r="O7" s="3"/>
      <c r="S7" s="4"/>
      <c r="V7" s="5"/>
    </row>
    <row r="8" ht="14.25" customHeight="1">
      <c r="A8" s="1" t="s">
        <v>37</v>
      </c>
      <c r="B8" s="1">
        <v>100.0</v>
      </c>
      <c r="C8" s="1">
        <v>2.00807262E8</v>
      </c>
      <c r="D8" s="1" t="s">
        <v>38</v>
      </c>
      <c r="E8" s="1" t="s">
        <v>39</v>
      </c>
      <c r="F8" s="1" t="s">
        <v>40</v>
      </c>
      <c r="G8" s="1">
        <v>294810.0</v>
      </c>
      <c r="H8" s="1">
        <v>387.0</v>
      </c>
      <c r="I8" s="1" t="s">
        <v>16</v>
      </c>
      <c r="J8" s="1">
        <v>2.6E8</v>
      </c>
      <c r="K8" s="1">
        <v>2010.0</v>
      </c>
      <c r="L8" s="1">
        <v>7.8</v>
      </c>
      <c r="M8" s="2"/>
      <c r="N8" s="2"/>
      <c r="O8" s="3"/>
      <c r="S8" s="4"/>
      <c r="V8" s="5"/>
    </row>
    <row r="9" ht="14.25" customHeight="1">
      <c r="A9" s="1" t="s">
        <v>41</v>
      </c>
      <c r="B9" s="1">
        <v>141.0</v>
      </c>
      <c r="C9" s="1">
        <v>4.58991599E8</v>
      </c>
      <c r="D9" s="1" t="s">
        <v>30</v>
      </c>
      <c r="E9" s="1" t="s">
        <v>42</v>
      </c>
      <c r="F9" s="1" t="s">
        <v>43</v>
      </c>
      <c r="G9" s="1">
        <v>462669.0</v>
      </c>
      <c r="H9" s="1">
        <v>1117.0</v>
      </c>
      <c r="I9" s="1" t="s">
        <v>16</v>
      </c>
      <c r="J9" s="1">
        <v>2.5E8</v>
      </c>
      <c r="K9" s="1">
        <v>2015.0</v>
      </c>
      <c r="L9" s="1">
        <v>7.5</v>
      </c>
      <c r="M9" s="2"/>
      <c r="N9" s="2"/>
      <c r="O9" s="3"/>
      <c r="S9" s="4"/>
      <c r="V9" s="5"/>
    </row>
    <row r="10" ht="14.25" customHeight="1">
      <c r="A10" s="1" t="s">
        <v>44</v>
      </c>
      <c r="B10" s="1">
        <v>153.0</v>
      </c>
      <c r="C10" s="1">
        <v>3.0195698E8</v>
      </c>
      <c r="D10" s="1" t="s">
        <v>45</v>
      </c>
      <c r="E10" s="1" t="s">
        <v>46</v>
      </c>
      <c r="F10" s="1" t="s">
        <v>47</v>
      </c>
      <c r="G10" s="1">
        <v>321795.0</v>
      </c>
      <c r="H10" s="1">
        <v>973.0</v>
      </c>
      <c r="I10" s="1" t="s">
        <v>16</v>
      </c>
      <c r="J10" s="1">
        <v>2.5E8</v>
      </c>
      <c r="K10" s="1">
        <v>2009.0</v>
      </c>
      <c r="L10" s="1">
        <v>7.5</v>
      </c>
      <c r="M10" s="2"/>
      <c r="N10" s="2"/>
      <c r="O10" s="3"/>
      <c r="S10" s="4"/>
      <c r="V10" s="5"/>
    </row>
    <row r="11" ht="14.25" customHeight="1">
      <c r="A11" s="1" t="s">
        <v>48</v>
      </c>
      <c r="B11" s="1">
        <v>183.0</v>
      </c>
      <c r="C11" s="1">
        <v>3.30249062E8</v>
      </c>
      <c r="D11" s="1" t="s">
        <v>30</v>
      </c>
      <c r="E11" s="1" t="s">
        <v>49</v>
      </c>
      <c r="F11" s="1" t="s">
        <v>50</v>
      </c>
      <c r="G11" s="1">
        <v>371639.0</v>
      </c>
      <c r="H11" s="1">
        <v>3018.0</v>
      </c>
      <c r="I11" s="1" t="s">
        <v>16</v>
      </c>
      <c r="J11" s="1">
        <v>2.5E8</v>
      </c>
      <c r="K11" s="1">
        <v>2016.0</v>
      </c>
      <c r="L11" s="1">
        <v>6.9</v>
      </c>
      <c r="M11" s="2"/>
      <c r="N11" s="2"/>
      <c r="O11" s="3"/>
      <c r="S11" s="4"/>
      <c r="V11" s="5"/>
    </row>
    <row r="12" ht="14.25" customHeight="1">
      <c r="A12" s="1" t="s">
        <v>51</v>
      </c>
      <c r="B12" s="1">
        <v>169.0</v>
      </c>
      <c r="C12" s="1">
        <v>2.00069408E8</v>
      </c>
      <c r="D12" s="1" t="s">
        <v>30</v>
      </c>
      <c r="E12" s="1" t="s">
        <v>52</v>
      </c>
      <c r="F12" s="1" t="s">
        <v>53</v>
      </c>
      <c r="G12" s="1">
        <v>240396.0</v>
      </c>
      <c r="H12" s="1">
        <v>2367.0</v>
      </c>
      <c r="I12" s="1" t="s">
        <v>16</v>
      </c>
      <c r="J12" s="1">
        <v>2.09E8</v>
      </c>
      <c r="K12" s="1">
        <v>2006.0</v>
      </c>
      <c r="L12" s="1">
        <v>6.1</v>
      </c>
      <c r="M12" s="2"/>
      <c r="N12" s="2"/>
      <c r="O12" s="3"/>
      <c r="S12" s="4"/>
      <c r="V12" s="5"/>
    </row>
    <row r="13" ht="14.25" customHeight="1">
      <c r="A13" s="1" t="s">
        <v>54</v>
      </c>
      <c r="B13" s="1">
        <v>106.0</v>
      </c>
      <c r="C13" s="1">
        <v>1.68368427E8</v>
      </c>
      <c r="D13" s="1" t="s">
        <v>55</v>
      </c>
      <c r="E13" s="1" t="s">
        <v>56</v>
      </c>
      <c r="F13" s="1" t="s">
        <v>57</v>
      </c>
      <c r="G13" s="1">
        <v>330784.0</v>
      </c>
      <c r="H13" s="1">
        <v>1243.0</v>
      </c>
      <c r="I13" s="1" t="s">
        <v>16</v>
      </c>
      <c r="J13" s="1">
        <v>2.0E8</v>
      </c>
      <c r="K13" s="1">
        <v>2008.0</v>
      </c>
      <c r="L13" s="1">
        <v>6.7</v>
      </c>
      <c r="M13" s="2"/>
      <c r="N13" s="2"/>
      <c r="O13" s="3"/>
      <c r="S13" s="4"/>
      <c r="V13" s="5"/>
    </row>
    <row r="14" ht="14.25" customHeight="1">
      <c r="A14" s="1" t="s">
        <v>17</v>
      </c>
      <c r="B14" s="1">
        <v>151.0</v>
      </c>
      <c r="C14" s="1">
        <v>4.23032628E8</v>
      </c>
      <c r="D14" s="1" t="s">
        <v>18</v>
      </c>
      <c r="E14" s="1" t="s">
        <v>19</v>
      </c>
      <c r="F14" s="1" t="s">
        <v>58</v>
      </c>
      <c r="G14" s="1">
        <v>522040.0</v>
      </c>
      <c r="H14" s="1">
        <v>1832.0</v>
      </c>
      <c r="I14" s="1" t="s">
        <v>16</v>
      </c>
      <c r="J14" s="1">
        <v>2.25E8</v>
      </c>
      <c r="K14" s="1">
        <v>2006.0</v>
      </c>
      <c r="L14" s="1">
        <v>7.3</v>
      </c>
      <c r="M14" s="2"/>
      <c r="N14" s="2"/>
      <c r="O14" s="3"/>
      <c r="S14" s="4"/>
      <c r="V14" s="5"/>
    </row>
    <row r="15" ht="14.25" customHeight="1">
      <c r="A15" s="1" t="s">
        <v>17</v>
      </c>
      <c r="B15" s="1">
        <v>150.0</v>
      </c>
      <c r="C15" s="1">
        <v>8.928991E7</v>
      </c>
      <c r="D15" s="1" t="s">
        <v>59</v>
      </c>
      <c r="E15" s="1" t="s">
        <v>19</v>
      </c>
      <c r="F15" s="1" t="s">
        <v>60</v>
      </c>
      <c r="G15" s="1">
        <v>181792.0</v>
      </c>
      <c r="H15" s="1">
        <v>711.0</v>
      </c>
      <c r="I15" s="1" t="s">
        <v>16</v>
      </c>
      <c r="J15" s="1">
        <v>2.15E8</v>
      </c>
      <c r="K15" s="1">
        <v>2013.0</v>
      </c>
      <c r="L15" s="1">
        <v>6.5</v>
      </c>
      <c r="M15" s="2"/>
      <c r="N15" s="2"/>
      <c r="O15" s="3"/>
      <c r="S15" s="4"/>
      <c r="V15" s="5"/>
    </row>
    <row r="16" ht="14.25" customHeight="1">
      <c r="A16" s="1" t="s">
        <v>48</v>
      </c>
      <c r="B16" s="1">
        <v>143.0</v>
      </c>
      <c r="C16" s="1">
        <v>2.91021565E8</v>
      </c>
      <c r="D16" s="1" t="s">
        <v>13</v>
      </c>
      <c r="E16" s="1" t="s">
        <v>49</v>
      </c>
      <c r="F16" s="1" t="s">
        <v>61</v>
      </c>
      <c r="G16" s="1">
        <v>548573.0</v>
      </c>
      <c r="H16" s="1">
        <v>2536.0</v>
      </c>
      <c r="I16" s="1" t="s">
        <v>16</v>
      </c>
      <c r="J16" s="1">
        <v>2.25E8</v>
      </c>
      <c r="K16" s="1">
        <v>2013.0</v>
      </c>
      <c r="L16" s="1">
        <v>7.2</v>
      </c>
      <c r="M16" s="2"/>
      <c r="N16" s="2"/>
      <c r="O16" s="3"/>
      <c r="S16" s="4"/>
      <c r="V16" s="5"/>
    </row>
    <row r="17" ht="14.25" customHeight="1">
      <c r="A17" s="1" t="s">
        <v>62</v>
      </c>
      <c r="B17" s="1">
        <v>150.0</v>
      </c>
      <c r="C17" s="1">
        <v>1.41614023E8</v>
      </c>
      <c r="D17" s="1" t="s">
        <v>63</v>
      </c>
      <c r="E17" s="1" t="s">
        <v>64</v>
      </c>
      <c r="F17" s="1" t="s">
        <v>65</v>
      </c>
      <c r="G17" s="1">
        <v>149922.0</v>
      </c>
      <c r="H17" s="1">
        <v>438.0</v>
      </c>
      <c r="I17" s="1" t="s">
        <v>16</v>
      </c>
      <c r="J17" s="1">
        <v>2.25E8</v>
      </c>
      <c r="K17" s="1">
        <v>2008.0</v>
      </c>
      <c r="L17" s="1">
        <v>6.6</v>
      </c>
      <c r="M17" s="2"/>
      <c r="N17" s="2"/>
      <c r="O17" s="3"/>
      <c r="S17" s="4"/>
      <c r="V17" s="5"/>
    </row>
    <row r="18" ht="14.25" customHeight="1">
      <c r="A18" s="1" t="s">
        <v>41</v>
      </c>
      <c r="B18" s="1">
        <v>173.0</v>
      </c>
      <c r="C18" s="1">
        <v>6.23279547E8</v>
      </c>
      <c r="D18" s="1" t="s">
        <v>30</v>
      </c>
      <c r="E18" s="1" t="s">
        <v>42</v>
      </c>
      <c r="F18" s="1" t="s">
        <v>66</v>
      </c>
      <c r="G18" s="1">
        <v>995415.0</v>
      </c>
      <c r="H18" s="1">
        <v>1722.0</v>
      </c>
      <c r="I18" s="1" t="s">
        <v>16</v>
      </c>
      <c r="J18" s="1">
        <v>2.2E8</v>
      </c>
      <c r="K18" s="1">
        <v>2012.0</v>
      </c>
      <c r="L18" s="1">
        <v>8.1</v>
      </c>
      <c r="M18" s="2"/>
      <c r="N18" s="2"/>
      <c r="O18" s="3"/>
      <c r="S18" s="4"/>
      <c r="V18" s="5"/>
    </row>
    <row r="19" ht="14.25" customHeight="1">
      <c r="A19" s="1" t="s">
        <v>67</v>
      </c>
      <c r="B19" s="1">
        <v>136.0</v>
      </c>
      <c r="C19" s="1">
        <v>2.41063875E8</v>
      </c>
      <c r="D19" s="1" t="s">
        <v>18</v>
      </c>
      <c r="E19" s="1" t="s">
        <v>19</v>
      </c>
      <c r="F19" s="1" t="s">
        <v>68</v>
      </c>
      <c r="G19" s="1">
        <v>370704.0</v>
      </c>
      <c r="H19" s="1">
        <v>484.0</v>
      </c>
      <c r="I19" s="1" t="s">
        <v>16</v>
      </c>
      <c r="J19" s="1">
        <v>2.5E8</v>
      </c>
      <c r="K19" s="1">
        <v>2011.0</v>
      </c>
      <c r="L19" s="1">
        <v>6.7</v>
      </c>
      <c r="M19" s="2"/>
      <c r="N19" s="2"/>
      <c r="O19" s="3"/>
      <c r="S19" s="4"/>
      <c r="V19" s="5"/>
    </row>
    <row r="20" ht="14.25" customHeight="1">
      <c r="A20" s="1" t="s">
        <v>69</v>
      </c>
      <c r="B20" s="1">
        <v>106.0</v>
      </c>
      <c r="C20" s="1">
        <v>1.79020854E8</v>
      </c>
      <c r="D20" s="1" t="s">
        <v>70</v>
      </c>
      <c r="E20" s="1" t="s">
        <v>71</v>
      </c>
      <c r="F20" s="1" t="s">
        <v>72</v>
      </c>
      <c r="G20" s="1">
        <v>268154.0</v>
      </c>
      <c r="H20" s="1">
        <v>341.0</v>
      </c>
      <c r="I20" s="1" t="s">
        <v>16</v>
      </c>
      <c r="J20" s="1">
        <v>2.25E8</v>
      </c>
      <c r="K20" s="1">
        <v>2012.0</v>
      </c>
      <c r="L20" s="1">
        <v>6.8</v>
      </c>
      <c r="O20" s="3"/>
      <c r="S20" s="4"/>
    </row>
    <row r="21" ht="14.25" customHeight="1">
      <c r="A21" s="1" t="s">
        <v>73</v>
      </c>
      <c r="B21" s="1">
        <v>164.0</v>
      </c>
      <c r="C21" s="1">
        <v>2.5510837E8</v>
      </c>
      <c r="D21" s="1" t="s">
        <v>74</v>
      </c>
      <c r="E21" s="1" t="s">
        <v>75</v>
      </c>
      <c r="F21" s="1" t="s">
        <v>76</v>
      </c>
      <c r="G21" s="1">
        <v>354228.0</v>
      </c>
      <c r="H21" s="1">
        <v>802.0</v>
      </c>
      <c r="I21" s="1" t="s">
        <v>16</v>
      </c>
      <c r="J21" s="1">
        <v>2.5E8</v>
      </c>
      <c r="K21" s="1">
        <v>2014.0</v>
      </c>
      <c r="L21" s="1">
        <v>7.5</v>
      </c>
      <c r="N21" s="6"/>
      <c r="O21" s="7"/>
      <c r="S21" s="4"/>
    </row>
    <row r="22" ht="14.25" customHeight="1">
      <c r="A22" s="1" t="s">
        <v>77</v>
      </c>
      <c r="B22" s="1">
        <v>153.0</v>
      </c>
      <c r="C22" s="1">
        <v>2.62030663E8</v>
      </c>
      <c r="D22" s="1" t="s">
        <v>18</v>
      </c>
      <c r="E22" s="1" t="s">
        <v>78</v>
      </c>
      <c r="F22" s="1" t="s">
        <v>79</v>
      </c>
      <c r="G22" s="1">
        <v>451803.0</v>
      </c>
      <c r="H22" s="1">
        <v>1225.0</v>
      </c>
      <c r="I22" s="1" t="s">
        <v>16</v>
      </c>
      <c r="J22" s="1">
        <v>2.3E8</v>
      </c>
      <c r="K22" s="1">
        <v>2012.0</v>
      </c>
      <c r="L22" s="1">
        <v>7.0</v>
      </c>
      <c r="N22" s="6"/>
      <c r="O22" s="7"/>
      <c r="S22" s="4"/>
    </row>
    <row r="23" ht="14.25" customHeight="1">
      <c r="A23" s="1" t="s">
        <v>80</v>
      </c>
      <c r="B23" s="1">
        <v>156.0</v>
      </c>
      <c r="C23" s="1">
        <v>1.05219735E8</v>
      </c>
      <c r="D23" s="1" t="s">
        <v>81</v>
      </c>
      <c r="E23" s="1" t="s">
        <v>82</v>
      </c>
      <c r="F23" s="1" t="s">
        <v>83</v>
      </c>
      <c r="G23" s="1">
        <v>211765.0</v>
      </c>
      <c r="H23" s="1">
        <v>546.0</v>
      </c>
      <c r="I23" s="1" t="s">
        <v>16</v>
      </c>
      <c r="J23" s="1">
        <v>2.0E8</v>
      </c>
      <c r="K23" s="1">
        <v>2010.0</v>
      </c>
      <c r="L23" s="1">
        <v>6.7</v>
      </c>
      <c r="N23" s="6"/>
      <c r="O23" s="7"/>
      <c r="S23" s="4"/>
    </row>
    <row r="24" ht="14.25" customHeight="1">
      <c r="A24" s="1" t="s">
        <v>73</v>
      </c>
      <c r="B24" s="1">
        <v>186.0</v>
      </c>
      <c r="C24" s="1">
        <v>2.58355354E8</v>
      </c>
      <c r="D24" s="1" t="s">
        <v>74</v>
      </c>
      <c r="E24" s="1" t="s">
        <v>75</v>
      </c>
      <c r="F24" s="1" t="s">
        <v>84</v>
      </c>
      <c r="G24" s="1">
        <v>483540.0</v>
      </c>
      <c r="H24" s="1">
        <v>951.0</v>
      </c>
      <c r="I24" s="1" t="s">
        <v>16</v>
      </c>
      <c r="J24" s="1">
        <v>2.25E8</v>
      </c>
      <c r="K24" s="1">
        <v>2013.0</v>
      </c>
      <c r="L24" s="1">
        <v>7.9</v>
      </c>
      <c r="N24" s="6"/>
      <c r="O24" s="7"/>
      <c r="S24" s="4"/>
    </row>
    <row r="25" ht="14.25" customHeight="1">
      <c r="A25" s="1" t="s">
        <v>85</v>
      </c>
      <c r="B25" s="1">
        <v>113.0</v>
      </c>
      <c r="C25" s="1">
        <v>7.0083519E7</v>
      </c>
      <c r="D25" s="1" t="s">
        <v>86</v>
      </c>
      <c r="E25" s="1" t="s">
        <v>87</v>
      </c>
      <c r="F25" s="1" t="s">
        <v>88</v>
      </c>
      <c r="G25" s="1">
        <v>149019.0</v>
      </c>
      <c r="H25" s="1">
        <v>666.0</v>
      </c>
      <c r="I25" s="1" t="s">
        <v>16</v>
      </c>
      <c r="J25" s="1">
        <v>1.8E8</v>
      </c>
      <c r="K25" s="1">
        <v>2007.0</v>
      </c>
      <c r="L25" s="1">
        <v>6.1</v>
      </c>
      <c r="N25" s="6"/>
      <c r="O25" s="7"/>
      <c r="S25" s="4"/>
    </row>
    <row r="26" ht="14.25" customHeight="1">
      <c r="A26" s="1" t="s">
        <v>73</v>
      </c>
      <c r="B26" s="1">
        <v>201.0</v>
      </c>
      <c r="C26" s="1">
        <v>2.1805126E8</v>
      </c>
      <c r="D26" s="1" t="s">
        <v>89</v>
      </c>
      <c r="E26" s="1" t="s">
        <v>90</v>
      </c>
      <c r="F26" s="1" t="s">
        <v>91</v>
      </c>
      <c r="G26" s="1">
        <v>316018.0</v>
      </c>
      <c r="H26" s="1">
        <v>2618.0</v>
      </c>
      <c r="I26" s="1" t="s">
        <v>16</v>
      </c>
      <c r="J26" s="1">
        <v>2.07E8</v>
      </c>
      <c r="K26" s="1">
        <v>2005.0</v>
      </c>
      <c r="L26" s="1">
        <v>7.2</v>
      </c>
      <c r="N26" s="6"/>
      <c r="O26" s="7"/>
      <c r="S26" s="4"/>
    </row>
    <row r="27" ht="14.25" customHeight="1">
      <c r="A27" s="1" t="s">
        <v>12</v>
      </c>
      <c r="B27" s="1">
        <v>194.0</v>
      </c>
      <c r="C27" s="1">
        <v>6.58672302E8</v>
      </c>
      <c r="D27" s="1" t="s">
        <v>92</v>
      </c>
      <c r="E27" s="1" t="s">
        <v>93</v>
      </c>
      <c r="F27" s="1" t="s">
        <v>94</v>
      </c>
      <c r="G27" s="1">
        <v>793059.0</v>
      </c>
      <c r="H27" s="1">
        <v>2528.0</v>
      </c>
      <c r="I27" s="1" t="s">
        <v>16</v>
      </c>
      <c r="J27" s="1">
        <v>2.0E8</v>
      </c>
      <c r="K27" s="1">
        <v>1997.0</v>
      </c>
      <c r="L27" s="1">
        <v>7.7</v>
      </c>
      <c r="N27" s="6"/>
      <c r="O27" s="3"/>
      <c r="S27" s="4"/>
    </row>
    <row r="28" ht="14.25" customHeight="1">
      <c r="A28" s="1" t="s">
        <v>95</v>
      </c>
      <c r="B28" s="1">
        <v>147.0</v>
      </c>
      <c r="C28" s="1">
        <v>4.07197282E8</v>
      </c>
      <c r="D28" s="1" t="s">
        <v>30</v>
      </c>
      <c r="E28" s="1" t="s">
        <v>96</v>
      </c>
      <c r="F28" s="1" t="s">
        <v>97</v>
      </c>
      <c r="G28" s="1">
        <v>272670.0</v>
      </c>
      <c r="H28" s="1">
        <v>1022.0</v>
      </c>
      <c r="I28" s="1" t="s">
        <v>16</v>
      </c>
      <c r="J28" s="1">
        <v>2.5E8</v>
      </c>
      <c r="K28" s="1">
        <v>2016.0</v>
      </c>
      <c r="L28" s="1">
        <v>8.2</v>
      </c>
      <c r="N28" s="6"/>
      <c r="O28" s="3"/>
      <c r="S28" s="4"/>
    </row>
    <row r="29" ht="14.25" customHeight="1">
      <c r="A29" s="1" t="s">
        <v>98</v>
      </c>
      <c r="B29" s="1">
        <v>131.0</v>
      </c>
      <c r="C29" s="1">
        <v>6.517316E7</v>
      </c>
      <c r="D29" s="1" t="s">
        <v>99</v>
      </c>
      <c r="E29" s="1" t="s">
        <v>100</v>
      </c>
      <c r="F29" s="1" t="s">
        <v>101</v>
      </c>
      <c r="G29" s="1">
        <v>202382.0</v>
      </c>
      <c r="H29" s="1">
        <v>751.0</v>
      </c>
      <c r="I29" s="1" t="s">
        <v>16</v>
      </c>
      <c r="J29" s="1">
        <v>2.09E8</v>
      </c>
      <c r="K29" s="1">
        <v>2012.0</v>
      </c>
      <c r="L29" s="1">
        <v>5.9</v>
      </c>
      <c r="N29" s="6"/>
      <c r="O29" s="3"/>
      <c r="S29" s="4"/>
    </row>
    <row r="30" ht="14.25" customHeight="1">
      <c r="A30" s="1" t="s">
        <v>102</v>
      </c>
      <c r="B30" s="1">
        <v>124.0</v>
      </c>
      <c r="C30" s="1">
        <v>6.52177271E8</v>
      </c>
      <c r="D30" s="1" t="s">
        <v>99</v>
      </c>
      <c r="E30" s="1" t="s">
        <v>103</v>
      </c>
      <c r="F30" s="1" t="s">
        <v>104</v>
      </c>
      <c r="G30" s="1">
        <v>418214.0</v>
      </c>
      <c r="H30" s="1">
        <v>1290.0</v>
      </c>
      <c r="I30" s="1" t="s">
        <v>16</v>
      </c>
      <c r="J30" s="1">
        <v>1.5E8</v>
      </c>
      <c r="K30" s="1">
        <v>2015.0</v>
      </c>
      <c r="L30" s="1">
        <v>7.0</v>
      </c>
      <c r="O30" s="3"/>
      <c r="S30" s="4"/>
    </row>
    <row r="31" ht="14.25" customHeight="1">
      <c r="A31" s="1" t="s">
        <v>21</v>
      </c>
      <c r="B31" s="1">
        <v>143.0</v>
      </c>
      <c r="C31" s="1">
        <v>3.04360277E8</v>
      </c>
      <c r="D31" s="1" t="s">
        <v>22</v>
      </c>
      <c r="E31" s="1" t="s">
        <v>105</v>
      </c>
      <c r="F31" s="1" t="s">
        <v>106</v>
      </c>
      <c r="G31" s="1">
        <v>522030.0</v>
      </c>
      <c r="H31" s="1">
        <v>1498.0</v>
      </c>
      <c r="I31" s="1" t="s">
        <v>16</v>
      </c>
      <c r="J31" s="1">
        <v>2.0E8</v>
      </c>
      <c r="K31" s="1">
        <v>2012.0</v>
      </c>
      <c r="L31" s="1">
        <v>7.8</v>
      </c>
      <c r="O31" s="3"/>
      <c r="S31" s="4"/>
    </row>
    <row r="32" ht="14.25" customHeight="1">
      <c r="A32" s="1" t="s">
        <v>33</v>
      </c>
      <c r="B32" s="1">
        <v>135.0</v>
      </c>
      <c r="C32" s="1">
        <v>3.73377893E8</v>
      </c>
      <c r="D32" s="1" t="s">
        <v>107</v>
      </c>
      <c r="E32" s="1" t="s">
        <v>35</v>
      </c>
      <c r="F32" s="1" t="s">
        <v>108</v>
      </c>
      <c r="G32" s="1">
        <v>411164.0</v>
      </c>
      <c r="H32" s="1">
        <v>1303.0</v>
      </c>
      <c r="I32" s="1" t="s">
        <v>16</v>
      </c>
      <c r="J32" s="1">
        <v>2.0E8</v>
      </c>
      <c r="K32" s="1">
        <v>2004.0</v>
      </c>
      <c r="L32" s="1">
        <v>7.3</v>
      </c>
      <c r="O32" s="3"/>
      <c r="S32" s="4"/>
    </row>
    <row r="33" ht="14.25" customHeight="1">
      <c r="A33" s="1" t="s">
        <v>109</v>
      </c>
      <c r="B33" s="1">
        <v>195.0</v>
      </c>
      <c r="C33" s="1">
        <v>4.08992272E8</v>
      </c>
      <c r="D33" s="1" t="s">
        <v>30</v>
      </c>
      <c r="E33" s="1" t="s">
        <v>96</v>
      </c>
      <c r="F33" s="1" t="s">
        <v>110</v>
      </c>
      <c r="G33" s="1">
        <v>557489.0</v>
      </c>
      <c r="H33" s="1">
        <v>1187.0</v>
      </c>
      <c r="I33" s="1" t="s">
        <v>16</v>
      </c>
      <c r="J33" s="1">
        <v>2.0E8</v>
      </c>
      <c r="K33" s="1">
        <v>2013.0</v>
      </c>
      <c r="L33" s="1">
        <v>7.2</v>
      </c>
      <c r="O33" s="3"/>
      <c r="S33" s="4"/>
    </row>
    <row r="34" ht="14.25" customHeight="1">
      <c r="A34" s="1" t="s">
        <v>111</v>
      </c>
      <c r="B34" s="1">
        <v>108.0</v>
      </c>
      <c r="C34" s="1">
        <v>3.34185206E8</v>
      </c>
      <c r="D34" s="1" t="s">
        <v>86</v>
      </c>
      <c r="E34" s="1" t="s">
        <v>19</v>
      </c>
      <c r="F34" s="1" t="s">
        <v>112</v>
      </c>
      <c r="G34" s="1">
        <v>306320.0</v>
      </c>
      <c r="H34" s="1">
        <v>736.0</v>
      </c>
      <c r="I34" s="1" t="s">
        <v>16</v>
      </c>
      <c r="J34" s="1">
        <v>2.0E8</v>
      </c>
      <c r="K34" s="1">
        <v>2010.0</v>
      </c>
      <c r="L34" s="1">
        <v>6.5</v>
      </c>
      <c r="O34" s="3"/>
      <c r="S34" s="4"/>
    </row>
    <row r="35" ht="14.25" customHeight="1">
      <c r="A35" s="1" t="s">
        <v>113</v>
      </c>
      <c r="B35" s="1">
        <v>104.0</v>
      </c>
      <c r="C35" s="1">
        <v>2.34360014E8</v>
      </c>
      <c r="D35" s="1" t="s">
        <v>114</v>
      </c>
      <c r="E35" s="1" t="s">
        <v>115</v>
      </c>
      <c r="F35" s="1" t="s">
        <v>116</v>
      </c>
      <c r="G35" s="1">
        <v>383427.0</v>
      </c>
      <c r="H35" s="1">
        <v>1912.0</v>
      </c>
      <c r="I35" s="1" t="s">
        <v>16</v>
      </c>
      <c r="J35" s="1">
        <v>2.1E8</v>
      </c>
      <c r="K35" s="1">
        <v>2006.0</v>
      </c>
      <c r="L35" s="1">
        <v>6.8</v>
      </c>
      <c r="O35" s="3"/>
      <c r="S35" s="4"/>
    </row>
    <row r="36" ht="14.25" customHeight="1">
      <c r="A36" s="1" t="s">
        <v>117</v>
      </c>
      <c r="B36" s="1">
        <v>104.0</v>
      </c>
      <c r="C36" s="1">
        <v>2.68488329E8</v>
      </c>
      <c r="D36" s="1" t="s">
        <v>118</v>
      </c>
      <c r="E36" s="1" t="s">
        <v>119</v>
      </c>
      <c r="F36" s="1" t="s">
        <v>120</v>
      </c>
      <c r="G36" s="1">
        <v>235025.0</v>
      </c>
      <c r="H36" s="1">
        <v>265.0</v>
      </c>
      <c r="I36" s="1" t="s">
        <v>16</v>
      </c>
      <c r="J36" s="1">
        <v>2.0E8</v>
      </c>
      <c r="K36" s="1">
        <v>2013.0</v>
      </c>
      <c r="L36" s="1">
        <v>7.3</v>
      </c>
      <c r="O36" s="3"/>
      <c r="S36" s="4"/>
    </row>
    <row r="37" ht="14.25" customHeight="1">
      <c r="A37" s="1" t="s">
        <v>121</v>
      </c>
      <c r="B37" s="1">
        <v>150.0</v>
      </c>
      <c r="C37" s="1">
        <v>4.02076689E8</v>
      </c>
      <c r="D37" s="1" t="s">
        <v>30</v>
      </c>
      <c r="E37" s="1" t="s">
        <v>122</v>
      </c>
      <c r="F37" s="1" t="s">
        <v>123</v>
      </c>
      <c r="G37" s="1">
        <v>323207.0</v>
      </c>
      <c r="H37" s="1">
        <v>1439.0</v>
      </c>
      <c r="I37" s="1" t="s">
        <v>16</v>
      </c>
      <c r="J37" s="1">
        <v>2.0E8</v>
      </c>
      <c r="K37" s="1">
        <v>2009.0</v>
      </c>
      <c r="L37" s="1">
        <v>6.0</v>
      </c>
      <c r="O37" s="3"/>
      <c r="S37" s="4"/>
    </row>
    <row r="38" ht="14.25" customHeight="1">
      <c r="A38" s="1" t="s">
        <v>121</v>
      </c>
      <c r="B38" s="1">
        <v>165.0</v>
      </c>
      <c r="C38" s="1">
        <v>2.45428137E8</v>
      </c>
      <c r="D38" s="1" t="s">
        <v>30</v>
      </c>
      <c r="E38" s="1" t="s">
        <v>124</v>
      </c>
      <c r="F38" s="1" t="s">
        <v>125</v>
      </c>
      <c r="G38" s="1">
        <v>242420.0</v>
      </c>
      <c r="H38" s="1">
        <v>918.0</v>
      </c>
      <c r="I38" s="1" t="s">
        <v>16</v>
      </c>
      <c r="J38" s="1">
        <v>2.1E8</v>
      </c>
      <c r="K38" s="1">
        <v>2014.0</v>
      </c>
      <c r="L38" s="1">
        <v>5.7</v>
      </c>
      <c r="O38" s="3"/>
      <c r="S38" s="4"/>
    </row>
    <row r="39" ht="14.25" customHeight="1">
      <c r="A39" s="1" t="s">
        <v>33</v>
      </c>
      <c r="B39" s="1">
        <v>130.0</v>
      </c>
      <c r="C39" s="1">
        <v>2.34903076E8</v>
      </c>
      <c r="D39" s="1" t="s">
        <v>86</v>
      </c>
      <c r="E39" s="1" t="s">
        <v>126</v>
      </c>
      <c r="F39" s="1" t="s">
        <v>127</v>
      </c>
      <c r="G39" s="1">
        <v>175409.0</v>
      </c>
      <c r="H39" s="1">
        <v>511.0</v>
      </c>
      <c r="I39" s="1" t="s">
        <v>16</v>
      </c>
      <c r="J39" s="1">
        <v>2.15E8</v>
      </c>
      <c r="K39" s="1">
        <v>2013.0</v>
      </c>
      <c r="L39" s="1">
        <v>6.4</v>
      </c>
      <c r="O39" s="3"/>
      <c r="S39" s="4"/>
    </row>
    <row r="40" ht="14.25" customHeight="1">
      <c r="A40" s="1" t="s">
        <v>77</v>
      </c>
      <c r="B40" s="1">
        <v>142.0</v>
      </c>
      <c r="C40" s="1">
        <v>2.02853933E8</v>
      </c>
      <c r="D40" s="1" t="s">
        <v>13</v>
      </c>
      <c r="E40" s="1" t="s">
        <v>78</v>
      </c>
      <c r="F40" s="1" t="s">
        <v>128</v>
      </c>
      <c r="G40" s="1">
        <v>321227.0</v>
      </c>
      <c r="H40" s="1">
        <v>1067.0</v>
      </c>
      <c r="I40" s="1" t="s">
        <v>16</v>
      </c>
      <c r="J40" s="1">
        <v>2.0E8</v>
      </c>
      <c r="K40" s="1">
        <v>2014.0</v>
      </c>
      <c r="L40" s="1">
        <v>6.7</v>
      </c>
      <c r="O40" s="3"/>
      <c r="S40" s="4"/>
    </row>
    <row r="41" ht="14.25" customHeight="1">
      <c r="A41" s="1" t="s">
        <v>129</v>
      </c>
      <c r="B41" s="1">
        <v>125.0</v>
      </c>
      <c r="C41" s="1">
        <v>1.72051787E8</v>
      </c>
      <c r="D41" s="1" t="s">
        <v>30</v>
      </c>
      <c r="E41" s="1" t="s">
        <v>130</v>
      </c>
      <c r="F41" s="1" t="s">
        <v>131</v>
      </c>
      <c r="G41" s="1">
        <v>264183.0</v>
      </c>
      <c r="H41" s="1">
        <v>665.0</v>
      </c>
      <c r="I41" s="1" t="s">
        <v>16</v>
      </c>
      <c r="J41" s="1">
        <v>1.7E8</v>
      </c>
      <c r="K41" s="1">
        <v>2010.0</v>
      </c>
      <c r="L41" s="1">
        <v>6.8</v>
      </c>
      <c r="O41" s="3"/>
      <c r="S41" s="4"/>
    </row>
    <row r="42" ht="14.25" customHeight="1">
      <c r="A42" s="1" t="s">
        <v>132</v>
      </c>
      <c r="B42" s="1">
        <v>106.0</v>
      </c>
      <c r="C42" s="1">
        <v>1.91450875E8</v>
      </c>
      <c r="D42" s="1" t="s">
        <v>133</v>
      </c>
      <c r="E42" s="1" t="s">
        <v>134</v>
      </c>
      <c r="F42" s="1" t="s">
        <v>135</v>
      </c>
      <c r="G42" s="1">
        <v>101178.0</v>
      </c>
      <c r="H42" s="1">
        <v>283.0</v>
      </c>
      <c r="I42" s="1" t="s">
        <v>16</v>
      </c>
      <c r="J42" s="1">
        <v>2.0E8</v>
      </c>
      <c r="K42" s="1">
        <v>2011.0</v>
      </c>
      <c r="L42" s="1">
        <v>6.3</v>
      </c>
      <c r="O42" s="3"/>
      <c r="S42" s="4"/>
    </row>
    <row r="43" ht="14.25" customHeight="1">
      <c r="A43" s="1" t="s">
        <v>136</v>
      </c>
      <c r="B43" s="1">
        <v>123.0</v>
      </c>
      <c r="C43" s="1">
        <v>1.16593191E8</v>
      </c>
      <c r="D43" s="1" t="s">
        <v>30</v>
      </c>
      <c r="E43" s="1" t="s">
        <v>137</v>
      </c>
      <c r="F43" s="1" t="s">
        <v>138</v>
      </c>
      <c r="G43" s="1">
        <v>223393.0</v>
      </c>
      <c r="H43" s="1">
        <v>550.0</v>
      </c>
      <c r="I43" s="1" t="s">
        <v>16</v>
      </c>
      <c r="J43" s="1">
        <v>2.0E8</v>
      </c>
      <c r="K43" s="1">
        <v>2011.0</v>
      </c>
      <c r="L43" s="1">
        <v>5.6</v>
      </c>
      <c r="O43" s="3"/>
      <c r="S43" s="4"/>
    </row>
    <row r="44" ht="14.25" customHeight="1">
      <c r="A44" s="1" t="s">
        <v>139</v>
      </c>
      <c r="B44" s="1">
        <v>103.0</v>
      </c>
      <c r="C44" s="1">
        <v>4.14984497E8</v>
      </c>
      <c r="D44" s="1" t="s">
        <v>118</v>
      </c>
      <c r="E44" s="1" t="s">
        <v>140</v>
      </c>
      <c r="F44" s="1" t="s">
        <v>141</v>
      </c>
      <c r="G44" s="1">
        <v>544884.0</v>
      </c>
      <c r="H44" s="1">
        <v>733.0</v>
      </c>
      <c r="I44" s="1" t="s">
        <v>16</v>
      </c>
      <c r="J44" s="1">
        <v>2.0E8</v>
      </c>
      <c r="K44" s="1">
        <v>2010.0</v>
      </c>
      <c r="L44" s="1">
        <v>8.3</v>
      </c>
      <c r="O44" s="3"/>
      <c r="S44" s="4"/>
    </row>
    <row r="45" ht="14.25" customHeight="1">
      <c r="A45" s="1" t="s">
        <v>142</v>
      </c>
      <c r="B45" s="1">
        <v>118.0</v>
      </c>
      <c r="C45" s="1">
        <v>1.25320003E8</v>
      </c>
      <c r="D45" s="1" t="s">
        <v>30</v>
      </c>
      <c r="E45" s="1" t="s">
        <v>143</v>
      </c>
      <c r="F45" s="1" t="s">
        <v>144</v>
      </c>
      <c r="G45" s="1">
        <v>286095.0</v>
      </c>
      <c r="H45" s="1">
        <v>974.0</v>
      </c>
      <c r="I45" s="1" t="s">
        <v>16</v>
      </c>
      <c r="J45" s="1">
        <v>2.0E8</v>
      </c>
      <c r="K45" s="1">
        <v>2009.0</v>
      </c>
      <c r="L45" s="1">
        <v>6.6</v>
      </c>
      <c r="O45" s="3"/>
      <c r="S45" s="4"/>
    </row>
    <row r="46" ht="14.25" customHeight="1">
      <c r="A46" s="1" t="s">
        <v>145</v>
      </c>
      <c r="B46" s="1">
        <v>140.0</v>
      </c>
      <c r="C46" s="1">
        <v>3.5003411E8</v>
      </c>
      <c r="D46" s="1" t="s">
        <v>146</v>
      </c>
      <c r="E46" s="1" t="s">
        <v>147</v>
      </c>
      <c r="F46" s="1" t="s">
        <v>148</v>
      </c>
      <c r="G46" s="1">
        <v>278232.0</v>
      </c>
      <c r="H46" s="1">
        <v>657.0</v>
      </c>
      <c r="I46" s="1" t="s">
        <v>16</v>
      </c>
      <c r="J46" s="1">
        <v>1.9E8</v>
      </c>
      <c r="K46" s="1">
        <v>2015.0</v>
      </c>
      <c r="L46" s="1">
        <v>7.2</v>
      </c>
      <c r="O46" s="3"/>
      <c r="S46" s="4"/>
    </row>
    <row r="47" ht="14.25" customHeight="1">
      <c r="A47" s="1" t="s">
        <v>54</v>
      </c>
      <c r="B47" s="1">
        <v>123.0</v>
      </c>
      <c r="C47" s="1">
        <v>2.02351611E8</v>
      </c>
      <c r="D47" s="1" t="s">
        <v>149</v>
      </c>
      <c r="E47" s="1" t="s">
        <v>150</v>
      </c>
      <c r="F47" s="1" t="s">
        <v>151</v>
      </c>
      <c r="G47" s="1">
        <v>465019.0</v>
      </c>
      <c r="H47" s="1">
        <v>995.0</v>
      </c>
      <c r="I47" s="1" t="s">
        <v>16</v>
      </c>
      <c r="J47" s="1">
        <v>1.9E8</v>
      </c>
      <c r="K47" s="1">
        <v>2013.0</v>
      </c>
      <c r="L47" s="1">
        <v>7.0</v>
      </c>
      <c r="O47" s="3"/>
      <c r="S47" s="4"/>
    </row>
    <row r="48" ht="14.25" customHeight="1">
      <c r="A48" s="1" t="s">
        <v>51</v>
      </c>
      <c r="B48" s="1">
        <v>149.0</v>
      </c>
      <c r="C48" s="1">
        <v>2.33914986E8</v>
      </c>
      <c r="D48" s="1" t="s">
        <v>114</v>
      </c>
      <c r="E48" s="1" t="s">
        <v>152</v>
      </c>
      <c r="F48" s="1" t="s">
        <v>153</v>
      </c>
      <c r="G48" s="1">
        <v>514125.0</v>
      </c>
      <c r="H48" s="1">
        <v>752.0</v>
      </c>
      <c r="I48" s="1" t="s">
        <v>16</v>
      </c>
      <c r="J48" s="1">
        <v>2.0E8</v>
      </c>
      <c r="K48" s="1">
        <v>2014.0</v>
      </c>
      <c r="L48" s="1">
        <v>8.0</v>
      </c>
      <c r="O48" s="3"/>
      <c r="S48" s="4"/>
    </row>
    <row r="49" ht="14.25" customHeight="1">
      <c r="A49" s="1" t="s">
        <v>154</v>
      </c>
      <c r="B49" s="1">
        <v>132.0</v>
      </c>
      <c r="C49" s="1">
        <v>2.28756232E8</v>
      </c>
      <c r="D49" s="1" t="s">
        <v>30</v>
      </c>
      <c r="E49" s="1" t="s">
        <v>155</v>
      </c>
      <c r="F49" s="1" t="s">
        <v>156</v>
      </c>
      <c r="G49" s="1">
        <v>395573.0</v>
      </c>
      <c r="H49" s="1">
        <v>1171.0</v>
      </c>
      <c r="I49" s="1" t="s">
        <v>16</v>
      </c>
      <c r="J49" s="1">
        <v>1.9E8</v>
      </c>
      <c r="K49" s="1">
        <v>2013.0</v>
      </c>
      <c r="L49" s="1">
        <v>7.8</v>
      </c>
      <c r="O49" s="3"/>
      <c r="S49" s="4"/>
    </row>
    <row r="50" ht="14.25" customHeight="1">
      <c r="A50" s="1" t="s">
        <v>51</v>
      </c>
      <c r="B50" s="1">
        <v>114.0</v>
      </c>
      <c r="C50" s="1">
        <v>6.517186E7</v>
      </c>
      <c r="D50" s="1" t="s">
        <v>74</v>
      </c>
      <c r="E50" s="1" t="s">
        <v>157</v>
      </c>
      <c r="F50" s="1" t="s">
        <v>158</v>
      </c>
      <c r="G50" s="1">
        <v>106416.0</v>
      </c>
      <c r="H50" s="1">
        <v>205.0</v>
      </c>
      <c r="I50" s="1" t="s">
        <v>16</v>
      </c>
      <c r="J50" s="1">
        <v>1.95E8</v>
      </c>
      <c r="K50" s="1">
        <v>2013.0</v>
      </c>
      <c r="L50" s="1">
        <v>6.3</v>
      </c>
      <c r="O50" s="3"/>
      <c r="S50" s="4"/>
    </row>
    <row r="51" ht="14.25" customHeight="1">
      <c r="A51" s="1" t="s">
        <v>159</v>
      </c>
      <c r="B51" s="1">
        <v>143.0</v>
      </c>
      <c r="C51" s="1">
        <v>1.44812796E8</v>
      </c>
      <c r="D51" s="1" t="s">
        <v>92</v>
      </c>
      <c r="E51" s="1" t="s">
        <v>93</v>
      </c>
      <c r="F51" s="1" t="s">
        <v>160</v>
      </c>
      <c r="G51" s="1">
        <v>362912.0</v>
      </c>
      <c r="H51" s="1">
        <v>753.0</v>
      </c>
      <c r="I51" s="1" t="s">
        <v>16</v>
      </c>
      <c r="J51" s="1">
        <v>1.05E8</v>
      </c>
      <c r="K51" s="1">
        <v>2013.0</v>
      </c>
      <c r="L51" s="1">
        <v>7.3</v>
      </c>
      <c r="O51" s="3"/>
      <c r="S51" s="4"/>
    </row>
    <row r="52" ht="14.25" customHeight="1">
      <c r="A52" s="1" t="s">
        <v>161</v>
      </c>
      <c r="B52" s="1">
        <v>116.0</v>
      </c>
      <c r="C52" s="1">
        <v>9.0755643E7</v>
      </c>
      <c r="D52" s="1" t="s">
        <v>107</v>
      </c>
      <c r="E52" s="1" t="s">
        <v>162</v>
      </c>
      <c r="F52" s="1" t="s">
        <v>163</v>
      </c>
      <c r="G52" s="1">
        <v>222403.0</v>
      </c>
      <c r="H52" s="1">
        <v>453.0</v>
      </c>
      <c r="I52" s="1" t="s">
        <v>16</v>
      </c>
      <c r="J52" s="1">
        <v>2.0E8</v>
      </c>
      <c r="K52" s="1">
        <v>2010.0</v>
      </c>
      <c r="L52" s="1">
        <v>6.6</v>
      </c>
      <c r="O52" s="3"/>
      <c r="S52" s="4"/>
    </row>
    <row r="53" ht="14.25" customHeight="1">
      <c r="A53" s="1" t="s">
        <v>164</v>
      </c>
      <c r="B53" s="1">
        <v>131.0</v>
      </c>
      <c r="C53" s="1">
        <v>1.01785482E8</v>
      </c>
      <c r="D53" s="1" t="s">
        <v>30</v>
      </c>
      <c r="E53" s="1" t="s">
        <v>165</v>
      </c>
      <c r="F53" s="1" t="s">
        <v>166</v>
      </c>
      <c r="G53" s="1">
        <v>381148.0</v>
      </c>
      <c r="H53" s="1">
        <v>1106.0</v>
      </c>
      <c r="I53" s="1" t="s">
        <v>16</v>
      </c>
      <c r="J53" s="1">
        <v>1.9E8</v>
      </c>
      <c r="K53" s="1">
        <v>2013.0</v>
      </c>
      <c r="L53" s="1">
        <v>7.0</v>
      </c>
      <c r="O53" s="3"/>
      <c r="S53" s="4"/>
    </row>
    <row r="54" ht="14.25" customHeight="1">
      <c r="A54" s="1" t="s">
        <v>121</v>
      </c>
      <c r="B54" s="1">
        <v>154.0</v>
      </c>
      <c r="C54" s="1">
        <v>3.52358779E8</v>
      </c>
      <c r="D54" s="1" t="s">
        <v>30</v>
      </c>
      <c r="E54" s="1" t="s">
        <v>122</v>
      </c>
      <c r="F54" s="1" t="s">
        <v>167</v>
      </c>
      <c r="G54" s="1">
        <v>326180.0</v>
      </c>
      <c r="H54" s="1">
        <v>899.0</v>
      </c>
      <c r="I54" s="1" t="s">
        <v>16</v>
      </c>
      <c r="J54" s="1">
        <v>1.95E8</v>
      </c>
      <c r="K54" s="1">
        <v>2011.0</v>
      </c>
      <c r="L54" s="1">
        <v>6.3</v>
      </c>
      <c r="O54" s="3"/>
      <c r="S54" s="4"/>
    </row>
    <row r="55" ht="14.25" customHeight="1">
      <c r="A55" s="1" t="s">
        <v>168</v>
      </c>
      <c r="B55" s="1">
        <v>122.0</v>
      </c>
      <c r="C55" s="1">
        <v>3.17011114E8</v>
      </c>
      <c r="D55" s="1" t="s">
        <v>18</v>
      </c>
      <c r="E55" s="1" t="s">
        <v>169</v>
      </c>
      <c r="F55" s="1" t="s">
        <v>170</v>
      </c>
      <c r="G55" s="1">
        <v>333847.0</v>
      </c>
      <c r="H55" s="1">
        <v>2054.0</v>
      </c>
      <c r="I55" s="1" t="s">
        <v>16</v>
      </c>
      <c r="J55" s="1">
        <v>1.85E8</v>
      </c>
      <c r="K55" s="1">
        <v>2008.0</v>
      </c>
      <c r="L55" s="1">
        <v>6.2</v>
      </c>
      <c r="O55" s="3"/>
      <c r="S55" s="4"/>
    </row>
    <row r="56" ht="14.25" customHeight="1">
      <c r="A56" s="1" t="s">
        <v>171</v>
      </c>
      <c r="B56" s="1">
        <v>93.0</v>
      </c>
      <c r="C56" s="1">
        <v>2.37282182E8</v>
      </c>
      <c r="D56" s="1" t="s">
        <v>118</v>
      </c>
      <c r="E56" s="1" t="s">
        <v>172</v>
      </c>
      <c r="F56" s="1" t="s">
        <v>173</v>
      </c>
      <c r="G56" s="1">
        <v>273556.0</v>
      </c>
      <c r="H56" s="1">
        <v>428.0</v>
      </c>
      <c r="I56" s="1" t="s">
        <v>16</v>
      </c>
      <c r="J56" s="1">
        <v>1.85E8</v>
      </c>
      <c r="K56" s="1">
        <v>2012.0</v>
      </c>
      <c r="L56" s="1">
        <v>7.2</v>
      </c>
      <c r="O56" s="3"/>
      <c r="S56" s="4"/>
    </row>
    <row r="57" ht="14.25" customHeight="1">
      <c r="A57" s="1" t="s">
        <v>174</v>
      </c>
      <c r="B57" s="1">
        <v>122.0</v>
      </c>
      <c r="C57" s="1">
        <v>1.30468626E8</v>
      </c>
      <c r="D57" s="1" t="s">
        <v>99</v>
      </c>
      <c r="E57" s="1" t="s">
        <v>175</v>
      </c>
      <c r="F57" s="1" t="s">
        <v>176</v>
      </c>
      <c r="G57" s="1">
        <v>53607.0</v>
      </c>
      <c r="H57" s="1">
        <v>432.0</v>
      </c>
      <c r="I57" s="1" t="s">
        <v>16</v>
      </c>
      <c r="J57" s="1">
        <v>1.85E8</v>
      </c>
      <c r="K57" s="1">
        <v>2016.0</v>
      </c>
      <c r="L57" s="1">
        <v>7.5</v>
      </c>
      <c r="O57" s="3"/>
      <c r="S57" s="4"/>
    </row>
    <row r="58" ht="14.25" customHeight="1">
      <c r="A58" s="1" t="s">
        <v>29</v>
      </c>
      <c r="B58" s="1">
        <v>98.0</v>
      </c>
      <c r="C58" s="1">
        <v>2.23806889E8</v>
      </c>
      <c r="D58" s="1" t="s">
        <v>177</v>
      </c>
      <c r="E58" s="1" t="s">
        <v>178</v>
      </c>
      <c r="F58" s="1" t="s">
        <v>179</v>
      </c>
      <c r="G58" s="1">
        <v>718837.0</v>
      </c>
      <c r="H58" s="1">
        <v>1043.0</v>
      </c>
      <c r="I58" s="1" t="s">
        <v>16</v>
      </c>
      <c r="J58" s="1">
        <v>1.8E8</v>
      </c>
      <c r="K58" s="1">
        <v>2008.0</v>
      </c>
      <c r="L58" s="1">
        <v>8.4</v>
      </c>
      <c r="O58" s="3"/>
      <c r="S58" s="4"/>
    </row>
    <row r="59" ht="14.25" customHeight="1">
      <c r="A59" s="1" t="s">
        <v>113</v>
      </c>
      <c r="B59" s="1">
        <v>91.0</v>
      </c>
      <c r="C59" s="1">
        <v>1.4008085E8</v>
      </c>
      <c r="D59" s="1" t="s">
        <v>180</v>
      </c>
      <c r="E59" s="1" t="s">
        <v>181</v>
      </c>
      <c r="F59" s="1" t="s">
        <v>182</v>
      </c>
      <c r="G59" s="1">
        <v>121084.0</v>
      </c>
      <c r="H59" s="1">
        <v>221.0</v>
      </c>
      <c r="I59" s="1" t="s">
        <v>16</v>
      </c>
      <c r="J59" s="1">
        <v>1.4E8</v>
      </c>
      <c r="K59" s="1">
        <v>2007.0</v>
      </c>
      <c r="L59" s="1">
        <v>6.2</v>
      </c>
      <c r="O59" s="3"/>
      <c r="S59" s="4"/>
    </row>
    <row r="60" ht="14.25" customHeight="1">
      <c r="A60" s="1" t="s">
        <v>183</v>
      </c>
      <c r="B60" s="1">
        <v>158.0</v>
      </c>
      <c r="C60" s="1">
        <v>1.66112167E8</v>
      </c>
      <c r="D60" s="1" t="s">
        <v>30</v>
      </c>
      <c r="E60" s="1" t="s">
        <v>184</v>
      </c>
      <c r="F60" s="1" t="s">
        <v>185</v>
      </c>
      <c r="G60" s="1">
        <v>283418.0</v>
      </c>
      <c r="H60" s="1">
        <v>1055.0</v>
      </c>
      <c r="I60" s="1" t="s">
        <v>16</v>
      </c>
      <c r="J60" s="1">
        <v>2.0E8</v>
      </c>
      <c r="K60" s="1">
        <v>2009.0</v>
      </c>
      <c r="L60" s="1">
        <v>5.8</v>
      </c>
      <c r="O60" s="3"/>
      <c r="S60" s="4"/>
    </row>
    <row r="61" ht="14.25" customHeight="1">
      <c r="A61" s="1" t="s">
        <v>186</v>
      </c>
      <c r="B61" s="1">
        <v>96.0</v>
      </c>
      <c r="C61" s="1">
        <v>1.37850096E8</v>
      </c>
      <c r="D61" s="1" t="s">
        <v>187</v>
      </c>
      <c r="E61" s="1" t="s">
        <v>188</v>
      </c>
      <c r="F61" s="1" t="s">
        <v>189</v>
      </c>
      <c r="G61" s="1">
        <v>72809.0</v>
      </c>
      <c r="H61" s="1">
        <v>249.0</v>
      </c>
      <c r="I61" s="1" t="s">
        <v>16</v>
      </c>
      <c r="J61" s="1">
        <v>2.0E8</v>
      </c>
      <c r="K61" s="1">
        <v>2009.0</v>
      </c>
      <c r="L61" s="1">
        <v>6.8</v>
      </c>
      <c r="O61" s="3"/>
      <c r="S61" s="4"/>
    </row>
    <row r="62" ht="14.25" customHeight="1">
      <c r="A62" s="1" t="s">
        <v>190</v>
      </c>
      <c r="B62" s="1">
        <v>127.0</v>
      </c>
      <c r="C62" s="1">
        <v>4.7375327E7</v>
      </c>
      <c r="D62" s="1" t="s">
        <v>30</v>
      </c>
      <c r="E62" s="1" t="s">
        <v>191</v>
      </c>
      <c r="F62" s="1" t="s">
        <v>192</v>
      </c>
      <c r="G62" s="1">
        <v>139593.0</v>
      </c>
      <c r="H62" s="1">
        <v>720.0</v>
      </c>
      <c r="I62" s="1" t="s">
        <v>16</v>
      </c>
      <c r="J62" s="1">
        <v>1.76E8</v>
      </c>
      <c r="K62" s="1">
        <v>2015.0</v>
      </c>
      <c r="L62" s="1">
        <v>5.4</v>
      </c>
      <c r="O62" s="3"/>
      <c r="S62" s="4"/>
    </row>
    <row r="63" ht="14.25" customHeight="1">
      <c r="A63" s="1" t="s">
        <v>44</v>
      </c>
      <c r="B63" s="1">
        <v>110.0</v>
      </c>
      <c r="C63" s="1">
        <v>1.24051759E8</v>
      </c>
      <c r="D63" s="1" t="s">
        <v>89</v>
      </c>
      <c r="E63" s="1" t="s">
        <v>23</v>
      </c>
      <c r="F63" s="1" t="s">
        <v>193</v>
      </c>
      <c r="G63" s="1">
        <v>42372.0</v>
      </c>
      <c r="H63" s="1">
        <v>239.0</v>
      </c>
      <c r="I63" s="1" t="s">
        <v>16</v>
      </c>
      <c r="J63" s="1">
        <v>1.8E8</v>
      </c>
      <c r="K63" s="1">
        <v>2016.0</v>
      </c>
      <c r="L63" s="1">
        <v>6.6</v>
      </c>
      <c r="O63" s="3"/>
      <c r="S63" s="4"/>
    </row>
    <row r="64" ht="14.25" customHeight="1">
      <c r="A64" s="1" t="s">
        <v>62</v>
      </c>
      <c r="B64" s="1">
        <v>150.0</v>
      </c>
      <c r="C64" s="1">
        <v>2.91709845E8</v>
      </c>
      <c r="D64" s="1" t="s">
        <v>86</v>
      </c>
      <c r="E64" s="1" t="s">
        <v>194</v>
      </c>
      <c r="F64" s="1" t="s">
        <v>195</v>
      </c>
      <c r="G64" s="1">
        <v>286506.0</v>
      </c>
      <c r="H64" s="1">
        <v>1463.0</v>
      </c>
      <c r="I64" s="1" t="s">
        <v>16</v>
      </c>
      <c r="J64" s="1">
        <v>1.8E8</v>
      </c>
      <c r="K64" s="1">
        <v>2005.0</v>
      </c>
      <c r="L64" s="1">
        <v>6.9</v>
      </c>
      <c r="O64" s="3"/>
      <c r="S64" s="4"/>
    </row>
    <row r="65" ht="14.25" customHeight="1">
      <c r="A65" s="1" t="s">
        <v>51</v>
      </c>
      <c r="B65" s="1">
        <v>144.0</v>
      </c>
      <c r="C65" s="1">
        <v>1.54985087E8</v>
      </c>
      <c r="D65" s="1" t="s">
        <v>30</v>
      </c>
      <c r="E65" s="1" t="s">
        <v>152</v>
      </c>
      <c r="F65" s="1" t="s">
        <v>196</v>
      </c>
      <c r="G65" s="1">
        <v>148379.0</v>
      </c>
      <c r="H65" s="1">
        <v>622.0</v>
      </c>
      <c r="I65" s="1" t="s">
        <v>16</v>
      </c>
      <c r="J65" s="1">
        <v>1.78E8</v>
      </c>
      <c r="K65" s="1">
        <v>2016.0</v>
      </c>
      <c r="L65" s="1">
        <v>7.3</v>
      </c>
      <c r="O65" s="3"/>
      <c r="S65" s="4"/>
    </row>
    <row r="66" ht="14.25" customHeight="1">
      <c r="A66" s="1" t="s">
        <v>25</v>
      </c>
      <c r="B66" s="1">
        <v>152.0</v>
      </c>
      <c r="C66" s="1">
        <v>5.33316061E8</v>
      </c>
      <c r="D66" s="1" t="s">
        <v>197</v>
      </c>
      <c r="E66" s="1" t="s">
        <v>143</v>
      </c>
      <c r="F66" s="1" t="s">
        <v>198</v>
      </c>
      <c r="G66" s="1">
        <v>1676169.0</v>
      </c>
      <c r="H66" s="1">
        <v>4667.0</v>
      </c>
      <c r="I66" s="1" t="s">
        <v>16</v>
      </c>
      <c r="J66" s="1">
        <v>1.85E8</v>
      </c>
      <c r="K66" s="1">
        <v>2008.0</v>
      </c>
      <c r="L66" s="1">
        <v>9.0</v>
      </c>
      <c r="O66" s="3"/>
      <c r="S66" s="4"/>
    </row>
    <row r="67" ht="14.25" customHeight="1">
      <c r="A67" s="1" t="s">
        <v>199</v>
      </c>
      <c r="B67" s="1">
        <v>96.0</v>
      </c>
      <c r="C67" s="1">
        <v>2.92979556E8</v>
      </c>
      <c r="D67" s="1" t="s">
        <v>200</v>
      </c>
      <c r="E67" s="1" t="s">
        <v>178</v>
      </c>
      <c r="F67" s="1" t="s">
        <v>201</v>
      </c>
      <c r="G67" s="1">
        <v>665575.0</v>
      </c>
      <c r="H67" s="1">
        <v>704.0</v>
      </c>
      <c r="I67" s="1" t="s">
        <v>16</v>
      </c>
      <c r="J67" s="1">
        <v>1.75E8</v>
      </c>
      <c r="K67" s="1">
        <v>2009.0</v>
      </c>
      <c r="L67" s="1">
        <v>8.3</v>
      </c>
      <c r="O67" s="3"/>
      <c r="S67" s="4"/>
    </row>
    <row r="68" ht="14.25" customHeight="1">
      <c r="A68" s="1" t="s">
        <v>202</v>
      </c>
      <c r="B68" s="1">
        <v>94.0</v>
      </c>
      <c r="C68" s="1">
        <v>1.98332128E8</v>
      </c>
      <c r="D68" s="1" t="s">
        <v>203</v>
      </c>
      <c r="E68" s="1" t="s">
        <v>204</v>
      </c>
      <c r="F68" s="1" t="s">
        <v>205</v>
      </c>
      <c r="G68" s="1">
        <v>114553.0</v>
      </c>
      <c r="H68" s="1">
        <v>187.0</v>
      </c>
      <c r="I68" s="1" t="s">
        <v>16</v>
      </c>
      <c r="J68" s="1">
        <v>1.75E8</v>
      </c>
      <c r="K68" s="1">
        <v>2009.0</v>
      </c>
      <c r="L68" s="1">
        <v>6.5</v>
      </c>
      <c r="O68" s="3"/>
      <c r="S68" s="4"/>
    </row>
    <row r="69" ht="14.25" customHeight="1">
      <c r="A69" s="1" t="s">
        <v>206</v>
      </c>
      <c r="B69" s="1">
        <v>126.0</v>
      </c>
      <c r="C69" s="1">
        <v>3.1829818E8</v>
      </c>
      <c r="D69" s="1" t="s">
        <v>30</v>
      </c>
      <c r="E69" s="1" t="s">
        <v>96</v>
      </c>
      <c r="F69" s="1" t="s">
        <v>207</v>
      </c>
      <c r="G69" s="1">
        <v>696338.0</v>
      </c>
      <c r="H69" s="1">
        <v>1055.0</v>
      </c>
      <c r="I69" s="1" t="s">
        <v>16</v>
      </c>
      <c r="J69" s="1">
        <v>1.4E8</v>
      </c>
      <c r="K69" s="1">
        <v>2008.0</v>
      </c>
      <c r="L69" s="1">
        <v>7.9</v>
      </c>
      <c r="O69" s="3"/>
      <c r="S69" s="4"/>
    </row>
    <row r="70" ht="14.25" customHeight="1">
      <c r="A70" s="1" t="s">
        <v>208</v>
      </c>
      <c r="B70" s="1">
        <v>126.0</v>
      </c>
      <c r="C70" s="1">
        <v>7.3820094E7</v>
      </c>
      <c r="D70" s="1" t="s">
        <v>209</v>
      </c>
      <c r="E70" s="1" t="s">
        <v>210</v>
      </c>
      <c r="F70" s="1" t="s">
        <v>211</v>
      </c>
      <c r="G70" s="1">
        <v>245333.0</v>
      </c>
      <c r="H70" s="1">
        <v>678.0</v>
      </c>
      <c r="I70" s="1" t="s">
        <v>16</v>
      </c>
      <c r="J70" s="1">
        <v>1.7E8</v>
      </c>
      <c r="K70" s="1">
        <v>2011.0</v>
      </c>
      <c r="L70" s="1">
        <v>7.5</v>
      </c>
      <c r="O70" s="3"/>
      <c r="S70" s="4"/>
    </row>
    <row r="71" ht="14.25" customHeight="1">
      <c r="A71" s="1" t="s">
        <v>69</v>
      </c>
      <c r="B71" s="1">
        <v>106.0</v>
      </c>
      <c r="C71" s="1">
        <v>1.13745408E8</v>
      </c>
      <c r="D71" s="1" t="s">
        <v>212</v>
      </c>
      <c r="E71" s="1" t="s">
        <v>71</v>
      </c>
      <c r="F71" s="1" t="s">
        <v>213</v>
      </c>
      <c r="G71" s="1">
        <v>129601.0</v>
      </c>
      <c r="H71" s="1">
        <v>648.0</v>
      </c>
      <c r="I71" s="1" t="s">
        <v>16</v>
      </c>
      <c r="J71" s="1">
        <v>1.7E8</v>
      </c>
      <c r="K71" s="1">
        <v>1999.0</v>
      </c>
      <c r="L71" s="1">
        <v>4.8</v>
      </c>
      <c r="O71" s="3"/>
      <c r="S71" s="4"/>
    </row>
    <row r="72" ht="14.25" customHeight="1">
      <c r="A72" s="1" t="s">
        <v>214</v>
      </c>
      <c r="B72" s="1">
        <v>112.0</v>
      </c>
      <c r="C72" s="1">
        <v>1.02176165E8</v>
      </c>
      <c r="D72" s="1" t="s">
        <v>215</v>
      </c>
      <c r="E72" s="1" t="s">
        <v>216</v>
      </c>
      <c r="F72" s="1" t="s">
        <v>217</v>
      </c>
      <c r="G72" s="1">
        <v>117927.0</v>
      </c>
      <c r="H72" s="1">
        <v>501.0</v>
      </c>
      <c r="I72" s="1" t="s">
        <v>16</v>
      </c>
      <c r="J72" s="1">
        <v>1.45E8</v>
      </c>
      <c r="K72" s="1">
        <v>2008.0</v>
      </c>
      <c r="L72" s="1">
        <v>5.2</v>
      </c>
      <c r="O72" s="3"/>
      <c r="S72" s="4"/>
    </row>
    <row r="73" ht="14.25" customHeight="1">
      <c r="A73" s="1" t="s">
        <v>218</v>
      </c>
      <c r="B73" s="1">
        <v>123.0</v>
      </c>
      <c r="C73" s="1">
        <v>1.61087183E8</v>
      </c>
      <c r="D73" s="1" t="s">
        <v>219</v>
      </c>
      <c r="E73" s="1" t="s">
        <v>71</v>
      </c>
      <c r="F73" s="1" t="s">
        <v>220</v>
      </c>
      <c r="G73" s="1">
        <v>118992.0</v>
      </c>
      <c r="H73" s="1">
        <v>971.0</v>
      </c>
      <c r="I73" s="1" t="s">
        <v>16</v>
      </c>
      <c r="J73" s="1">
        <v>1.75E8</v>
      </c>
      <c r="K73" s="1">
        <v>2016.0</v>
      </c>
      <c r="L73" s="1">
        <v>6.9</v>
      </c>
      <c r="O73" s="3"/>
      <c r="S73" s="4"/>
    </row>
    <row r="74" ht="14.25" customHeight="1">
      <c r="A74" s="1" t="s">
        <v>221</v>
      </c>
      <c r="B74" s="1">
        <v>96.0</v>
      </c>
      <c r="C74" s="1">
        <v>1.0028969E8</v>
      </c>
      <c r="D74" s="1" t="s">
        <v>222</v>
      </c>
      <c r="E74" s="1" t="s">
        <v>223</v>
      </c>
      <c r="F74" s="1" t="s">
        <v>224</v>
      </c>
      <c r="G74" s="1">
        <v>115099.0</v>
      </c>
      <c r="H74" s="1">
        <v>257.0</v>
      </c>
      <c r="I74" s="1" t="s">
        <v>16</v>
      </c>
      <c r="J74" s="1">
        <v>1.75E8</v>
      </c>
      <c r="K74" s="1">
        <v>2007.0</v>
      </c>
      <c r="L74" s="1">
        <v>5.4</v>
      </c>
      <c r="O74" s="3"/>
      <c r="S74" s="4"/>
    </row>
    <row r="75" ht="14.25" customHeight="1">
      <c r="A75" s="1" t="s">
        <v>225</v>
      </c>
      <c r="B75" s="1">
        <v>113.0</v>
      </c>
      <c r="C75" s="1">
        <v>1.00189501E8</v>
      </c>
      <c r="D75" s="1" t="s">
        <v>30</v>
      </c>
      <c r="E75" s="1" t="s">
        <v>226</v>
      </c>
      <c r="F75" s="1" t="s">
        <v>227</v>
      </c>
      <c r="G75" s="1">
        <v>431620.0</v>
      </c>
      <c r="H75" s="1">
        <v>741.0</v>
      </c>
      <c r="I75" s="1" t="s">
        <v>16</v>
      </c>
      <c r="J75" s="1">
        <v>1.78E8</v>
      </c>
      <c r="K75" s="1">
        <v>2014.0</v>
      </c>
      <c r="L75" s="1">
        <v>7.9</v>
      </c>
      <c r="O75" s="3"/>
      <c r="S75" s="4"/>
    </row>
    <row r="76" ht="14.25" customHeight="1">
      <c r="A76" s="1" t="s">
        <v>228</v>
      </c>
      <c r="B76" s="1">
        <v>176.0</v>
      </c>
      <c r="C76" s="1">
        <v>8.824622E7</v>
      </c>
      <c r="D76" s="1" t="s">
        <v>99</v>
      </c>
      <c r="E76" s="1" t="s">
        <v>229</v>
      </c>
      <c r="F76" s="1" t="s">
        <v>230</v>
      </c>
      <c r="G76" s="1">
        <v>144337.0</v>
      </c>
      <c r="H76" s="1">
        <v>309.0</v>
      </c>
      <c r="I76" s="1" t="s">
        <v>16</v>
      </c>
      <c r="J76" s="1">
        <v>1.75E8</v>
      </c>
      <c r="K76" s="1">
        <v>1995.0</v>
      </c>
      <c r="L76" s="1">
        <v>6.1</v>
      </c>
      <c r="O76" s="3"/>
      <c r="S76" s="4"/>
    </row>
    <row r="77" ht="14.25" customHeight="1">
      <c r="A77" s="1" t="s">
        <v>231</v>
      </c>
      <c r="B77" s="1">
        <v>118.0</v>
      </c>
      <c r="C77" s="1">
        <v>1.5016763E8</v>
      </c>
      <c r="D77" s="1" t="s">
        <v>99</v>
      </c>
      <c r="E77" s="1" t="s">
        <v>232</v>
      </c>
      <c r="F77" s="1" t="s">
        <v>233</v>
      </c>
      <c r="G77" s="1">
        <v>174578.0</v>
      </c>
      <c r="H77" s="1">
        <v>534.0</v>
      </c>
      <c r="I77" s="1" t="s">
        <v>16</v>
      </c>
      <c r="J77" s="1">
        <v>1.75E8</v>
      </c>
      <c r="K77" s="1">
        <v>2009.0</v>
      </c>
      <c r="L77" s="1">
        <v>5.8</v>
      </c>
      <c r="O77" s="3"/>
      <c r="S77" s="4"/>
    </row>
    <row r="78" ht="14.25" customHeight="1">
      <c r="A78" s="1" t="s">
        <v>199</v>
      </c>
      <c r="B78" s="1">
        <v>95.0</v>
      </c>
      <c r="C78" s="1">
        <v>3.56454367E8</v>
      </c>
      <c r="D78" s="1" t="s">
        <v>234</v>
      </c>
      <c r="E78" s="1" t="s">
        <v>204</v>
      </c>
      <c r="F78" s="1" t="s">
        <v>235</v>
      </c>
      <c r="G78" s="1">
        <v>345198.0</v>
      </c>
      <c r="H78" s="1">
        <v>773.0</v>
      </c>
      <c r="I78" s="1" t="s">
        <v>16</v>
      </c>
      <c r="J78" s="1">
        <v>1.75E8</v>
      </c>
      <c r="K78" s="1">
        <v>2015.0</v>
      </c>
      <c r="L78" s="1">
        <v>8.3</v>
      </c>
      <c r="O78" s="3"/>
      <c r="S78" s="4"/>
    </row>
    <row r="79" ht="14.25" customHeight="1">
      <c r="A79" s="1" t="s">
        <v>206</v>
      </c>
      <c r="B79" s="1">
        <v>106.0</v>
      </c>
      <c r="C79" s="1">
        <v>3.62645141E8</v>
      </c>
      <c r="D79" s="1" t="s">
        <v>236</v>
      </c>
      <c r="E79" s="1" t="s">
        <v>237</v>
      </c>
      <c r="F79" s="1" t="s">
        <v>238</v>
      </c>
      <c r="G79" s="1">
        <v>106072.0</v>
      </c>
      <c r="H79" s="1">
        <v>398.0</v>
      </c>
      <c r="I79" s="1" t="s">
        <v>16</v>
      </c>
      <c r="J79" s="1">
        <v>1.75E8</v>
      </c>
      <c r="K79" s="1">
        <v>2016.0</v>
      </c>
      <c r="L79" s="1">
        <v>7.8</v>
      </c>
      <c r="O79" s="3"/>
      <c r="S79" s="4"/>
    </row>
    <row r="80" ht="14.25" customHeight="1">
      <c r="A80" s="1" t="s">
        <v>206</v>
      </c>
      <c r="B80" s="1">
        <v>124.0</v>
      </c>
      <c r="C80" s="1">
        <v>3.12057433E8</v>
      </c>
      <c r="D80" s="1" t="s">
        <v>30</v>
      </c>
      <c r="E80" s="1" t="s">
        <v>96</v>
      </c>
      <c r="F80" s="1" t="s">
        <v>239</v>
      </c>
      <c r="G80" s="1">
        <v>522371.0</v>
      </c>
      <c r="H80" s="1">
        <v>723.0</v>
      </c>
      <c r="I80" s="1" t="s">
        <v>16</v>
      </c>
      <c r="J80" s="1">
        <v>2.0E8</v>
      </c>
      <c r="K80" s="1">
        <v>2010.0</v>
      </c>
      <c r="L80" s="1">
        <v>7.0</v>
      </c>
      <c r="O80" s="3"/>
      <c r="S80" s="4"/>
    </row>
    <row r="81" ht="14.25" customHeight="1">
      <c r="A81" s="1" t="s">
        <v>240</v>
      </c>
      <c r="B81" s="1">
        <v>132.0</v>
      </c>
      <c r="C81" s="1">
        <v>1.55111815E8</v>
      </c>
      <c r="D81" s="1" t="s">
        <v>241</v>
      </c>
      <c r="E81" s="1" t="s">
        <v>42</v>
      </c>
      <c r="F81" s="1" t="s">
        <v>242</v>
      </c>
      <c r="G81" s="1">
        <v>228554.0</v>
      </c>
      <c r="H81" s="1">
        <v>710.0</v>
      </c>
      <c r="I81" s="1" t="s">
        <v>16</v>
      </c>
      <c r="J81" s="1">
        <v>1.7E8</v>
      </c>
      <c r="K81" s="1">
        <v>2012.0</v>
      </c>
      <c r="L81" s="1">
        <v>6.1</v>
      </c>
      <c r="O81" s="3"/>
      <c r="S81" s="4"/>
    </row>
    <row r="82" ht="14.25" customHeight="1">
      <c r="A82" s="1" t="s">
        <v>243</v>
      </c>
      <c r="B82" s="1">
        <v>97.0</v>
      </c>
      <c r="C82" s="1">
        <v>2.41407328E8</v>
      </c>
      <c r="D82" s="1" t="s">
        <v>244</v>
      </c>
      <c r="E82" s="1" t="s">
        <v>245</v>
      </c>
      <c r="F82" s="1" t="s">
        <v>246</v>
      </c>
      <c r="G82" s="1">
        <v>252257.0</v>
      </c>
      <c r="H82" s="1">
        <v>634.0</v>
      </c>
      <c r="I82" s="1" t="s">
        <v>16</v>
      </c>
      <c r="J82" s="1">
        <v>1.8E8</v>
      </c>
      <c r="K82" s="1">
        <v>2014.0</v>
      </c>
      <c r="L82" s="1">
        <v>7.0</v>
      </c>
      <c r="O82" s="3"/>
      <c r="S82" s="4"/>
    </row>
    <row r="83" ht="14.25" customHeight="1">
      <c r="A83" s="1" t="s">
        <v>247</v>
      </c>
      <c r="B83" s="1">
        <v>130.0</v>
      </c>
      <c r="C83" s="1">
        <v>2.08543795E8</v>
      </c>
      <c r="D83" s="1" t="s">
        <v>248</v>
      </c>
      <c r="E83" s="1" t="s">
        <v>249</v>
      </c>
      <c r="F83" s="1" t="s">
        <v>250</v>
      </c>
      <c r="G83" s="1">
        <v>317542.0</v>
      </c>
      <c r="H83" s="1">
        <v>620.0</v>
      </c>
      <c r="I83" s="1" t="s">
        <v>16</v>
      </c>
      <c r="J83" s="1">
        <v>1.7E8</v>
      </c>
      <c r="K83" s="1">
        <v>2014.0</v>
      </c>
      <c r="L83" s="1">
        <v>7.6</v>
      </c>
      <c r="O83" s="3"/>
      <c r="S83" s="4"/>
    </row>
    <row r="84" ht="14.25" customHeight="1">
      <c r="A84" s="1" t="s">
        <v>251</v>
      </c>
      <c r="B84" s="1">
        <v>128.0</v>
      </c>
      <c r="C84" s="1">
        <v>3.8297305E7</v>
      </c>
      <c r="D84" s="1" t="s">
        <v>241</v>
      </c>
      <c r="E84" s="1" t="s">
        <v>252</v>
      </c>
      <c r="F84" s="1" t="s">
        <v>253</v>
      </c>
      <c r="G84" s="1">
        <v>116994.0</v>
      </c>
      <c r="H84" s="1">
        <v>324.0</v>
      </c>
      <c r="I84" s="1" t="s">
        <v>16</v>
      </c>
      <c r="J84" s="1">
        <v>1.75E8</v>
      </c>
      <c r="K84" s="1">
        <v>2013.0</v>
      </c>
      <c r="L84" s="1">
        <v>6.3</v>
      </c>
      <c r="O84" s="3"/>
      <c r="S84" s="4"/>
    </row>
    <row r="85" ht="14.25" customHeight="1">
      <c r="A85" s="1" t="s">
        <v>95</v>
      </c>
      <c r="B85" s="1">
        <v>136.0</v>
      </c>
      <c r="C85" s="1">
        <v>2.59746958E8</v>
      </c>
      <c r="D85" s="1" t="s">
        <v>30</v>
      </c>
      <c r="E85" s="1" t="s">
        <v>237</v>
      </c>
      <c r="F85" s="1" t="s">
        <v>254</v>
      </c>
      <c r="G85" s="1">
        <v>496749.0</v>
      </c>
      <c r="H85" s="1">
        <v>742.0</v>
      </c>
      <c r="I85" s="1" t="s">
        <v>16</v>
      </c>
      <c r="J85" s="1">
        <v>1.7E8</v>
      </c>
      <c r="K85" s="1">
        <v>2014.0</v>
      </c>
      <c r="L85" s="1">
        <v>7.8</v>
      </c>
      <c r="O85" s="3"/>
      <c r="S85" s="4"/>
    </row>
    <row r="86" ht="14.25" customHeight="1">
      <c r="A86" s="1" t="s">
        <v>255</v>
      </c>
      <c r="B86" s="1">
        <v>93.0</v>
      </c>
      <c r="C86" s="1">
        <v>2.38371987E8</v>
      </c>
      <c r="D86" s="1" t="s">
        <v>118</v>
      </c>
      <c r="E86" s="1" t="s">
        <v>256</v>
      </c>
      <c r="F86" s="1" t="s">
        <v>257</v>
      </c>
      <c r="G86" s="1">
        <v>138661.0</v>
      </c>
      <c r="H86" s="1">
        <v>173.0</v>
      </c>
      <c r="I86" s="1" t="s">
        <v>16</v>
      </c>
      <c r="J86" s="1">
        <v>1.65E8</v>
      </c>
      <c r="K86" s="1">
        <v>2010.0</v>
      </c>
      <c r="L86" s="1">
        <v>6.4</v>
      </c>
      <c r="O86" s="3"/>
      <c r="S86" s="4"/>
    </row>
    <row r="87" ht="14.25" customHeight="1">
      <c r="A87" s="1" t="s">
        <v>258</v>
      </c>
      <c r="B87" s="1">
        <v>130.0</v>
      </c>
      <c r="C87" s="1">
        <v>9.3417865E7</v>
      </c>
      <c r="D87" s="1" t="s">
        <v>259</v>
      </c>
      <c r="E87" s="1" t="s">
        <v>260</v>
      </c>
      <c r="F87" s="1" t="s">
        <v>261</v>
      </c>
      <c r="G87" s="1">
        <v>128306.0</v>
      </c>
      <c r="H87" s="1">
        <v>497.0</v>
      </c>
      <c r="I87" s="1" t="s">
        <v>16</v>
      </c>
      <c r="J87" s="1">
        <v>1.9E8</v>
      </c>
      <c r="K87" s="1">
        <v>2015.0</v>
      </c>
      <c r="L87" s="1">
        <v>6.5</v>
      </c>
      <c r="O87" s="3"/>
      <c r="S87" s="4"/>
    </row>
    <row r="88" ht="14.25" customHeight="1">
      <c r="A88" s="1" t="s">
        <v>262</v>
      </c>
      <c r="B88" s="1">
        <v>102.0</v>
      </c>
      <c r="C88" s="1">
        <v>2.22487711E8</v>
      </c>
      <c r="D88" s="1" t="s">
        <v>263</v>
      </c>
      <c r="E88" s="1" t="s">
        <v>264</v>
      </c>
      <c r="F88" s="1" t="s">
        <v>265</v>
      </c>
      <c r="G88" s="1">
        <v>279093.0</v>
      </c>
      <c r="H88" s="1">
        <v>433.0</v>
      </c>
      <c r="I88" s="1" t="s">
        <v>16</v>
      </c>
      <c r="J88" s="1">
        <v>1.65E8</v>
      </c>
      <c r="K88" s="1">
        <v>2014.0</v>
      </c>
      <c r="L88" s="1">
        <v>7.9</v>
      </c>
      <c r="O88" s="3"/>
      <c r="S88" s="4"/>
    </row>
    <row r="89" ht="14.25" customHeight="1">
      <c r="A89" s="1" t="s">
        <v>266</v>
      </c>
      <c r="B89" s="1">
        <v>101.0</v>
      </c>
      <c r="C89" s="1">
        <v>1.89412677E8</v>
      </c>
      <c r="D89" s="1" t="s">
        <v>267</v>
      </c>
      <c r="E89" s="1" t="s">
        <v>268</v>
      </c>
      <c r="F89" s="1" t="s">
        <v>269</v>
      </c>
      <c r="G89" s="1">
        <v>272534.0</v>
      </c>
      <c r="H89" s="1">
        <v>345.0</v>
      </c>
      <c r="I89" s="1" t="s">
        <v>16</v>
      </c>
      <c r="J89" s="1">
        <v>1.65E8</v>
      </c>
      <c r="K89" s="1">
        <v>2012.0</v>
      </c>
      <c r="L89" s="1">
        <v>7.8</v>
      </c>
      <c r="O89" s="3"/>
      <c r="S89" s="4"/>
    </row>
    <row r="90" ht="14.25" customHeight="1">
      <c r="A90" s="1" t="s">
        <v>186</v>
      </c>
      <c r="B90" s="1">
        <v>100.0</v>
      </c>
      <c r="C90" s="1">
        <v>665426.0</v>
      </c>
      <c r="D90" s="1" t="s">
        <v>270</v>
      </c>
      <c r="E90" s="1" t="s">
        <v>140</v>
      </c>
      <c r="F90" s="1" t="s">
        <v>271</v>
      </c>
      <c r="G90" s="1">
        <v>120798.0</v>
      </c>
      <c r="H90" s="1">
        <v>444.0</v>
      </c>
      <c r="I90" s="1" t="s">
        <v>16</v>
      </c>
      <c r="J90" s="1">
        <v>1.65E8</v>
      </c>
      <c r="K90" s="1">
        <v>2004.0</v>
      </c>
      <c r="L90" s="1">
        <v>6.6</v>
      </c>
      <c r="O90" s="3"/>
      <c r="S90" s="4"/>
    </row>
    <row r="91" ht="14.25" customHeight="1">
      <c r="A91" s="1" t="s">
        <v>183</v>
      </c>
      <c r="B91" s="1">
        <v>120.0</v>
      </c>
      <c r="C91" s="1">
        <v>1.02315545E8</v>
      </c>
      <c r="D91" s="1" t="s">
        <v>30</v>
      </c>
      <c r="E91" s="1" t="s">
        <v>272</v>
      </c>
      <c r="F91" s="1" t="s">
        <v>273</v>
      </c>
      <c r="G91" s="1">
        <v>58137.0</v>
      </c>
      <c r="H91" s="1">
        <v>520.0</v>
      </c>
      <c r="I91" s="1" t="s">
        <v>16</v>
      </c>
      <c r="J91" s="1">
        <v>1.65E8</v>
      </c>
      <c r="K91" s="1">
        <v>2016.0</v>
      </c>
      <c r="L91" s="1">
        <v>5.5</v>
      </c>
      <c r="O91" s="3"/>
      <c r="S91" s="4"/>
    </row>
    <row r="92" ht="14.25" customHeight="1">
      <c r="A92" s="1" t="s">
        <v>274</v>
      </c>
      <c r="B92" s="1">
        <v>98.0</v>
      </c>
      <c r="C92" s="1">
        <v>2.17387997E8</v>
      </c>
      <c r="D92" s="1" t="s">
        <v>270</v>
      </c>
      <c r="E92" s="1" t="s">
        <v>275</v>
      </c>
      <c r="F92" s="1" t="s">
        <v>276</v>
      </c>
      <c r="G92" s="1">
        <v>485430.0</v>
      </c>
      <c r="H92" s="1">
        <v>492.0</v>
      </c>
      <c r="I92" s="1" t="s">
        <v>16</v>
      </c>
      <c r="J92" s="1">
        <v>1.65E8</v>
      </c>
      <c r="K92" s="1">
        <v>2010.0</v>
      </c>
      <c r="L92" s="1">
        <v>8.2</v>
      </c>
      <c r="O92" s="3"/>
      <c r="S92" s="4"/>
    </row>
    <row r="93" ht="14.25" customHeight="1">
      <c r="A93" s="1" t="s">
        <v>277</v>
      </c>
      <c r="B93" s="1">
        <v>109.0</v>
      </c>
      <c r="C93" s="1">
        <v>1.50350192E8</v>
      </c>
      <c r="D93" s="1" t="s">
        <v>278</v>
      </c>
      <c r="E93" s="1" t="s">
        <v>279</v>
      </c>
      <c r="F93" s="1" t="s">
        <v>280</v>
      </c>
      <c r="G93" s="1">
        <v>305340.0</v>
      </c>
      <c r="H93" s="1">
        <v>1676.0</v>
      </c>
      <c r="I93" s="1" t="s">
        <v>16</v>
      </c>
      <c r="J93" s="1">
        <v>2.0E8</v>
      </c>
      <c r="K93" s="1">
        <v>2003.0</v>
      </c>
      <c r="L93" s="1">
        <v>6.4</v>
      </c>
      <c r="O93" s="3"/>
      <c r="S93" s="4"/>
    </row>
    <row r="94" ht="14.25" customHeight="1">
      <c r="A94" s="1" t="s">
        <v>281</v>
      </c>
      <c r="B94" s="1">
        <v>121.0</v>
      </c>
      <c r="C94" s="1">
        <v>3.33130696E8</v>
      </c>
      <c r="D94" s="1" t="s">
        <v>30</v>
      </c>
      <c r="E94" s="1" t="s">
        <v>282</v>
      </c>
      <c r="F94" s="1" t="s">
        <v>283</v>
      </c>
      <c r="G94" s="1">
        <v>682155.0</v>
      </c>
      <c r="H94" s="1">
        <v>1097.0</v>
      </c>
      <c r="I94" s="1" t="s">
        <v>16</v>
      </c>
      <c r="J94" s="1">
        <v>1.7E8</v>
      </c>
      <c r="K94" s="1">
        <v>2014.0</v>
      </c>
      <c r="L94" s="1">
        <v>8.1</v>
      </c>
      <c r="O94" s="3"/>
      <c r="S94" s="4"/>
    </row>
    <row r="95" ht="14.25" customHeight="1">
      <c r="A95" s="1" t="s">
        <v>25</v>
      </c>
      <c r="B95" s="1">
        <v>169.0</v>
      </c>
      <c r="C95" s="1">
        <v>1.87991439E8</v>
      </c>
      <c r="D95" s="1" t="s">
        <v>284</v>
      </c>
      <c r="E95" s="1" t="s">
        <v>285</v>
      </c>
      <c r="F95" s="1" t="s">
        <v>286</v>
      </c>
      <c r="G95" s="1">
        <v>928227.0</v>
      </c>
      <c r="H95" s="1">
        <v>2725.0</v>
      </c>
      <c r="I95" s="1" t="s">
        <v>16</v>
      </c>
      <c r="J95" s="1">
        <v>1.65E8</v>
      </c>
      <c r="K95" s="1">
        <v>2014.0</v>
      </c>
      <c r="L95" s="1">
        <v>8.6</v>
      </c>
      <c r="O95" s="3"/>
      <c r="S95" s="4"/>
    </row>
    <row r="96" ht="14.25" customHeight="1">
      <c r="A96" s="1" t="s">
        <v>25</v>
      </c>
      <c r="B96" s="1">
        <v>148.0</v>
      </c>
      <c r="C96" s="1">
        <v>2.92568851E8</v>
      </c>
      <c r="D96" s="1" t="s">
        <v>99</v>
      </c>
      <c r="E96" s="1" t="s">
        <v>93</v>
      </c>
      <c r="F96" s="1" t="s">
        <v>287</v>
      </c>
      <c r="G96" s="1">
        <v>1468200.0</v>
      </c>
      <c r="H96" s="1">
        <v>2803.0</v>
      </c>
      <c r="I96" s="1" t="s">
        <v>16</v>
      </c>
      <c r="J96" s="1">
        <v>1.6E8</v>
      </c>
      <c r="K96" s="1">
        <v>2010.0</v>
      </c>
      <c r="L96" s="1">
        <v>8.8</v>
      </c>
      <c r="O96" s="3"/>
      <c r="S96" s="4"/>
    </row>
    <row r="97" ht="14.25" customHeight="1">
      <c r="A97" s="1" t="s">
        <v>73</v>
      </c>
      <c r="B97" s="1">
        <v>182.0</v>
      </c>
      <c r="C97" s="1">
        <v>3.03001229E8</v>
      </c>
      <c r="D97" s="1" t="s">
        <v>74</v>
      </c>
      <c r="E97" s="1" t="s">
        <v>75</v>
      </c>
      <c r="F97" s="1" t="s">
        <v>288</v>
      </c>
      <c r="G97" s="1">
        <v>637246.0</v>
      </c>
      <c r="H97" s="1">
        <v>1367.0</v>
      </c>
      <c r="I97" s="1" t="s">
        <v>16</v>
      </c>
      <c r="J97" s="1">
        <v>1.8E8</v>
      </c>
      <c r="K97" s="1">
        <v>2012.0</v>
      </c>
      <c r="L97" s="1">
        <v>7.9</v>
      </c>
      <c r="O97" s="3"/>
      <c r="S97" s="4"/>
    </row>
    <row r="98" ht="14.25" customHeight="1">
      <c r="A98" s="1" t="s">
        <v>214</v>
      </c>
      <c r="B98" s="1">
        <v>106.0</v>
      </c>
      <c r="C98" s="1">
        <v>1.4451231E8</v>
      </c>
      <c r="D98" s="1" t="s">
        <v>146</v>
      </c>
      <c r="E98" s="1" t="s">
        <v>289</v>
      </c>
      <c r="F98" s="1" t="s">
        <v>290</v>
      </c>
      <c r="G98" s="1">
        <v>272223.0</v>
      </c>
      <c r="H98" s="1">
        <v>988.0</v>
      </c>
      <c r="I98" s="1" t="s">
        <v>16</v>
      </c>
      <c r="J98" s="1">
        <v>3.8E7</v>
      </c>
      <c r="K98" s="1">
        <v>2001.0</v>
      </c>
      <c r="L98" s="1">
        <v>6.7</v>
      </c>
      <c r="O98" s="3"/>
      <c r="S98" s="4"/>
    </row>
    <row r="99" ht="14.25" customHeight="1">
      <c r="A99" s="1" t="s">
        <v>291</v>
      </c>
      <c r="B99" s="1">
        <v>166.0</v>
      </c>
      <c r="C99" s="1">
        <v>1.27490802E8</v>
      </c>
      <c r="D99" s="1" t="s">
        <v>292</v>
      </c>
      <c r="E99" s="1" t="s">
        <v>293</v>
      </c>
      <c r="F99" s="1" t="s">
        <v>294</v>
      </c>
      <c r="G99" s="1">
        <v>459346.0</v>
      </c>
      <c r="H99" s="1">
        <v>822.0</v>
      </c>
      <c r="I99" s="1" t="s">
        <v>16</v>
      </c>
      <c r="J99" s="1">
        <v>1.5E8</v>
      </c>
      <c r="K99" s="1">
        <v>2008.0</v>
      </c>
      <c r="L99" s="1">
        <v>7.8</v>
      </c>
      <c r="O99" s="3"/>
      <c r="S99" s="4"/>
    </row>
    <row r="100" ht="14.25" customHeight="1">
      <c r="A100" s="1" t="s">
        <v>295</v>
      </c>
      <c r="B100" s="1">
        <v>132.0</v>
      </c>
      <c r="C100" s="1">
        <v>1.46405371E8</v>
      </c>
      <c r="D100" s="1" t="s">
        <v>30</v>
      </c>
      <c r="E100" s="1" t="s">
        <v>152</v>
      </c>
      <c r="F100" s="1" t="s">
        <v>296</v>
      </c>
      <c r="G100" s="1">
        <v>518537.0</v>
      </c>
      <c r="H100" s="1">
        <v>698.0</v>
      </c>
      <c r="I100" s="1" t="s">
        <v>16</v>
      </c>
      <c r="J100" s="1">
        <v>1.6E8</v>
      </c>
      <c r="K100" s="1">
        <v>2011.0</v>
      </c>
      <c r="L100" s="1">
        <v>7.8</v>
      </c>
      <c r="O100" s="3"/>
      <c r="S100" s="4"/>
    </row>
    <row r="101" ht="14.25" customHeight="1">
      <c r="A101" s="1" t="s">
        <v>297</v>
      </c>
      <c r="B101" s="1">
        <v>137.0</v>
      </c>
      <c r="C101" s="1">
        <v>2.81666058E8</v>
      </c>
      <c r="D101" s="1" t="s">
        <v>298</v>
      </c>
      <c r="E101" s="1" t="s">
        <v>152</v>
      </c>
      <c r="F101" s="1" t="s">
        <v>299</v>
      </c>
      <c r="G101" s="1">
        <v>166137.0</v>
      </c>
      <c r="H101" s="1">
        <v>383.0</v>
      </c>
      <c r="I101" s="1" t="s">
        <v>16</v>
      </c>
      <c r="J101" s="1">
        <v>1.6E8</v>
      </c>
      <c r="K101" s="1">
        <v>2015.0</v>
      </c>
      <c r="L101" s="1">
        <v>6.6</v>
      </c>
      <c r="O101" s="3"/>
      <c r="S101" s="4"/>
    </row>
    <row r="102" ht="14.25" customHeight="1">
      <c r="A102" s="1" t="s">
        <v>300</v>
      </c>
      <c r="B102" s="1">
        <v>109.0</v>
      </c>
      <c r="C102" s="1">
        <v>6.3143812E7</v>
      </c>
      <c r="D102" s="1" t="s">
        <v>63</v>
      </c>
      <c r="E102" s="1" t="s">
        <v>301</v>
      </c>
      <c r="F102" s="1" t="s">
        <v>302</v>
      </c>
      <c r="G102" s="1">
        <v>124185.0</v>
      </c>
      <c r="H102" s="1">
        <v>238.0</v>
      </c>
      <c r="I102" s="1" t="s">
        <v>16</v>
      </c>
      <c r="J102" s="1">
        <v>1.5E8</v>
      </c>
      <c r="K102" s="1">
        <v>2010.0</v>
      </c>
      <c r="L102" s="1">
        <v>6.1</v>
      </c>
      <c r="O102" s="3"/>
      <c r="S102" s="4"/>
    </row>
    <row r="103" ht="14.25" customHeight="1">
      <c r="A103" s="1" t="s">
        <v>303</v>
      </c>
      <c r="B103" s="1">
        <v>98.0</v>
      </c>
      <c r="C103" s="1">
        <v>6.0655503E7</v>
      </c>
      <c r="D103" s="1" t="s">
        <v>304</v>
      </c>
      <c r="E103" s="1" t="s">
        <v>223</v>
      </c>
      <c r="F103" s="1" t="s">
        <v>305</v>
      </c>
      <c r="G103" s="1">
        <v>82380.0</v>
      </c>
      <c r="H103" s="1">
        <v>629.0</v>
      </c>
      <c r="I103" s="1" t="s">
        <v>16</v>
      </c>
      <c r="J103" s="1">
        <v>1.6E8</v>
      </c>
      <c r="K103" s="1">
        <v>2006.0</v>
      </c>
      <c r="L103" s="1">
        <v>5.6</v>
      </c>
      <c r="O103" s="3"/>
      <c r="S103" s="4"/>
    </row>
    <row r="104" ht="14.25" customHeight="1">
      <c r="A104" s="1" t="s">
        <v>306</v>
      </c>
      <c r="B104" s="1">
        <v>113.0</v>
      </c>
      <c r="C104" s="1">
        <v>7.6846624E7</v>
      </c>
      <c r="D104" s="1" t="s">
        <v>86</v>
      </c>
      <c r="E104" s="1" t="s">
        <v>19</v>
      </c>
      <c r="F104" s="1" t="s">
        <v>307</v>
      </c>
      <c r="G104" s="1">
        <v>21352.0</v>
      </c>
      <c r="H104" s="1">
        <v>131.0</v>
      </c>
      <c r="I104" s="1" t="s">
        <v>16</v>
      </c>
      <c r="J104" s="1">
        <v>1.7E8</v>
      </c>
      <c r="K104" s="1">
        <v>2016.0</v>
      </c>
      <c r="L104" s="1">
        <v>6.4</v>
      </c>
      <c r="O104" s="3"/>
      <c r="S104" s="4"/>
    </row>
    <row r="105" ht="14.25" customHeight="1">
      <c r="A105" s="1" t="s">
        <v>308</v>
      </c>
      <c r="B105" s="1">
        <v>93.0</v>
      </c>
      <c r="C105" s="1">
        <v>3.20706665E8</v>
      </c>
      <c r="D105" s="1" t="s">
        <v>118</v>
      </c>
      <c r="E105" s="1" t="s">
        <v>309</v>
      </c>
      <c r="F105" s="1" t="s">
        <v>310</v>
      </c>
      <c r="G105" s="1">
        <v>211971.0</v>
      </c>
      <c r="H105" s="1">
        <v>326.0</v>
      </c>
      <c r="I105" s="1" t="s">
        <v>16</v>
      </c>
      <c r="J105" s="1">
        <v>1.6E8</v>
      </c>
      <c r="K105" s="1">
        <v>2007.0</v>
      </c>
      <c r="L105" s="1">
        <v>6.1</v>
      </c>
      <c r="O105" s="3"/>
      <c r="S105" s="4"/>
    </row>
    <row r="106" ht="14.25" customHeight="1">
      <c r="A106" s="1" t="s">
        <v>311</v>
      </c>
      <c r="B106" s="1">
        <v>123.0</v>
      </c>
      <c r="C106" s="1">
        <v>4.6978995E7</v>
      </c>
      <c r="D106" s="1" t="s">
        <v>18</v>
      </c>
      <c r="E106" s="1" t="s">
        <v>312</v>
      </c>
      <c r="F106" s="1" t="s">
        <v>313</v>
      </c>
      <c r="G106" s="1">
        <v>111609.0</v>
      </c>
      <c r="H106" s="1">
        <v>781.0</v>
      </c>
      <c r="I106" s="1" t="s">
        <v>16</v>
      </c>
      <c r="J106" s="1">
        <v>1.6E8</v>
      </c>
      <c r="K106" s="1">
        <v>2016.0</v>
      </c>
      <c r="L106" s="1">
        <v>7.3</v>
      </c>
      <c r="O106" s="3"/>
      <c r="S106" s="4"/>
    </row>
    <row r="107" ht="14.25" customHeight="1">
      <c r="A107" s="1" t="s">
        <v>314</v>
      </c>
      <c r="B107" s="1">
        <v>126.0</v>
      </c>
      <c r="C107" s="1">
        <v>8.9732035E7</v>
      </c>
      <c r="D107" s="1" t="s">
        <v>30</v>
      </c>
      <c r="E107" s="1" t="s">
        <v>35</v>
      </c>
      <c r="F107" s="1" t="s">
        <v>315</v>
      </c>
      <c r="G107" s="1">
        <v>188457.0</v>
      </c>
      <c r="H107" s="1">
        <v>867.0</v>
      </c>
      <c r="I107" s="1" t="s">
        <v>16</v>
      </c>
      <c r="J107" s="1">
        <v>1.55E8</v>
      </c>
      <c r="K107" s="1">
        <v>2015.0</v>
      </c>
      <c r="L107" s="1">
        <v>6.6</v>
      </c>
      <c r="O107" s="3"/>
      <c r="S107" s="4"/>
    </row>
    <row r="108" ht="14.25" customHeight="1">
      <c r="A108" s="1" t="s">
        <v>316</v>
      </c>
      <c r="B108" s="1">
        <v>113.0</v>
      </c>
      <c r="C108" s="1">
        <v>1.04383624E8</v>
      </c>
      <c r="D108" s="1" t="s">
        <v>86</v>
      </c>
      <c r="E108" s="1" t="s">
        <v>317</v>
      </c>
      <c r="F108" s="1" t="s">
        <v>318</v>
      </c>
      <c r="G108" s="1">
        <v>106446.0</v>
      </c>
      <c r="H108" s="1">
        <v>227.0</v>
      </c>
      <c r="I108" s="1" t="s">
        <v>16</v>
      </c>
      <c r="J108" s="1">
        <v>1.55E8</v>
      </c>
      <c r="K108" s="1">
        <v>2010.0</v>
      </c>
      <c r="L108" s="1">
        <v>6.3</v>
      </c>
      <c r="O108" s="3"/>
      <c r="S108" s="4"/>
    </row>
    <row r="109" ht="14.25" customHeight="1">
      <c r="A109" s="1" t="s">
        <v>121</v>
      </c>
      <c r="B109" s="1">
        <v>184.0</v>
      </c>
      <c r="C109" s="1">
        <v>1.98539855E8</v>
      </c>
      <c r="D109" s="1" t="s">
        <v>319</v>
      </c>
      <c r="E109" s="1" t="s">
        <v>320</v>
      </c>
      <c r="F109" s="1" t="s">
        <v>321</v>
      </c>
      <c r="G109" s="1">
        <v>254111.0</v>
      </c>
      <c r="H109" s="1">
        <v>1999.0</v>
      </c>
      <c r="I109" s="1" t="s">
        <v>16</v>
      </c>
      <c r="J109" s="1">
        <v>1.4E8</v>
      </c>
      <c r="K109" s="1">
        <v>2001.0</v>
      </c>
      <c r="L109" s="1">
        <v>6.1</v>
      </c>
      <c r="O109" s="3"/>
      <c r="S109" s="4"/>
    </row>
    <row r="110" ht="14.25" customHeight="1">
      <c r="A110" s="1" t="s">
        <v>121</v>
      </c>
      <c r="B110" s="1">
        <v>144.0</v>
      </c>
      <c r="C110" s="1">
        <v>3.18759914E8</v>
      </c>
      <c r="D110" s="1" t="s">
        <v>30</v>
      </c>
      <c r="E110" s="1" t="s">
        <v>322</v>
      </c>
      <c r="F110" s="1" t="s">
        <v>323</v>
      </c>
      <c r="G110" s="1">
        <v>513158.0</v>
      </c>
      <c r="H110" s="1">
        <v>1782.0</v>
      </c>
      <c r="I110" s="1" t="s">
        <v>16</v>
      </c>
      <c r="J110" s="1">
        <v>1.5E8</v>
      </c>
      <c r="K110" s="1">
        <v>2007.0</v>
      </c>
      <c r="L110" s="1">
        <v>7.1</v>
      </c>
      <c r="O110" s="3"/>
      <c r="S110" s="4"/>
    </row>
    <row r="111" ht="14.25" customHeight="1">
      <c r="A111" s="1" t="s">
        <v>324</v>
      </c>
      <c r="B111" s="1">
        <v>206.0</v>
      </c>
      <c r="C111" s="1">
        <v>3.4293771E7</v>
      </c>
      <c r="D111" s="1" t="s">
        <v>325</v>
      </c>
      <c r="E111" s="1" t="s">
        <v>326</v>
      </c>
      <c r="F111" s="1" t="s">
        <v>327</v>
      </c>
      <c r="G111" s="1">
        <v>138863.0</v>
      </c>
      <c r="H111" s="1">
        <v>1390.0</v>
      </c>
      <c r="I111" s="1" t="s">
        <v>16</v>
      </c>
      <c r="J111" s="1">
        <v>1.55E8</v>
      </c>
      <c r="K111" s="1">
        <v>2004.0</v>
      </c>
      <c r="L111" s="1">
        <v>5.5</v>
      </c>
      <c r="O111" s="3"/>
      <c r="S111" s="4"/>
    </row>
    <row r="112" ht="14.25" customHeight="1">
      <c r="A112" s="1" t="s">
        <v>44</v>
      </c>
      <c r="B112" s="1">
        <v>138.0</v>
      </c>
      <c r="C112" s="1">
        <v>2.92000866E8</v>
      </c>
      <c r="D112" s="1" t="s">
        <v>45</v>
      </c>
      <c r="E112" s="1" t="s">
        <v>328</v>
      </c>
      <c r="F112" s="1" t="s">
        <v>329</v>
      </c>
      <c r="G112" s="1">
        <v>355137.0</v>
      </c>
      <c r="H112" s="1">
        <v>1108.0</v>
      </c>
      <c r="I112" s="1" t="s">
        <v>16</v>
      </c>
      <c r="J112" s="1">
        <v>1.5E8</v>
      </c>
      <c r="K112" s="1">
        <v>2007.0</v>
      </c>
      <c r="L112" s="1">
        <v>7.5</v>
      </c>
      <c r="O112" s="3"/>
      <c r="S112" s="4"/>
    </row>
    <row r="113" ht="14.25" customHeight="1">
      <c r="A113" s="1" t="s">
        <v>161</v>
      </c>
      <c r="B113" s="1">
        <v>157.0</v>
      </c>
      <c r="C113" s="1">
        <v>2.89994397E8</v>
      </c>
      <c r="D113" s="1" t="s">
        <v>45</v>
      </c>
      <c r="E113" s="1" t="s">
        <v>328</v>
      </c>
      <c r="F113" s="1" t="s">
        <v>330</v>
      </c>
      <c r="G113" s="1">
        <v>385670.0</v>
      </c>
      <c r="H113" s="1">
        <v>1896.0</v>
      </c>
      <c r="I113" s="1" t="s">
        <v>16</v>
      </c>
      <c r="J113" s="1">
        <v>1.5E8</v>
      </c>
      <c r="K113" s="1">
        <v>2005.0</v>
      </c>
      <c r="L113" s="1">
        <v>7.6</v>
      </c>
      <c r="O113" s="3"/>
      <c r="S113" s="4"/>
    </row>
    <row r="114" ht="14.25" customHeight="1">
      <c r="A114" s="1" t="s">
        <v>98</v>
      </c>
      <c r="B114" s="1">
        <v>102.0</v>
      </c>
      <c r="C114" s="1">
        <v>2.27946274E8</v>
      </c>
      <c r="D114" s="1" t="s">
        <v>331</v>
      </c>
      <c r="E114" s="1" t="s">
        <v>71</v>
      </c>
      <c r="F114" s="1" t="s">
        <v>332</v>
      </c>
      <c r="G114" s="1">
        <v>343648.0</v>
      </c>
      <c r="H114" s="1">
        <v>590.0</v>
      </c>
      <c r="I114" s="1" t="s">
        <v>16</v>
      </c>
      <c r="J114" s="1">
        <v>1.5E8</v>
      </c>
      <c r="K114" s="1">
        <v>2008.0</v>
      </c>
      <c r="L114" s="1">
        <v>6.4</v>
      </c>
      <c r="O114" s="3"/>
      <c r="S114" s="4"/>
    </row>
    <row r="115" ht="14.25" customHeight="1">
      <c r="A115" s="1" t="s">
        <v>297</v>
      </c>
      <c r="B115" s="1">
        <v>104.0</v>
      </c>
      <c r="C115" s="1">
        <v>2.56386216E8</v>
      </c>
      <c r="D115" s="1" t="s">
        <v>333</v>
      </c>
      <c r="E115" s="1" t="s">
        <v>71</v>
      </c>
      <c r="F115" s="1" t="s">
        <v>334</v>
      </c>
      <c r="G115" s="1">
        <v>530870.0</v>
      </c>
      <c r="H115" s="1">
        <v>1413.0</v>
      </c>
      <c r="I115" s="1" t="s">
        <v>16</v>
      </c>
      <c r="J115" s="1">
        <v>1.5E8</v>
      </c>
      <c r="K115" s="1">
        <v>2007.0</v>
      </c>
      <c r="L115" s="1">
        <v>7.2</v>
      </c>
      <c r="O115" s="3"/>
      <c r="S115" s="4"/>
    </row>
    <row r="116" ht="14.25" customHeight="1">
      <c r="A116" s="1" t="s">
        <v>111</v>
      </c>
      <c r="B116" s="1">
        <v>115.0</v>
      </c>
      <c r="C116" s="1">
        <v>2.06456431E8</v>
      </c>
      <c r="D116" s="1" t="s">
        <v>335</v>
      </c>
      <c r="E116" s="1" t="s">
        <v>19</v>
      </c>
      <c r="F116" s="1" t="s">
        <v>336</v>
      </c>
      <c r="G116" s="1">
        <v>320284.0</v>
      </c>
      <c r="H116" s="1">
        <v>1361.0</v>
      </c>
      <c r="I116" s="1" t="s">
        <v>16</v>
      </c>
      <c r="J116" s="1">
        <v>1.5E8</v>
      </c>
      <c r="K116" s="1">
        <v>2005.0</v>
      </c>
      <c r="L116" s="1">
        <v>6.7</v>
      </c>
      <c r="O116" s="3"/>
      <c r="S116" s="4"/>
    </row>
    <row r="117" ht="14.25" customHeight="1">
      <c r="A117" s="1" t="s">
        <v>258</v>
      </c>
      <c r="B117" s="1">
        <v>111.0</v>
      </c>
      <c r="C117" s="1">
        <v>2.06435493E8</v>
      </c>
      <c r="D117" s="1" t="s">
        <v>337</v>
      </c>
      <c r="E117" s="1" t="s">
        <v>338</v>
      </c>
      <c r="F117" s="1" t="s">
        <v>339</v>
      </c>
      <c r="G117" s="1">
        <v>473887.0</v>
      </c>
      <c r="H117" s="1">
        <v>626.0</v>
      </c>
      <c r="I117" s="1" t="s">
        <v>16</v>
      </c>
      <c r="J117" s="1">
        <v>1.5E8</v>
      </c>
      <c r="K117" s="1">
        <v>2007.0</v>
      </c>
      <c r="L117" s="1">
        <v>8.0</v>
      </c>
      <c r="O117" s="3"/>
      <c r="S117" s="4"/>
    </row>
    <row r="118" ht="14.25" customHeight="1">
      <c r="A118" s="1" t="s">
        <v>25</v>
      </c>
      <c r="B118" s="1">
        <v>128.0</v>
      </c>
      <c r="C118" s="1">
        <v>2.05343774E8</v>
      </c>
      <c r="D118" s="1" t="s">
        <v>55</v>
      </c>
      <c r="E118" s="1" t="s">
        <v>143</v>
      </c>
      <c r="F118" s="1" t="s">
        <v>340</v>
      </c>
      <c r="G118" s="1">
        <v>980946.0</v>
      </c>
      <c r="H118" s="1">
        <v>2685.0</v>
      </c>
      <c r="I118" s="1" t="s">
        <v>16</v>
      </c>
      <c r="J118" s="1">
        <v>1.5E8</v>
      </c>
      <c r="K118" s="1">
        <v>2005.0</v>
      </c>
      <c r="L118" s="1">
        <v>8.3</v>
      </c>
      <c r="O118" s="3"/>
      <c r="S118" s="4"/>
    </row>
    <row r="119" ht="14.25" customHeight="1">
      <c r="A119" s="1" t="s">
        <v>341</v>
      </c>
      <c r="B119" s="1">
        <v>89.0</v>
      </c>
      <c r="C119" s="1">
        <v>1.79982968E8</v>
      </c>
      <c r="D119" s="1" t="s">
        <v>342</v>
      </c>
      <c r="E119" s="1" t="s">
        <v>343</v>
      </c>
      <c r="F119" s="1" t="s">
        <v>344</v>
      </c>
      <c r="G119" s="1">
        <v>146019.0</v>
      </c>
      <c r="H119" s="1">
        <v>119.0</v>
      </c>
      <c r="I119" s="1" t="s">
        <v>16</v>
      </c>
      <c r="J119" s="1">
        <v>1.5E8</v>
      </c>
      <c r="K119" s="1">
        <v>2008.0</v>
      </c>
      <c r="L119" s="1">
        <v>6.7</v>
      </c>
      <c r="O119" s="3"/>
      <c r="S119" s="4"/>
    </row>
    <row r="120" ht="14.25" customHeight="1">
      <c r="A120" s="1" t="s">
        <v>345</v>
      </c>
      <c r="B120" s="1">
        <v>105.0</v>
      </c>
      <c r="C120" s="1">
        <v>1.77243721E8</v>
      </c>
      <c r="D120" s="1" t="s">
        <v>335</v>
      </c>
      <c r="E120" s="1" t="s">
        <v>346</v>
      </c>
      <c r="F120" s="1" t="s">
        <v>347</v>
      </c>
      <c r="G120" s="1">
        <v>130272.0</v>
      </c>
      <c r="H120" s="1">
        <v>209.0</v>
      </c>
      <c r="I120" s="1" t="s">
        <v>16</v>
      </c>
      <c r="J120" s="1">
        <v>1.5E8</v>
      </c>
      <c r="K120" s="1">
        <v>2009.0</v>
      </c>
      <c r="L120" s="1">
        <v>5.9</v>
      </c>
      <c r="O120" s="3"/>
      <c r="S120" s="4"/>
    </row>
    <row r="121" ht="14.25" customHeight="1">
      <c r="A121" s="1" t="s">
        <v>348</v>
      </c>
      <c r="B121" s="1">
        <v>119.0</v>
      </c>
      <c r="C121" s="1">
        <v>1.79883016E8</v>
      </c>
      <c r="D121" s="1" t="s">
        <v>114</v>
      </c>
      <c r="E121" s="1" t="s">
        <v>115</v>
      </c>
      <c r="F121" s="1" t="s">
        <v>349</v>
      </c>
      <c r="G121" s="1">
        <v>361924.0</v>
      </c>
      <c r="H121" s="1">
        <v>641.0</v>
      </c>
      <c r="I121" s="1" t="s">
        <v>16</v>
      </c>
      <c r="J121" s="1">
        <v>1.5E8</v>
      </c>
      <c r="K121" s="1">
        <v>2009.0</v>
      </c>
      <c r="L121" s="1">
        <v>6.7</v>
      </c>
      <c r="O121" s="3"/>
      <c r="S121" s="4"/>
    </row>
    <row r="122" ht="14.25" customHeight="1">
      <c r="A122" s="1" t="s">
        <v>190</v>
      </c>
      <c r="B122" s="1">
        <v>129.0</v>
      </c>
      <c r="C122" s="1">
        <v>1.39259759E8</v>
      </c>
      <c r="D122" s="1" t="s">
        <v>278</v>
      </c>
      <c r="E122" s="1" t="s">
        <v>350</v>
      </c>
      <c r="F122" s="1" t="s">
        <v>351</v>
      </c>
      <c r="G122" s="1">
        <v>364948.0</v>
      </c>
      <c r="H122" s="1">
        <v>2121.0</v>
      </c>
      <c r="I122" s="1" t="s">
        <v>16</v>
      </c>
      <c r="J122" s="1">
        <v>1.5E8</v>
      </c>
      <c r="K122" s="1">
        <v>2003.0</v>
      </c>
      <c r="L122" s="1">
        <v>6.7</v>
      </c>
      <c r="O122" s="3"/>
      <c r="S122" s="4"/>
    </row>
    <row r="123" ht="14.25" customHeight="1">
      <c r="A123" s="1" t="s">
        <v>352</v>
      </c>
      <c r="B123" s="1">
        <v>102.0</v>
      </c>
      <c r="C123" s="1">
        <v>4.007366E8</v>
      </c>
      <c r="D123" s="1" t="s">
        <v>353</v>
      </c>
      <c r="E123" s="1" t="s">
        <v>354</v>
      </c>
      <c r="F123" s="1" t="s">
        <v>355</v>
      </c>
      <c r="G123" s="1">
        <v>421658.0</v>
      </c>
      <c r="H123" s="1">
        <v>904.0</v>
      </c>
      <c r="I123" s="1" t="s">
        <v>16</v>
      </c>
      <c r="J123" s="1">
        <v>1.5E8</v>
      </c>
      <c r="K123" s="1">
        <v>2013.0</v>
      </c>
      <c r="L123" s="1">
        <v>7.6</v>
      </c>
      <c r="O123" s="3"/>
      <c r="S123" s="4"/>
    </row>
    <row r="124" ht="14.25" customHeight="1">
      <c r="A124" s="1" t="s">
        <v>190</v>
      </c>
      <c r="B124" s="1">
        <v>138.0</v>
      </c>
      <c r="C124" s="1">
        <v>2.81492479E8</v>
      </c>
      <c r="D124" s="1" t="s">
        <v>278</v>
      </c>
      <c r="E124" s="1" t="s">
        <v>356</v>
      </c>
      <c r="F124" s="1" t="s">
        <v>357</v>
      </c>
      <c r="G124" s="1">
        <v>421818.0</v>
      </c>
      <c r="H124" s="1">
        <v>2789.0</v>
      </c>
      <c r="I124" s="1" t="s">
        <v>16</v>
      </c>
      <c r="J124" s="1">
        <v>1.5E8</v>
      </c>
      <c r="K124" s="1">
        <v>2003.0</v>
      </c>
      <c r="L124" s="1">
        <v>7.2</v>
      </c>
      <c r="O124" s="3"/>
      <c r="S124" s="4"/>
    </row>
    <row r="125" ht="14.25" customHeight="1">
      <c r="A125" s="1" t="s">
        <v>314</v>
      </c>
      <c r="B125" s="1">
        <v>112.0</v>
      </c>
      <c r="C125" s="1">
        <v>2.06360018E8</v>
      </c>
      <c r="D125" s="1" t="s">
        <v>18</v>
      </c>
      <c r="E125" s="1" t="s">
        <v>42</v>
      </c>
      <c r="F125" s="1" t="s">
        <v>358</v>
      </c>
      <c r="G125" s="1">
        <v>414070.0</v>
      </c>
      <c r="H125" s="1">
        <v>532.0</v>
      </c>
      <c r="I125" s="1" t="s">
        <v>16</v>
      </c>
      <c r="J125" s="1">
        <v>1.7E8</v>
      </c>
      <c r="K125" s="1">
        <v>2013.0</v>
      </c>
      <c r="L125" s="1">
        <v>7.1</v>
      </c>
      <c r="O125" s="3"/>
      <c r="S125" s="4"/>
    </row>
    <row r="126" ht="14.25" customHeight="1">
      <c r="A126" s="1" t="s">
        <v>359</v>
      </c>
      <c r="B126" s="1">
        <v>120.0</v>
      </c>
      <c r="C126" s="1">
        <v>1.53629485E8</v>
      </c>
      <c r="D126" s="1" t="s">
        <v>99</v>
      </c>
      <c r="E126" s="1" t="s">
        <v>27</v>
      </c>
      <c r="F126" s="1" t="s">
        <v>360</v>
      </c>
      <c r="G126" s="1">
        <v>552503.0</v>
      </c>
      <c r="H126" s="1">
        <v>1588.0</v>
      </c>
      <c r="I126" s="1" t="s">
        <v>16</v>
      </c>
      <c r="J126" s="1">
        <v>1.5E8</v>
      </c>
      <c r="K126" s="1">
        <v>2015.0</v>
      </c>
      <c r="L126" s="1">
        <v>8.1</v>
      </c>
      <c r="O126" s="3"/>
      <c r="S126" s="4"/>
    </row>
    <row r="127" ht="14.25" customHeight="1">
      <c r="A127" s="1" t="s">
        <v>361</v>
      </c>
      <c r="B127" s="1">
        <v>146.0</v>
      </c>
      <c r="C127" s="1">
        <v>1.33375846E8</v>
      </c>
      <c r="D127" s="1" t="s">
        <v>362</v>
      </c>
      <c r="E127" s="1" t="s">
        <v>140</v>
      </c>
      <c r="F127" s="1" t="s">
        <v>363</v>
      </c>
      <c r="G127" s="1">
        <v>207839.0</v>
      </c>
      <c r="H127" s="1">
        <v>435.0</v>
      </c>
      <c r="I127" s="1" t="s">
        <v>16</v>
      </c>
      <c r="J127" s="1">
        <v>1.5E8</v>
      </c>
      <c r="K127" s="1">
        <v>2009.0</v>
      </c>
      <c r="L127" s="1">
        <v>6.7</v>
      </c>
      <c r="O127" s="3"/>
      <c r="S127" s="4"/>
    </row>
    <row r="128" ht="14.25" customHeight="1">
      <c r="A128" s="1" t="s">
        <v>364</v>
      </c>
      <c r="B128" s="1">
        <v>115.0</v>
      </c>
      <c r="C128" s="1">
        <v>1.81015141E8</v>
      </c>
      <c r="D128" s="1" t="s">
        <v>18</v>
      </c>
      <c r="E128" s="1" t="s">
        <v>42</v>
      </c>
      <c r="F128" s="1" t="s">
        <v>365</v>
      </c>
      <c r="G128" s="1">
        <v>536314.0</v>
      </c>
      <c r="H128" s="1">
        <v>738.0</v>
      </c>
      <c r="I128" s="1" t="s">
        <v>16</v>
      </c>
      <c r="J128" s="1">
        <v>1.5E8</v>
      </c>
      <c r="K128" s="1">
        <v>2011.0</v>
      </c>
      <c r="L128" s="1">
        <v>7.0</v>
      </c>
      <c r="O128" s="3"/>
      <c r="S128" s="4"/>
    </row>
    <row r="129" ht="14.25" customHeight="1">
      <c r="A129" s="1" t="s">
        <v>366</v>
      </c>
      <c r="B129" s="1">
        <v>96.0</v>
      </c>
      <c r="C129" s="1">
        <v>1.14053579E8</v>
      </c>
      <c r="D129" s="1" t="s">
        <v>367</v>
      </c>
      <c r="E129" s="1" t="s">
        <v>210</v>
      </c>
      <c r="F129" s="1" t="s">
        <v>368</v>
      </c>
      <c r="G129" s="1">
        <v>146766.0</v>
      </c>
      <c r="H129" s="1">
        <v>178.0</v>
      </c>
      <c r="I129" s="1" t="s">
        <v>16</v>
      </c>
      <c r="J129" s="1">
        <v>1.5E8</v>
      </c>
      <c r="K129" s="1">
        <v>2008.0</v>
      </c>
      <c r="L129" s="1">
        <v>6.9</v>
      </c>
      <c r="O129" s="3"/>
      <c r="S129" s="4"/>
    </row>
    <row r="130" ht="14.25" customHeight="1">
      <c r="A130" s="1" t="s">
        <v>369</v>
      </c>
      <c r="B130" s="1">
        <v>88.0</v>
      </c>
      <c r="C130" s="1">
        <v>1.19420252E8</v>
      </c>
      <c r="D130" s="1" t="s">
        <v>370</v>
      </c>
      <c r="E130" s="1" t="s">
        <v>371</v>
      </c>
      <c r="F130" s="1" t="s">
        <v>372</v>
      </c>
      <c r="G130" s="1">
        <v>33042.0</v>
      </c>
      <c r="H130" s="1">
        <v>90.0</v>
      </c>
      <c r="I130" s="1" t="s">
        <v>16</v>
      </c>
      <c r="J130" s="1">
        <v>1.5E8</v>
      </c>
      <c r="K130" s="1">
        <v>2009.0</v>
      </c>
      <c r="L130" s="1">
        <v>5.1</v>
      </c>
      <c r="O130" s="3"/>
      <c r="S130" s="4"/>
    </row>
    <row r="131" ht="14.25" customHeight="1">
      <c r="A131" s="1" t="s">
        <v>373</v>
      </c>
      <c r="B131" s="1">
        <v>99.0</v>
      </c>
      <c r="C131" s="1">
        <v>8.3640426E7</v>
      </c>
      <c r="D131" s="1" t="s">
        <v>18</v>
      </c>
      <c r="E131" s="1" t="s">
        <v>100</v>
      </c>
      <c r="F131" s="1" t="s">
        <v>374</v>
      </c>
      <c r="G131" s="1">
        <v>152826.0</v>
      </c>
      <c r="H131" s="1">
        <v>253.0</v>
      </c>
      <c r="I131" s="1" t="s">
        <v>16</v>
      </c>
      <c r="J131" s="1">
        <v>1.5E8</v>
      </c>
      <c r="K131" s="1">
        <v>2012.0</v>
      </c>
      <c r="L131" s="1">
        <v>5.8</v>
      </c>
      <c r="O131" s="3"/>
      <c r="S131" s="4"/>
    </row>
    <row r="132" ht="14.25" customHeight="1">
      <c r="A132" s="1" t="s">
        <v>111</v>
      </c>
      <c r="B132" s="1">
        <v>113.0</v>
      </c>
      <c r="C132" s="1">
        <v>7.9711678E7</v>
      </c>
      <c r="D132" s="1" t="s">
        <v>375</v>
      </c>
      <c r="E132" s="1" t="s">
        <v>19</v>
      </c>
      <c r="F132" s="1" t="s">
        <v>376</v>
      </c>
      <c r="G132" s="1">
        <v>199039.0</v>
      </c>
      <c r="H132" s="1">
        <v>479.0</v>
      </c>
      <c r="I132" s="1" t="s">
        <v>16</v>
      </c>
      <c r="J132" s="1">
        <v>1.0E8</v>
      </c>
      <c r="K132" s="1">
        <v>2012.0</v>
      </c>
      <c r="L132" s="1">
        <v>6.2</v>
      </c>
      <c r="O132" s="3"/>
      <c r="S132" s="4"/>
    </row>
    <row r="133" ht="14.25" customHeight="1">
      <c r="A133" s="1" t="s">
        <v>377</v>
      </c>
      <c r="B133" s="1">
        <v>131.0</v>
      </c>
      <c r="C133" s="1">
        <v>1.95000874E8</v>
      </c>
      <c r="D133" s="1" t="s">
        <v>22</v>
      </c>
      <c r="E133" s="1" t="s">
        <v>226</v>
      </c>
      <c r="F133" s="1" t="s">
        <v>378</v>
      </c>
      <c r="G133" s="1">
        <v>232187.0</v>
      </c>
      <c r="H133" s="1">
        <v>440.0</v>
      </c>
      <c r="I133" s="1" t="s">
        <v>16</v>
      </c>
      <c r="J133" s="1">
        <v>1.5E8</v>
      </c>
      <c r="K133" s="1">
        <v>2015.0</v>
      </c>
      <c r="L133" s="1">
        <v>7.4</v>
      </c>
      <c r="O133" s="3"/>
      <c r="S133" s="4"/>
    </row>
    <row r="134" ht="14.25" customHeight="1">
      <c r="A134" s="1" t="s">
        <v>379</v>
      </c>
      <c r="B134" s="1">
        <v>119.0</v>
      </c>
      <c r="C134" s="1">
        <v>6.1937495E7</v>
      </c>
      <c r="D134" s="1" t="s">
        <v>380</v>
      </c>
      <c r="E134" s="1" t="s">
        <v>326</v>
      </c>
      <c r="F134" s="1" t="s">
        <v>381</v>
      </c>
      <c r="G134" s="1">
        <v>89442.0</v>
      </c>
      <c r="H134" s="1">
        <v>432.0</v>
      </c>
      <c r="I134" s="1" t="s">
        <v>16</v>
      </c>
      <c r="J134" s="1">
        <v>1.5E8</v>
      </c>
      <c r="K134" s="1">
        <v>2010.0</v>
      </c>
      <c r="L134" s="1">
        <v>5.8</v>
      </c>
      <c r="O134" s="3"/>
      <c r="S134" s="4"/>
    </row>
    <row r="135" ht="14.25" customHeight="1">
      <c r="A135" s="1" t="s">
        <v>382</v>
      </c>
      <c r="B135" s="1">
        <v>91.0</v>
      </c>
      <c r="C135" s="1">
        <v>1.26597121E8</v>
      </c>
      <c r="D135" s="1" t="s">
        <v>200</v>
      </c>
      <c r="E135" s="1" t="s">
        <v>383</v>
      </c>
      <c r="F135" s="1" t="s">
        <v>384</v>
      </c>
      <c r="G135" s="1">
        <v>105902.0</v>
      </c>
      <c r="H135" s="1">
        <v>206.0</v>
      </c>
      <c r="I135" s="1" t="s">
        <v>16</v>
      </c>
      <c r="J135" s="1">
        <v>1.5E8</v>
      </c>
      <c r="K135" s="1">
        <v>2007.0</v>
      </c>
      <c r="L135" s="1">
        <v>6.2</v>
      </c>
      <c r="O135" s="3"/>
      <c r="S135" s="4"/>
    </row>
    <row r="136" ht="14.25" customHeight="1">
      <c r="A136" s="1" t="s">
        <v>385</v>
      </c>
      <c r="B136" s="1">
        <v>90.0</v>
      </c>
      <c r="C136" s="1">
        <v>1.65230261E8</v>
      </c>
      <c r="D136" s="1" t="s">
        <v>342</v>
      </c>
      <c r="E136" s="1" t="s">
        <v>245</v>
      </c>
      <c r="F136" s="1" t="s">
        <v>386</v>
      </c>
      <c r="G136" s="1">
        <v>182718.0</v>
      </c>
      <c r="H136" s="1">
        <v>209.0</v>
      </c>
      <c r="I136" s="1" t="s">
        <v>16</v>
      </c>
      <c r="J136" s="1">
        <v>1.5E8</v>
      </c>
      <c r="K136" s="1">
        <v>2011.0</v>
      </c>
      <c r="L136" s="1">
        <v>7.3</v>
      </c>
      <c r="O136" s="3"/>
      <c r="S136" s="4"/>
    </row>
    <row r="137" ht="14.25" customHeight="1">
      <c r="A137" s="1" t="s">
        <v>387</v>
      </c>
      <c r="B137" s="1">
        <v>103.0</v>
      </c>
      <c r="C137" s="1">
        <v>1.31564731E8</v>
      </c>
      <c r="D137" s="1" t="s">
        <v>63</v>
      </c>
      <c r="E137" s="1" t="s">
        <v>388</v>
      </c>
      <c r="F137" s="1" t="s">
        <v>389</v>
      </c>
      <c r="G137" s="1">
        <v>118951.0</v>
      </c>
      <c r="H137" s="1">
        <v>1382.0</v>
      </c>
      <c r="I137" s="1" t="s">
        <v>16</v>
      </c>
      <c r="J137" s="1">
        <v>1.5E8</v>
      </c>
      <c r="K137" s="1">
        <v>2010.0</v>
      </c>
      <c r="L137" s="1">
        <v>4.2</v>
      </c>
      <c r="O137" s="3"/>
      <c r="S137" s="4"/>
    </row>
    <row r="138" ht="14.25" customHeight="1">
      <c r="A138" s="1" t="s">
        <v>154</v>
      </c>
      <c r="B138" s="1">
        <v>124.0</v>
      </c>
      <c r="C138" s="1">
        <v>1.33382309E8</v>
      </c>
      <c r="D138" s="1" t="s">
        <v>22</v>
      </c>
      <c r="E138" s="1" t="s">
        <v>390</v>
      </c>
      <c r="F138" s="1" t="s">
        <v>391</v>
      </c>
      <c r="G138" s="1">
        <v>256695.0</v>
      </c>
      <c r="H138" s="1">
        <v>871.0</v>
      </c>
      <c r="I138" s="1" t="s">
        <v>16</v>
      </c>
      <c r="J138" s="1">
        <v>1.5E8</v>
      </c>
      <c r="K138" s="1">
        <v>2006.0</v>
      </c>
      <c r="L138" s="1">
        <v>6.9</v>
      </c>
      <c r="O138" s="3"/>
      <c r="S138" s="4"/>
    </row>
    <row r="139" ht="14.25" customHeight="1">
      <c r="A139" s="1" t="s">
        <v>183</v>
      </c>
      <c r="B139" s="1">
        <v>131.0</v>
      </c>
      <c r="C139" s="1">
        <v>7.3103784E7</v>
      </c>
      <c r="D139" s="1" t="s">
        <v>392</v>
      </c>
      <c r="E139" s="1" t="s">
        <v>191</v>
      </c>
      <c r="F139" s="1" t="s">
        <v>393</v>
      </c>
      <c r="G139" s="1">
        <v>164238.0</v>
      </c>
      <c r="H139" s="1">
        <v>434.0</v>
      </c>
      <c r="I139" s="1" t="s">
        <v>16</v>
      </c>
      <c r="J139" s="1">
        <v>1.5E8</v>
      </c>
      <c r="K139" s="1">
        <v>2013.0</v>
      </c>
      <c r="L139" s="1">
        <v>6.4</v>
      </c>
      <c r="O139" s="3"/>
      <c r="S139" s="4"/>
    </row>
    <row r="140" ht="14.25" customHeight="1">
      <c r="A140" s="1" t="s">
        <v>394</v>
      </c>
      <c r="B140" s="1">
        <v>88.0</v>
      </c>
      <c r="C140" s="1">
        <v>2.1379315E7</v>
      </c>
      <c r="D140" s="1" t="s">
        <v>203</v>
      </c>
      <c r="E140" s="1" t="s">
        <v>395</v>
      </c>
      <c r="F140" s="1" t="s">
        <v>396</v>
      </c>
      <c r="G140" s="1">
        <v>17590.0</v>
      </c>
      <c r="H140" s="1">
        <v>112.0</v>
      </c>
      <c r="I140" s="1" t="s">
        <v>16</v>
      </c>
      <c r="J140" s="1">
        <v>1.5E8</v>
      </c>
      <c r="K140" s="1">
        <v>2011.0</v>
      </c>
      <c r="L140" s="1">
        <v>5.4</v>
      </c>
      <c r="O140" s="3"/>
      <c r="S140" s="4"/>
    </row>
    <row r="141" ht="14.25" customHeight="1">
      <c r="A141" s="1" t="s">
        <v>397</v>
      </c>
      <c r="B141" s="1">
        <v>85.0</v>
      </c>
      <c r="C141" s="1">
        <v>6.4459316E7</v>
      </c>
      <c r="D141" s="1" t="s">
        <v>200</v>
      </c>
      <c r="E141" s="1" t="s">
        <v>115</v>
      </c>
      <c r="F141" s="1" t="s">
        <v>398</v>
      </c>
      <c r="G141" s="1">
        <v>85086.0</v>
      </c>
      <c r="H141" s="1">
        <v>122.0</v>
      </c>
      <c r="I141" s="1" t="s">
        <v>16</v>
      </c>
      <c r="J141" s="1">
        <v>1.49E8</v>
      </c>
      <c r="K141" s="1">
        <v>2006.0</v>
      </c>
      <c r="L141" s="1">
        <v>6.7</v>
      </c>
      <c r="O141" s="3"/>
      <c r="S141" s="4"/>
    </row>
    <row r="142" ht="14.25" customHeight="1">
      <c r="A142" s="1" t="s">
        <v>399</v>
      </c>
      <c r="B142" s="1">
        <v>111.0</v>
      </c>
      <c r="C142" s="1">
        <v>3.4964818E7</v>
      </c>
      <c r="D142" s="1" t="s">
        <v>86</v>
      </c>
      <c r="E142" s="1" t="s">
        <v>115</v>
      </c>
      <c r="F142" s="1" t="s">
        <v>400</v>
      </c>
      <c r="G142" s="1">
        <v>39956.0</v>
      </c>
      <c r="H142" s="1">
        <v>186.0</v>
      </c>
      <c r="I142" s="1" t="s">
        <v>16</v>
      </c>
      <c r="J142" s="1">
        <v>1.5E8</v>
      </c>
      <c r="K142" s="1">
        <v>2015.0</v>
      </c>
      <c r="L142" s="1">
        <v>5.8</v>
      </c>
      <c r="O142" s="3"/>
      <c r="S142" s="4"/>
    </row>
    <row r="143" ht="14.25" customHeight="1">
      <c r="A143" s="1" t="s">
        <v>401</v>
      </c>
      <c r="B143" s="1">
        <v>92.0</v>
      </c>
      <c r="C143" s="1">
        <v>1.11505642E8</v>
      </c>
      <c r="D143" s="1" t="s">
        <v>267</v>
      </c>
      <c r="E143" s="1" t="s">
        <v>402</v>
      </c>
      <c r="F143" s="1" t="s">
        <v>403</v>
      </c>
      <c r="G143" s="1">
        <v>47900.0</v>
      </c>
      <c r="H143" s="1">
        <v>130.0</v>
      </c>
      <c r="I143" s="1" t="s">
        <v>16</v>
      </c>
      <c r="J143" s="1">
        <v>1.45E8</v>
      </c>
      <c r="K143" s="1">
        <v>2014.0</v>
      </c>
      <c r="L143" s="1">
        <v>6.9</v>
      </c>
      <c r="O143" s="3"/>
      <c r="S143" s="4"/>
    </row>
    <row r="144" ht="14.25" customHeight="1">
      <c r="A144" s="1" t="s">
        <v>303</v>
      </c>
      <c r="B144" s="1">
        <v>196.0</v>
      </c>
      <c r="C144" s="1">
        <v>1.33228348E8</v>
      </c>
      <c r="D144" s="1" t="s">
        <v>404</v>
      </c>
      <c r="E144" s="1" t="s">
        <v>293</v>
      </c>
      <c r="F144" s="1" t="s">
        <v>405</v>
      </c>
      <c r="G144" s="1">
        <v>381672.0</v>
      </c>
      <c r="H144" s="1">
        <v>1694.0</v>
      </c>
      <c r="I144" s="1" t="s">
        <v>16</v>
      </c>
      <c r="J144" s="1">
        <v>1.75E8</v>
      </c>
      <c r="K144" s="1">
        <v>2004.0</v>
      </c>
      <c r="L144" s="1">
        <v>7.2</v>
      </c>
      <c r="O144" s="3"/>
      <c r="S144" s="4"/>
    </row>
    <row r="145" ht="14.25" customHeight="1">
      <c r="A145" s="1" t="s">
        <v>341</v>
      </c>
      <c r="B145" s="1">
        <v>93.0</v>
      </c>
      <c r="C145" s="1">
        <v>2.16366733E8</v>
      </c>
      <c r="D145" s="1" t="s">
        <v>200</v>
      </c>
      <c r="E145" s="1" t="s">
        <v>406</v>
      </c>
      <c r="F145" s="1" t="s">
        <v>407</v>
      </c>
      <c r="G145" s="1">
        <v>119213.0</v>
      </c>
      <c r="H145" s="1">
        <v>154.0</v>
      </c>
      <c r="I145" s="1" t="s">
        <v>16</v>
      </c>
      <c r="J145" s="1">
        <v>1.45E8</v>
      </c>
      <c r="K145" s="1">
        <v>2012.0</v>
      </c>
      <c r="L145" s="1">
        <v>6.9</v>
      </c>
      <c r="O145" s="3"/>
      <c r="S145" s="4"/>
    </row>
    <row r="146" ht="14.25" customHeight="1">
      <c r="A146" s="1" t="s">
        <v>408</v>
      </c>
      <c r="B146" s="1">
        <v>133.0</v>
      </c>
      <c r="C146" s="1">
        <v>1.60201106E8</v>
      </c>
      <c r="D146" s="1" t="s">
        <v>22</v>
      </c>
      <c r="E146" s="1" t="s">
        <v>409</v>
      </c>
      <c r="F146" s="1" t="s">
        <v>410</v>
      </c>
      <c r="G146" s="1">
        <v>169914.0</v>
      </c>
      <c r="H146" s="1">
        <v>1185.0</v>
      </c>
      <c r="I146" s="1" t="s">
        <v>16</v>
      </c>
      <c r="J146" s="1">
        <v>1.42E8</v>
      </c>
      <c r="K146" s="1">
        <v>2002.0</v>
      </c>
      <c r="L146" s="1">
        <v>6.1</v>
      </c>
      <c r="O146" s="3"/>
      <c r="S146" s="4"/>
    </row>
    <row r="147" ht="14.25" customHeight="1">
      <c r="A147" s="1" t="s">
        <v>411</v>
      </c>
      <c r="B147" s="1">
        <v>116.0</v>
      </c>
      <c r="C147" s="1">
        <v>1.18099659E8</v>
      </c>
      <c r="D147" s="1" t="s">
        <v>412</v>
      </c>
      <c r="E147" s="1" t="s">
        <v>413</v>
      </c>
      <c r="F147" s="1" t="s">
        <v>414</v>
      </c>
      <c r="G147" s="1">
        <v>69757.0</v>
      </c>
      <c r="H147" s="1">
        <v>1211.0</v>
      </c>
      <c r="I147" s="1" t="s">
        <v>16</v>
      </c>
      <c r="J147" s="1">
        <v>1.44E8</v>
      </c>
      <c r="K147" s="1">
        <v>2016.0</v>
      </c>
      <c r="L147" s="1">
        <v>5.5</v>
      </c>
      <c r="O147" s="3"/>
      <c r="S147" s="4"/>
    </row>
    <row r="148" ht="14.25" customHeight="1">
      <c r="A148" s="1" t="s">
        <v>121</v>
      </c>
      <c r="B148" s="1">
        <v>153.0</v>
      </c>
      <c r="C148" s="1">
        <v>2.01573391E8</v>
      </c>
      <c r="D148" s="1" t="s">
        <v>99</v>
      </c>
      <c r="E148" s="1" t="s">
        <v>415</v>
      </c>
      <c r="F148" s="1" t="s">
        <v>416</v>
      </c>
      <c r="G148" s="1">
        <v>322395.0</v>
      </c>
      <c r="H148" s="1">
        <v>1171.0</v>
      </c>
      <c r="I148" s="1" t="s">
        <v>16</v>
      </c>
      <c r="J148" s="1">
        <v>1.4E8</v>
      </c>
      <c r="K148" s="1">
        <v>1998.0</v>
      </c>
      <c r="L148" s="1">
        <v>6.6</v>
      </c>
      <c r="O148" s="3"/>
      <c r="S148" s="4"/>
    </row>
    <row r="149" ht="14.25" customHeight="1">
      <c r="A149" s="1" t="s">
        <v>69</v>
      </c>
      <c r="B149" s="1">
        <v>88.0</v>
      </c>
      <c r="C149" s="1">
        <v>1.90418803E8</v>
      </c>
      <c r="D149" s="1" t="s">
        <v>417</v>
      </c>
      <c r="E149" s="1" t="s">
        <v>71</v>
      </c>
      <c r="F149" s="1" t="s">
        <v>418</v>
      </c>
      <c r="G149" s="1">
        <v>270207.0</v>
      </c>
      <c r="H149" s="1">
        <v>606.0</v>
      </c>
      <c r="I149" s="1" t="s">
        <v>16</v>
      </c>
      <c r="J149" s="1">
        <v>1.4E8</v>
      </c>
      <c r="K149" s="1">
        <v>2002.0</v>
      </c>
      <c r="L149" s="1">
        <v>6.1</v>
      </c>
      <c r="O149" s="3"/>
      <c r="S149" s="4"/>
    </row>
    <row r="150" ht="14.25" customHeight="1">
      <c r="A150" s="1" t="s">
        <v>186</v>
      </c>
      <c r="B150" s="1">
        <v>115.0</v>
      </c>
      <c r="C150" s="1">
        <v>8.2161969E7</v>
      </c>
      <c r="D150" s="1" t="s">
        <v>419</v>
      </c>
      <c r="E150" s="1" t="s">
        <v>188</v>
      </c>
      <c r="F150" s="1" t="s">
        <v>420</v>
      </c>
      <c r="G150" s="1">
        <v>142440.0</v>
      </c>
      <c r="H150" s="1">
        <v>505.0</v>
      </c>
      <c r="I150" s="1" t="s">
        <v>16</v>
      </c>
      <c r="J150" s="1">
        <v>1.5E8</v>
      </c>
      <c r="K150" s="1">
        <v>2007.0</v>
      </c>
      <c r="L150" s="1">
        <v>6.3</v>
      </c>
      <c r="O150" s="3"/>
      <c r="S150" s="4"/>
    </row>
    <row r="151" ht="14.25" customHeight="1">
      <c r="A151" s="1" t="s">
        <v>421</v>
      </c>
      <c r="B151" s="1">
        <v>95.0</v>
      </c>
      <c r="C151" s="1">
        <v>1.43523463E8</v>
      </c>
      <c r="D151" s="1" t="s">
        <v>342</v>
      </c>
      <c r="E151" s="1" t="s">
        <v>35</v>
      </c>
      <c r="F151" s="1" t="s">
        <v>422</v>
      </c>
      <c r="G151" s="1">
        <v>64322.0</v>
      </c>
      <c r="H151" s="1">
        <v>145.0</v>
      </c>
      <c r="I151" s="1" t="s">
        <v>16</v>
      </c>
      <c r="J151" s="1">
        <v>1.45E8</v>
      </c>
      <c r="K151" s="1">
        <v>2016.0</v>
      </c>
      <c r="L151" s="1">
        <v>7.2</v>
      </c>
      <c r="O151" s="3"/>
      <c r="S151" s="4"/>
    </row>
    <row r="152" ht="14.25" customHeight="1">
      <c r="A152" s="1" t="s">
        <v>258</v>
      </c>
      <c r="B152" s="1">
        <v>133.0</v>
      </c>
      <c r="C152" s="1">
        <v>2.09364921E8</v>
      </c>
      <c r="D152" s="1" t="s">
        <v>22</v>
      </c>
      <c r="E152" s="1" t="s">
        <v>226</v>
      </c>
      <c r="F152" s="1" t="s">
        <v>423</v>
      </c>
      <c r="G152" s="1">
        <v>365104.0</v>
      </c>
      <c r="H152" s="1">
        <v>512.0</v>
      </c>
      <c r="I152" s="1" t="s">
        <v>16</v>
      </c>
      <c r="J152" s="1">
        <v>1.45E8</v>
      </c>
      <c r="K152" s="1">
        <v>2011.0</v>
      </c>
      <c r="L152" s="1">
        <v>7.4</v>
      </c>
      <c r="O152" s="3"/>
      <c r="S152" s="4"/>
    </row>
    <row r="153" ht="14.25" customHeight="1">
      <c r="A153" s="1" t="s">
        <v>424</v>
      </c>
      <c r="B153" s="1">
        <v>97.0</v>
      </c>
      <c r="C153" s="1">
        <v>1.03400692E8</v>
      </c>
      <c r="D153" s="1" t="s">
        <v>270</v>
      </c>
      <c r="E153" s="1" t="s">
        <v>115</v>
      </c>
      <c r="F153" s="1" t="s">
        <v>425</v>
      </c>
      <c r="G153" s="1">
        <v>123553.0</v>
      </c>
      <c r="H153" s="1">
        <v>174.0</v>
      </c>
      <c r="I153" s="1" t="s">
        <v>16</v>
      </c>
      <c r="J153" s="1">
        <v>1.45E8</v>
      </c>
      <c r="K153" s="1">
        <v>2012.0</v>
      </c>
      <c r="L153" s="1">
        <v>7.3</v>
      </c>
      <c r="O153" s="3"/>
      <c r="S153" s="4"/>
    </row>
    <row r="154" ht="14.25" customHeight="1">
      <c r="A154" s="1" t="s">
        <v>426</v>
      </c>
      <c r="B154" s="1">
        <v>90.0</v>
      </c>
      <c r="C154" s="1">
        <v>1.10332737E8</v>
      </c>
      <c r="D154" s="1" t="s">
        <v>427</v>
      </c>
      <c r="E154" s="1" t="s">
        <v>428</v>
      </c>
      <c r="F154" s="1" t="s">
        <v>429</v>
      </c>
      <c r="G154" s="1">
        <v>110788.0</v>
      </c>
      <c r="H154" s="1">
        <v>258.0</v>
      </c>
      <c r="I154" s="1" t="s">
        <v>16</v>
      </c>
      <c r="J154" s="1">
        <v>1.0E8</v>
      </c>
      <c r="K154" s="1">
        <v>2005.0</v>
      </c>
      <c r="L154" s="1">
        <v>6.1</v>
      </c>
      <c r="O154" s="3"/>
      <c r="S154" s="4"/>
    </row>
    <row r="155" ht="14.25" customHeight="1">
      <c r="A155" s="1" t="s">
        <v>430</v>
      </c>
      <c r="B155" s="1">
        <v>154.0</v>
      </c>
      <c r="C155" s="1">
        <v>1.11110575E8</v>
      </c>
      <c r="D155" s="1" t="s">
        <v>431</v>
      </c>
      <c r="E155" s="1" t="s">
        <v>226</v>
      </c>
      <c r="F155" s="1" t="s">
        <v>432</v>
      </c>
      <c r="G155" s="1">
        <v>317166.0</v>
      </c>
      <c r="H155" s="1">
        <v>928.0</v>
      </c>
      <c r="I155" s="1" t="s">
        <v>16</v>
      </c>
      <c r="J155" s="1">
        <v>1.4E8</v>
      </c>
      <c r="K155" s="1">
        <v>2003.0</v>
      </c>
      <c r="L155" s="1">
        <v>7.7</v>
      </c>
      <c r="O155" s="3"/>
      <c r="S155" s="4"/>
    </row>
    <row r="156" ht="14.25" customHeight="1">
      <c r="A156" s="1" t="s">
        <v>80</v>
      </c>
      <c r="B156" s="1">
        <v>150.0</v>
      </c>
      <c r="C156" s="1">
        <v>6.5007045E7</v>
      </c>
      <c r="D156" s="1" t="s">
        <v>433</v>
      </c>
      <c r="E156" s="1" t="s">
        <v>143</v>
      </c>
      <c r="F156" s="1" t="s">
        <v>434</v>
      </c>
      <c r="G156" s="1">
        <v>128682.0</v>
      </c>
      <c r="H156" s="1">
        <v>657.0</v>
      </c>
      <c r="I156" s="1" t="s">
        <v>16</v>
      </c>
      <c r="J156" s="1">
        <v>1.4E8</v>
      </c>
      <c r="K156" s="1">
        <v>2014.0</v>
      </c>
      <c r="L156" s="1">
        <v>6.1</v>
      </c>
      <c r="O156" s="3"/>
      <c r="S156" s="4"/>
    </row>
    <row r="157" ht="14.25" customHeight="1">
      <c r="A157" s="1" t="s">
        <v>154</v>
      </c>
      <c r="B157" s="1">
        <v>127.0</v>
      </c>
      <c r="C157" s="1">
        <v>2.57704099E8</v>
      </c>
      <c r="D157" s="1" t="s">
        <v>30</v>
      </c>
      <c r="E157" s="1" t="s">
        <v>42</v>
      </c>
      <c r="F157" s="1" t="s">
        <v>435</v>
      </c>
      <c r="G157" s="1">
        <v>504419.0</v>
      </c>
      <c r="H157" s="1">
        <v>1559.0</v>
      </c>
      <c r="I157" s="1" t="s">
        <v>16</v>
      </c>
      <c r="J157" s="1">
        <v>1.5E8</v>
      </c>
      <c r="K157" s="1">
        <v>2009.0</v>
      </c>
      <c r="L157" s="1">
        <v>8.0</v>
      </c>
      <c r="O157" s="3"/>
      <c r="S157" s="4"/>
    </row>
    <row r="158" ht="14.25" customHeight="1">
      <c r="A158" s="1" t="s">
        <v>33</v>
      </c>
      <c r="B158" s="1">
        <v>121.0</v>
      </c>
      <c r="C158" s="1">
        <v>4.03706375E8</v>
      </c>
      <c r="D158" s="1" t="s">
        <v>107</v>
      </c>
      <c r="E158" s="1" t="s">
        <v>35</v>
      </c>
      <c r="F158" s="1" t="s">
        <v>436</v>
      </c>
      <c r="G158" s="1">
        <v>544665.0</v>
      </c>
      <c r="H158" s="1">
        <v>2012.0</v>
      </c>
      <c r="I158" s="1" t="s">
        <v>16</v>
      </c>
      <c r="J158" s="1">
        <v>1.39E8</v>
      </c>
      <c r="K158" s="1">
        <v>2002.0</v>
      </c>
      <c r="L158" s="1">
        <v>7.3</v>
      </c>
      <c r="O158" s="3"/>
      <c r="S158" s="4"/>
    </row>
    <row r="159" ht="14.25" customHeight="1">
      <c r="A159" s="1" t="s">
        <v>274</v>
      </c>
      <c r="B159" s="1">
        <v>102.0</v>
      </c>
      <c r="C159" s="1">
        <v>1.76997107E8</v>
      </c>
      <c r="D159" s="1" t="s">
        <v>437</v>
      </c>
      <c r="E159" s="1" t="s">
        <v>275</v>
      </c>
      <c r="F159" s="1" t="s">
        <v>438</v>
      </c>
      <c r="G159" s="1">
        <v>221128.0</v>
      </c>
      <c r="H159" s="1">
        <v>343.0</v>
      </c>
      <c r="I159" s="1" t="s">
        <v>16</v>
      </c>
      <c r="J159" s="1">
        <v>1.45E8</v>
      </c>
      <c r="K159" s="1">
        <v>2014.0</v>
      </c>
      <c r="L159" s="1">
        <v>7.9</v>
      </c>
      <c r="O159" s="3"/>
      <c r="S159" s="4"/>
    </row>
    <row r="160" ht="14.25" customHeight="1">
      <c r="A160" s="1" t="s">
        <v>439</v>
      </c>
      <c r="B160" s="1">
        <v>126.0</v>
      </c>
      <c r="C160" s="1">
        <v>3.1141074E7</v>
      </c>
      <c r="D160" s="1" t="s">
        <v>18</v>
      </c>
      <c r="E160" s="1" t="s">
        <v>275</v>
      </c>
      <c r="F160" s="1" t="s">
        <v>440</v>
      </c>
      <c r="G160" s="1">
        <v>51892.0</v>
      </c>
      <c r="H160" s="1">
        <v>273.0</v>
      </c>
      <c r="I160" s="1" t="s">
        <v>16</v>
      </c>
      <c r="J160" s="1">
        <v>1.4E8</v>
      </c>
      <c r="K160" s="1">
        <v>2016.0</v>
      </c>
      <c r="L160" s="1">
        <v>5.5</v>
      </c>
      <c r="O160" s="3"/>
      <c r="S160" s="4"/>
    </row>
    <row r="161" ht="14.25" customHeight="1">
      <c r="A161" s="1" t="s">
        <v>214</v>
      </c>
      <c r="B161" s="1">
        <v>121.0</v>
      </c>
      <c r="C161" s="1">
        <v>3.1704416E7</v>
      </c>
      <c r="D161" s="1" t="s">
        <v>99</v>
      </c>
      <c r="E161" s="1" t="s">
        <v>441</v>
      </c>
      <c r="F161" s="1" t="s">
        <v>442</v>
      </c>
      <c r="G161" s="1">
        <v>45455.0</v>
      </c>
      <c r="H161" s="1">
        <v>388.0</v>
      </c>
      <c r="I161" s="1" t="s">
        <v>16</v>
      </c>
      <c r="J161" s="1">
        <v>1.35E8</v>
      </c>
      <c r="K161" s="1">
        <v>2005.0</v>
      </c>
      <c r="L161" s="1">
        <v>5.0</v>
      </c>
      <c r="O161" s="3"/>
      <c r="S161" s="4"/>
    </row>
    <row r="162" ht="14.25" customHeight="1">
      <c r="A162" s="1" t="s">
        <v>48</v>
      </c>
      <c r="B162" s="1">
        <v>215.0</v>
      </c>
      <c r="C162" s="1">
        <v>1.07503316E8</v>
      </c>
      <c r="D162" s="1" t="s">
        <v>443</v>
      </c>
      <c r="E162" s="1" t="s">
        <v>444</v>
      </c>
      <c r="F162" s="1" t="s">
        <v>445</v>
      </c>
      <c r="G162" s="1">
        <v>392474.0</v>
      </c>
      <c r="H162" s="1">
        <v>1229.0</v>
      </c>
      <c r="I162" s="1" t="s">
        <v>16</v>
      </c>
      <c r="J162" s="1">
        <v>1.3E8</v>
      </c>
      <c r="K162" s="1">
        <v>2009.0</v>
      </c>
      <c r="L162" s="1">
        <v>7.7</v>
      </c>
      <c r="O162" s="3"/>
      <c r="S162" s="4"/>
    </row>
    <row r="163" ht="14.25" customHeight="1">
      <c r="A163" s="1" t="s">
        <v>446</v>
      </c>
      <c r="B163" s="1">
        <v>127.0</v>
      </c>
      <c r="C163" s="1">
        <v>1.29734803E8</v>
      </c>
      <c r="D163" s="1" t="s">
        <v>146</v>
      </c>
      <c r="E163" s="1" t="s">
        <v>216</v>
      </c>
      <c r="F163" s="1" t="s">
        <v>447</v>
      </c>
      <c r="G163" s="1">
        <v>127497.0</v>
      </c>
      <c r="H163" s="1">
        <v>287.0</v>
      </c>
      <c r="I163" s="1" t="s">
        <v>16</v>
      </c>
      <c r="J163" s="1">
        <v>1.4E8</v>
      </c>
      <c r="K163" s="1">
        <v>1998.0</v>
      </c>
      <c r="L163" s="1">
        <v>6.6</v>
      </c>
      <c r="O163" s="3"/>
      <c r="S163" s="4"/>
    </row>
    <row r="164" ht="14.25" customHeight="1">
      <c r="A164" s="1" t="s">
        <v>448</v>
      </c>
      <c r="B164" s="1">
        <v>138.0</v>
      </c>
      <c r="C164" s="1">
        <v>1.32122995E8</v>
      </c>
      <c r="D164" s="1" t="s">
        <v>278</v>
      </c>
      <c r="E164" s="1" t="s">
        <v>449</v>
      </c>
      <c r="F164" s="1" t="s">
        <v>450</v>
      </c>
      <c r="G164" s="1">
        <v>212106.0</v>
      </c>
      <c r="H164" s="1">
        <v>1445.0</v>
      </c>
      <c r="I164" s="1" t="s">
        <v>16</v>
      </c>
      <c r="J164" s="1">
        <v>1.37E8</v>
      </c>
      <c r="K164" s="1">
        <v>2003.0</v>
      </c>
      <c r="L164" s="1">
        <v>5.7</v>
      </c>
      <c r="O164" s="3"/>
      <c r="S164" s="4"/>
    </row>
    <row r="165" ht="14.25" customHeight="1">
      <c r="A165" s="1" t="s">
        <v>451</v>
      </c>
      <c r="B165" s="1">
        <v>122.0</v>
      </c>
      <c r="C165" s="1">
        <v>1.22512052E8</v>
      </c>
      <c r="D165" s="1" t="s">
        <v>99</v>
      </c>
      <c r="E165" s="1" t="s">
        <v>191</v>
      </c>
      <c r="F165" s="1" t="s">
        <v>452</v>
      </c>
      <c r="G165" s="1">
        <v>146352.0</v>
      </c>
      <c r="H165" s="1">
        <v>288.0</v>
      </c>
      <c r="I165" s="1" t="s">
        <v>16</v>
      </c>
      <c r="J165" s="1">
        <v>1.3E8</v>
      </c>
      <c r="K165" s="1">
        <v>2013.0</v>
      </c>
      <c r="L165" s="1">
        <v>5.8</v>
      </c>
      <c r="O165" s="3"/>
      <c r="S165" s="4"/>
    </row>
    <row r="166" ht="14.25" customHeight="1">
      <c r="A166" s="1" t="s">
        <v>453</v>
      </c>
      <c r="B166" s="1">
        <v>124.0</v>
      </c>
      <c r="C166" s="1">
        <v>6.8642452E7</v>
      </c>
      <c r="D166" s="1" t="s">
        <v>454</v>
      </c>
      <c r="E166" s="1" t="s">
        <v>285</v>
      </c>
      <c r="F166" s="1" t="s">
        <v>455</v>
      </c>
      <c r="G166" s="1">
        <v>77673.0</v>
      </c>
      <c r="H166" s="1">
        <v>463.0</v>
      </c>
      <c r="I166" s="1" t="s">
        <v>16</v>
      </c>
      <c r="J166" s="1">
        <v>1.3E8</v>
      </c>
      <c r="K166" s="1">
        <v>2005.0</v>
      </c>
      <c r="L166" s="1">
        <v>6.0</v>
      </c>
      <c r="O166" s="3"/>
      <c r="S166" s="4"/>
    </row>
    <row r="167" ht="14.25" customHeight="1">
      <c r="A167" s="1" t="s">
        <v>456</v>
      </c>
      <c r="B167" s="1">
        <v>106.0</v>
      </c>
      <c r="C167" s="1">
        <v>3.213183E7</v>
      </c>
      <c r="D167" s="1" t="s">
        <v>457</v>
      </c>
      <c r="E167" s="1" t="s">
        <v>119</v>
      </c>
      <c r="F167" s="1" t="s">
        <v>458</v>
      </c>
      <c r="G167" s="1">
        <v>72259.0</v>
      </c>
      <c r="H167" s="1">
        <v>788.0</v>
      </c>
      <c r="I167" s="1" t="s">
        <v>16</v>
      </c>
      <c r="J167" s="1">
        <v>1.37E8</v>
      </c>
      <c r="K167" s="1">
        <v>2001.0</v>
      </c>
      <c r="L167" s="1">
        <v>6.4</v>
      </c>
      <c r="O167" s="3"/>
      <c r="S167" s="4"/>
    </row>
    <row r="168" ht="14.25" customHeight="1">
      <c r="A168" s="1" t="s">
        <v>379</v>
      </c>
      <c r="B168" s="1">
        <v>124.0</v>
      </c>
      <c r="C168" s="1">
        <v>1.76636816E8</v>
      </c>
      <c r="D168" s="1" t="s">
        <v>30</v>
      </c>
      <c r="E168" s="1" t="s">
        <v>459</v>
      </c>
      <c r="F168" s="1" t="s">
        <v>460</v>
      </c>
      <c r="G168" s="1">
        <v>508818.0</v>
      </c>
      <c r="H168" s="1">
        <v>679.0</v>
      </c>
      <c r="I168" s="1" t="s">
        <v>16</v>
      </c>
      <c r="J168" s="1">
        <v>1.4E8</v>
      </c>
      <c r="K168" s="1">
        <v>2011.0</v>
      </c>
      <c r="L168" s="1">
        <v>6.9</v>
      </c>
      <c r="O168" s="3"/>
      <c r="S168" s="4"/>
    </row>
    <row r="169" ht="14.25" customHeight="1">
      <c r="A169" s="1" t="s">
        <v>316</v>
      </c>
      <c r="B169" s="1">
        <v>128.0</v>
      </c>
      <c r="C169" s="1">
        <v>1.2693066E8</v>
      </c>
      <c r="D169" s="1" t="s">
        <v>22</v>
      </c>
      <c r="E169" s="1" t="s">
        <v>461</v>
      </c>
      <c r="F169" s="1" t="s">
        <v>462</v>
      </c>
      <c r="G169" s="1">
        <v>157519.0</v>
      </c>
      <c r="H169" s="1">
        <v>683.0</v>
      </c>
      <c r="I169" s="1" t="s">
        <v>16</v>
      </c>
      <c r="J169" s="1">
        <v>1.35E8</v>
      </c>
      <c r="K169" s="1">
        <v>1999.0</v>
      </c>
      <c r="L169" s="1">
        <v>6.4</v>
      </c>
      <c r="O169" s="3"/>
      <c r="S169" s="4"/>
    </row>
    <row r="170" ht="14.25" customHeight="1">
      <c r="A170" s="1" t="s">
        <v>463</v>
      </c>
      <c r="B170" s="1">
        <v>138.0</v>
      </c>
      <c r="C170" s="1">
        <v>9.3926386E7</v>
      </c>
      <c r="D170" s="1" t="s">
        <v>464</v>
      </c>
      <c r="E170" s="1" t="s">
        <v>465</v>
      </c>
      <c r="F170" s="1" t="s">
        <v>466</v>
      </c>
      <c r="G170" s="1">
        <v>168207.0</v>
      </c>
      <c r="H170" s="1">
        <v>684.0</v>
      </c>
      <c r="I170" s="1" t="s">
        <v>16</v>
      </c>
      <c r="J170" s="1">
        <v>1.5E8</v>
      </c>
      <c r="K170" s="1">
        <v>2003.0</v>
      </c>
      <c r="L170" s="1">
        <v>7.4</v>
      </c>
      <c r="O170" s="3"/>
      <c r="S170" s="4"/>
    </row>
    <row r="171" ht="14.25" customHeight="1">
      <c r="A171" s="1" t="s">
        <v>467</v>
      </c>
      <c r="B171" s="1">
        <v>115.0</v>
      </c>
      <c r="C171" s="1">
        <v>2.92298923E8</v>
      </c>
      <c r="D171" s="1" t="s">
        <v>468</v>
      </c>
      <c r="E171" s="1" t="s">
        <v>328</v>
      </c>
      <c r="F171" s="1" t="s">
        <v>469</v>
      </c>
      <c r="G171" s="1">
        <v>185394.0</v>
      </c>
      <c r="H171" s="1">
        <v>329.0</v>
      </c>
      <c r="I171" s="1" t="s">
        <v>16</v>
      </c>
      <c r="J171" s="1">
        <v>1.2E8</v>
      </c>
      <c r="K171" s="1">
        <v>2012.0</v>
      </c>
      <c r="L171" s="1">
        <v>5.5</v>
      </c>
      <c r="O171" s="3"/>
      <c r="S171" s="4"/>
    </row>
    <row r="172" ht="14.25" customHeight="1">
      <c r="A172" s="1" t="s">
        <v>359</v>
      </c>
      <c r="B172" s="1">
        <v>100.0</v>
      </c>
      <c r="C172" s="1">
        <v>6.3992328E7</v>
      </c>
      <c r="D172" s="1" t="s">
        <v>470</v>
      </c>
      <c r="E172" s="1" t="s">
        <v>346</v>
      </c>
      <c r="F172" s="1" t="s">
        <v>471</v>
      </c>
      <c r="G172" s="1">
        <v>32399.0</v>
      </c>
      <c r="H172" s="1">
        <v>79.0</v>
      </c>
      <c r="I172" s="1" t="s">
        <v>16</v>
      </c>
      <c r="J172" s="1">
        <v>1.35E8</v>
      </c>
      <c r="K172" s="1">
        <v>2011.0</v>
      </c>
      <c r="L172" s="1">
        <v>5.9</v>
      </c>
      <c r="O172" s="3"/>
      <c r="S172" s="4"/>
    </row>
    <row r="173" ht="14.25" customHeight="1">
      <c r="A173" s="1" t="s">
        <v>472</v>
      </c>
      <c r="B173" s="1">
        <v>135.0</v>
      </c>
      <c r="C173" s="1">
        <v>1.3451839E8</v>
      </c>
      <c r="D173" s="1" t="s">
        <v>30</v>
      </c>
      <c r="E173" s="1" t="s">
        <v>402</v>
      </c>
      <c r="F173" s="1" t="s">
        <v>473</v>
      </c>
      <c r="G173" s="1">
        <v>326286.0</v>
      </c>
      <c r="H173" s="1">
        <v>643.0</v>
      </c>
      <c r="I173" s="1" t="s">
        <v>16</v>
      </c>
      <c r="J173" s="1">
        <v>1.5E8</v>
      </c>
      <c r="K173" s="1">
        <v>2008.0</v>
      </c>
      <c r="L173" s="1">
        <v>6.8</v>
      </c>
      <c r="O173" s="3"/>
      <c r="S173" s="4"/>
    </row>
    <row r="174" ht="14.25" customHeight="1">
      <c r="A174" s="1" t="s">
        <v>168</v>
      </c>
      <c r="B174" s="1">
        <v>117.0</v>
      </c>
      <c r="C174" s="1">
        <v>5.2792307E7</v>
      </c>
      <c r="D174" s="1" t="s">
        <v>86</v>
      </c>
      <c r="E174" s="1" t="s">
        <v>474</v>
      </c>
      <c r="F174" s="1" t="s">
        <v>475</v>
      </c>
      <c r="G174" s="1">
        <v>12572.0</v>
      </c>
      <c r="H174" s="1">
        <v>106.0</v>
      </c>
      <c r="I174" s="1" t="s">
        <v>16</v>
      </c>
      <c r="J174" s="1">
        <v>1.4E8</v>
      </c>
      <c r="K174" s="1">
        <v>2016.0</v>
      </c>
      <c r="L174" s="1">
        <v>6.8</v>
      </c>
      <c r="O174" s="3"/>
      <c r="S174" s="4"/>
    </row>
    <row r="175" ht="14.25" customHeight="1">
      <c r="A175" s="1" t="s">
        <v>476</v>
      </c>
      <c r="B175" s="1">
        <v>156.0</v>
      </c>
      <c r="C175" s="1">
        <v>1.83635922E8</v>
      </c>
      <c r="D175" s="1" t="s">
        <v>477</v>
      </c>
      <c r="E175" s="1" t="s">
        <v>93</v>
      </c>
      <c r="F175" s="1" t="s">
        <v>478</v>
      </c>
      <c r="G175" s="1">
        <v>406020.0</v>
      </c>
      <c r="H175" s="1">
        <v>1188.0</v>
      </c>
      <c r="I175" s="1" t="s">
        <v>16</v>
      </c>
      <c r="J175" s="1">
        <v>1.35E8</v>
      </c>
      <c r="K175" s="1">
        <v>2015.0</v>
      </c>
      <c r="L175" s="1">
        <v>8.1</v>
      </c>
      <c r="O175" s="3"/>
      <c r="S175" s="4"/>
    </row>
    <row r="176" ht="14.25" customHeight="1">
      <c r="A176" s="1" t="s">
        <v>479</v>
      </c>
      <c r="B176" s="1">
        <v>96.0</v>
      </c>
      <c r="C176" s="1">
        <v>8.30249E7</v>
      </c>
      <c r="D176" s="1" t="s">
        <v>133</v>
      </c>
      <c r="E176" s="1" t="s">
        <v>137</v>
      </c>
      <c r="F176" s="1" t="s">
        <v>480</v>
      </c>
      <c r="G176" s="1">
        <v>62424.0</v>
      </c>
      <c r="H176" s="1">
        <v>90.0</v>
      </c>
      <c r="I176" s="1" t="s">
        <v>16</v>
      </c>
      <c r="J176" s="1">
        <v>1.35E8</v>
      </c>
      <c r="K176" s="1">
        <v>2013.0</v>
      </c>
      <c r="L176" s="1">
        <v>6.5</v>
      </c>
      <c r="O176" s="3"/>
      <c r="S176" s="4"/>
    </row>
    <row r="177" ht="14.25" customHeight="1">
      <c r="A177" s="1" t="s">
        <v>17</v>
      </c>
      <c r="B177" s="1">
        <v>107.0</v>
      </c>
      <c r="C177" s="1">
        <v>1.23207194E8</v>
      </c>
      <c r="D177" s="1" t="s">
        <v>481</v>
      </c>
      <c r="E177" s="1" t="s">
        <v>19</v>
      </c>
      <c r="F177" s="1" t="s">
        <v>482</v>
      </c>
      <c r="G177" s="1">
        <v>183208.0</v>
      </c>
      <c r="H177" s="1">
        <v>337.0</v>
      </c>
      <c r="I177" s="1" t="s">
        <v>16</v>
      </c>
      <c r="J177" s="1">
        <v>1.35E8</v>
      </c>
      <c r="K177" s="1">
        <v>2011.0</v>
      </c>
      <c r="L177" s="1">
        <v>7.2</v>
      </c>
      <c r="O177" s="3"/>
      <c r="S177" s="4"/>
    </row>
    <row r="178" ht="14.25" customHeight="1">
      <c r="A178" s="1" t="s">
        <v>341</v>
      </c>
      <c r="B178" s="1">
        <v>92.0</v>
      </c>
      <c r="C178" s="1">
        <v>8.334892E7</v>
      </c>
      <c r="D178" s="1" t="s">
        <v>200</v>
      </c>
      <c r="E178" s="1" t="s">
        <v>155</v>
      </c>
      <c r="F178" s="1" t="s">
        <v>483</v>
      </c>
      <c r="G178" s="1">
        <v>60230.0</v>
      </c>
      <c r="H178" s="1">
        <v>118.0</v>
      </c>
      <c r="I178" s="1" t="s">
        <v>16</v>
      </c>
      <c r="J178" s="1">
        <v>1.32E8</v>
      </c>
      <c r="K178" s="1">
        <v>2014.0</v>
      </c>
      <c r="L178" s="1">
        <v>6.7</v>
      </c>
      <c r="O178" s="3"/>
      <c r="S178" s="4"/>
    </row>
    <row r="179" ht="14.25" customHeight="1">
      <c r="A179" s="1" t="s">
        <v>484</v>
      </c>
      <c r="B179" s="1">
        <v>115.0</v>
      </c>
      <c r="C179" s="1">
        <v>2.2713709E8</v>
      </c>
      <c r="D179" s="1" t="s">
        <v>485</v>
      </c>
      <c r="E179" s="1" t="s">
        <v>486</v>
      </c>
      <c r="F179" s="1" t="s">
        <v>487</v>
      </c>
      <c r="G179" s="1">
        <v>491077.0</v>
      </c>
      <c r="H179" s="1">
        <v>820.0</v>
      </c>
      <c r="I179" s="1" t="s">
        <v>16</v>
      </c>
      <c r="J179" s="1">
        <v>1.1E8</v>
      </c>
      <c r="K179" s="1">
        <v>2007.0</v>
      </c>
      <c r="L179" s="1">
        <v>8.1</v>
      </c>
      <c r="O179" s="3"/>
      <c r="S179" s="4"/>
    </row>
    <row r="180" ht="14.25" customHeight="1">
      <c r="A180" s="1" t="s">
        <v>488</v>
      </c>
      <c r="B180" s="1">
        <v>92.0</v>
      </c>
      <c r="C180" s="1">
        <v>2.15395021E8</v>
      </c>
      <c r="D180" s="1" t="s">
        <v>342</v>
      </c>
      <c r="E180" s="1" t="s">
        <v>245</v>
      </c>
      <c r="F180" s="1" t="s">
        <v>489</v>
      </c>
      <c r="G180" s="1">
        <v>307029.0</v>
      </c>
      <c r="H180" s="1">
        <v>360.0</v>
      </c>
      <c r="I180" s="1" t="s">
        <v>16</v>
      </c>
      <c r="J180" s="1">
        <v>1.3E8</v>
      </c>
      <c r="K180" s="1">
        <v>2008.0</v>
      </c>
      <c r="L180" s="1">
        <v>7.6</v>
      </c>
      <c r="O180" s="3"/>
      <c r="S180" s="4"/>
    </row>
    <row r="181" ht="14.25" customHeight="1">
      <c r="A181" s="1" t="s">
        <v>490</v>
      </c>
      <c r="B181" s="1">
        <v>117.0</v>
      </c>
      <c r="C181" s="1">
        <v>1.80191634E8</v>
      </c>
      <c r="D181" s="1" t="s">
        <v>219</v>
      </c>
      <c r="E181" s="1" t="s">
        <v>260</v>
      </c>
      <c r="F181" s="1" t="s">
        <v>491</v>
      </c>
      <c r="G181" s="1">
        <v>313866.0</v>
      </c>
      <c r="H181" s="1">
        <v>549.0</v>
      </c>
      <c r="I181" s="1" t="s">
        <v>16</v>
      </c>
      <c r="J181" s="1">
        <v>1.3E8</v>
      </c>
      <c r="K181" s="1">
        <v>2015.0</v>
      </c>
      <c r="L181" s="1">
        <v>7.4</v>
      </c>
      <c r="O181" s="3"/>
      <c r="S181" s="4"/>
    </row>
    <row r="182" ht="14.25" customHeight="1">
      <c r="A182" s="1" t="s">
        <v>297</v>
      </c>
      <c r="B182" s="1">
        <v>146.0</v>
      </c>
      <c r="C182" s="1">
        <v>4.24645577E8</v>
      </c>
      <c r="D182" s="1" t="s">
        <v>492</v>
      </c>
      <c r="E182" s="1" t="s">
        <v>152</v>
      </c>
      <c r="F182" s="1" t="s">
        <v>493</v>
      </c>
      <c r="G182" s="1">
        <v>498397.0</v>
      </c>
      <c r="H182" s="1">
        <v>706.0</v>
      </c>
      <c r="I182" s="1" t="s">
        <v>16</v>
      </c>
      <c r="J182" s="1">
        <v>1.3E8</v>
      </c>
      <c r="K182" s="1">
        <v>2013.0</v>
      </c>
      <c r="L182" s="1">
        <v>7.6</v>
      </c>
      <c r="O182" s="3"/>
      <c r="S182" s="4"/>
    </row>
    <row r="183" ht="14.25" customHeight="1">
      <c r="A183" s="1" t="s">
        <v>494</v>
      </c>
      <c r="B183" s="1">
        <v>94.0</v>
      </c>
      <c r="C183" s="1">
        <v>1.77343675E8</v>
      </c>
      <c r="D183" s="1" t="s">
        <v>495</v>
      </c>
      <c r="E183" s="1" t="s">
        <v>496</v>
      </c>
      <c r="F183" s="1" t="s">
        <v>497</v>
      </c>
      <c r="G183" s="1">
        <v>70121.0</v>
      </c>
      <c r="H183" s="1">
        <v>214.0</v>
      </c>
      <c r="I183" s="1" t="s">
        <v>16</v>
      </c>
      <c r="J183" s="1">
        <v>1.35E8</v>
      </c>
      <c r="K183" s="1">
        <v>2015.0</v>
      </c>
      <c r="L183" s="1">
        <v>6.7</v>
      </c>
      <c r="O183" s="3"/>
      <c r="S183" s="4"/>
    </row>
    <row r="184" ht="14.25" customHeight="1">
      <c r="A184" s="1" t="s">
        <v>168</v>
      </c>
      <c r="B184" s="1">
        <v>116.0</v>
      </c>
      <c r="C184" s="1">
        <v>2.34277056E8</v>
      </c>
      <c r="D184" s="1" t="s">
        <v>492</v>
      </c>
      <c r="E184" s="1" t="s">
        <v>226</v>
      </c>
      <c r="F184" s="1" t="s">
        <v>498</v>
      </c>
      <c r="G184" s="1">
        <v>334345.0</v>
      </c>
      <c r="H184" s="1">
        <v>2741.0</v>
      </c>
      <c r="I184" s="1" t="s">
        <v>16</v>
      </c>
      <c r="J184" s="1">
        <v>1.32E8</v>
      </c>
      <c r="K184" s="1">
        <v>2005.0</v>
      </c>
      <c r="L184" s="1">
        <v>6.5</v>
      </c>
      <c r="O184" s="3"/>
      <c r="S184" s="4"/>
    </row>
    <row r="185" ht="14.25" customHeight="1">
      <c r="A185" s="1" t="s">
        <v>121</v>
      </c>
      <c r="B185" s="1">
        <v>147.0</v>
      </c>
      <c r="C185" s="1">
        <v>1.38396624E8</v>
      </c>
      <c r="D185" s="1" t="s">
        <v>180</v>
      </c>
      <c r="E185" s="1" t="s">
        <v>71</v>
      </c>
      <c r="F185" s="1" t="s">
        <v>499</v>
      </c>
      <c r="G185" s="1">
        <v>178126.0</v>
      </c>
      <c r="H185" s="1">
        <v>511.0</v>
      </c>
      <c r="I185" s="1" t="s">
        <v>16</v>
      </c>
      <c r="J185" s="1">
        <v>1.3E8</v>
      </c>
      <c r="K185" s="1">
        <v>2003.0</v>
      </c>
      <c r="L185" s="1">
        <v>6.6</v>
      </c>
      <c r="O185" s="3"/>
      <c r="S185" s="4"/>
    </row>
    <row r="186" ht="14.25" customHeight="1">
      <c r="A186" s="1" t="s">
        <v>308</v>
      </c>
      <c r="B186" s="1">
        <v>90.0</v>
      </c>
      <c r="C186" s="1">
        <v>1.49234747E8</v>
      </c>
      <c r="D186" s="1" t="s">
        <v>437</v>
      </c>
      <c r="E186" s="1" t="s">
        <v>500</v>
      </c>
      <c r="F186" s="1" t="s">
        <v>501</v>
      </c>
      <c r="G186" s="1">
        <v>114287.0</v>
      </c>
      <c r="H186" s="1">
        <v>137.0</v>
      </c>
      <c r="I186" s="1" t="s">
        <v>16</v>
      </c>
      <c r="J186" s="1">
        <v>1.3E8</v>
      </c>
      <c r="K186" s="1">
        <v>2011.0</v>
      </c>
      <c r="L186" s="1">
        <v>6.7</v>
      </c>
      <c r="O186" s="3"/>
      <c r="S186" s="4"/>
    </row>
    <row r="187" ht="14.25" customHeight="1">
      <c r="A187" s="1" t="s">
        <v>502</v>
      </c>
      <c r="B187" s="1">
        <v>101.0</v>
      </c>
      <c r="C187" s="1">
        <v>1.18311368E8</v>
      </c>
      <c r="D187" s="1" t="s">
        <v>503</v>
      </c>
      <c r="E187" s="1" t="s">
        <v>245</v>
      </c>
      <c r="F187" s="1" t="s">
        <v>504</v>
      </c>
      <c r="G187" s="1">
        <v>245621.0</v>
      </c>
      <c r="H187" s="1">
        <v>514.0</v>
      </c>
      <c r="I187" s="1" t="s">
        <v>16</v>
      </c>
      <c r="J187" s="1">
        <v>1.1E8</v>
      </c>
      <c r="K187" s="1">
        <v>2010.0</v>
      </c>
      <c r="L187" s="1">
        <v>6.4</v>
      </c>
      <c r="O187" s="3"/>
      <c r="S187" s="4"/>
    </row>
    <row r="188" ht="14.25" customHeight="1">
      <c r="A188" s="1" t="s">
        <v>505</v>
      </c>
      <c r="B188" s="1">
        <v>138.0</v>
      </c>
      <c r="C188" s="1">
        <v>1.01160529E8</v>
      </c>
      <c r="D188" s="1" t="s">
        <v>433</v>
      </c>
      <c r="E188" s="1" t="s">
        <v>326</v>
      </c>
      <c r="F188" s="1" t="s">
        <v>506</v>
      </c>
      <c r="G188" s="1">
        <v>200022.0</v>
      </c>
      <c r="H188" s="1">
        <v>1240.0</v>
      </c>
      <c r="I188" s="1" t="s">
        <v>16</v>
      </c>
      <c r="J188" s="1">
        <v>1.25E8</v>
      </c>
      <c r="K188" s="1">
        <v>2014.0</v>
      </c>
      <c r="L188" s="1">
        <v>5.8</v>
      </c>
      <c r="O188" s="3"/>
      <c r="S188" s="4"/>
    </row>
    <row r="189" ht="14.25" customHeight="1">
      <c r="A189" s="1" t="s">
        <v>168</v>
      </c>
      <c r="B189" s="1">
        <v>107.0</v>
      </c>
      <c r="C189" s="1">
        <v>7.7564037E7</v>
      </c>
      <c r="D189" s="1" t="s">
        <v>507</v>
      </c>
      <c r="E189" s="1" t="s">
        <v>508</v>
      </c>
      <c r="F189" s="1" t="s">
        <v>509</v>
      </c>
      <c r="G189" s="1">
        <v>177383.0</v>
      </c>
      <c r="H189" s="1">
        <v>447.0</v>
      </c>
      <c r="I189" s="1" t="s">
        <v>16</v>
      </c>
      <c r="J189" s="1">
        <v>1.35E8</v>
      </c>
      <c r="K189" s="1">
        <v>2011.0</v>
      </c>
      <c r="L189" s="1">
        <v>7.4</v>
      </c>
      <c r="O189" s="3"/>
      <c r="S189" s="4"/>
    </row>
    <row r="190" ht="14.25" customHeight="1">
      <c r="A190" s="1" t="s">
        <v>510</v>
      </c>
      <c r="B190" s="1">
        <v>142.0</v>
      </c>
      <c r="C190" s="1">
        <v>2.49358727E8</v>
      </c>
      <c r="D190" s="1" t="s">
        <v>45</v>
      </c>
      <c r="E190" s="1" t="s">
        <v>511</v>
      </c>
      <c r="F190" s="1" t="s">
        <v>512</v>
      </c>
      <c r="G190" s="1">
        <v>382255.0</v>
      </c>
      <c r="H190" s="1">
        <v>1504.0</v>
      </c>
      <c r="I190" s="1" t="s">
        <v>16</v>
      </c>
      <c r="J190" s="1">
        <v>1.3E8</v>
      </c>
      <c r="K190" s="1">
        <v>2004.0</v>
      </c>
      <c r="L190" s="1">
        <v>7.8</v>
      </c>
      <c r="O190" s="3"/>
      <c r="S190" s="4"/>
    </row>
    <row r="191" ht="14.25" customHeight="1">
      <c r="A191" s="1" t="s">
        <v>159</v>
      </c>
      <c r="B191" s="1">
        <v>165.0</v>
      </c>
      <c r="C191" s="1">
        <v>4.9551662E7</v>
      </c>
      <c r="D191" s="1" t="s">
        <v>513</v>
      </c>
      <c r="E191" s="1" t="s">
        <v>350</v>
      </c>
      <c r="F191" s="1" t="s">
        <v>514</v>
      </c>
      <c r="G191" s="1">
        <v>102338.0</v>
      </c>
      <c r="H191" s="1">
        <v>450.0</v>
      </c>
      <c r="I191" s="1" t="s">
        <v>16</v>
      </c>
      <c r="J191" s="1">
        <v>1.3E8</v>
      </c>
      <c r="K191" s="1">
        <v>2008.0</v>
      </c>
      <c r="L191" s="1">
        <v>6.6</v>
      </c>
      <c r="O191" s="3"/>
      <c r="S191" s="4"/>
    </row>
    <row r="192" ht="14.25" customHeight="1">
      <c r="A192" s="1" t="s">
        <v>387</v>
      </c>
      <c r="B192" s="1">
        <v>100.0</v>
      </c>
      <c r="C192" s="1">
        <v>6.0522097E7</v>
      </c>
      <c r="D192" s="1" t="s">
        <v>30</v>
      </c>
      <c r="E192" s="1" t="s">
        <v>71</v>
      </c>
      <c r="F192" s="1" t="s">
        <v>515</v>
      </c>
      <c r="G192" s="1">
        <v>158720.0</v>
      </c>
      <c r="H192" s="1">
        <v>744.0</v>
      </c>
      <c r="I192" s="1" t="s">
        <v>16</v>
      </c>
      <c r="J192" s="1">
        <v>1.3E8</v>
      </c>
      <c r="K192" s="1">
        <v>2013.0</v>
      </c>
      <c r="L192" s="1">
        <v>4.9</v>
      </c>
      <c r="O192" s="3"/>
      <c r="S192" s="4"/>
    </row>
    <row r="193" ht="14.25" customHeight="1">
      <c r="A193" s="1" t="s">
        <v>516</v>
      </c>
      <c r="B193" s="1">
        <v>82.0</v>
      </c>
      <c r="C193" s="1">
        <v>1.37748063E8</v>
      </c>
      <c r="D193" s="1" t="s">
        <v>517</v>
      </c>
      <c r="E193" s="1" t="s">
        <v>518</v>
      </c>
      <c r="F193" s="1" t="s">
        <v>519</v>
      </c>
      <c r="G193" s="1">
        <v>38438.0</v>
      </c>
      <c r="H193" s="1">
        <v>241.0</v>
      </c>
      <c r="I193" s="1" t="s">
        <v>16</v>
      </c>
      <c r="J193" s="1">
        <v>1.275E8</v>
      </c>
      <c r="K193" s="1">
        <v>2000.0</v>
      </c>
      <c r="L193" s="1">
        <v>6.5</v>
      </c>
      <c r="O193" s="3"/>
      <c r="S193" s="4"/>
    </row>
    <row r="194" ht="14.25" customHeight="1">
      <c r="A194" s="1" t="s">
        <v>345</v>
      </c>
      <c r="B194" s="1">
        <v>98.0</v>
      </c>
      <c r="C194" s="1">
        <v>1.13733726E8</v>
      </c>
      <c r="D194" s="1" t="s">
        <v>335</v>
      </c>
      <c r="E194" s="1" t="s">
        <v>346</v>
      </c>
      <c r="F194" s="1" t="s">
        <v>520</v>
      </c>
      <c r="G194" s="1">
        <v>67223.0</v>
      </c>
      <c r="H194" s="1">
        <v>126.0</v>
      </c>
      <c r="I194" s="1" t="s">
        <v>16</v>
      </c>
      <c r="J194" s="1">
        <v>1.27E8</v>
      </c>
      <c r="K194" s="1">
        <v>2014.0</v>
      </c>
      <c r="L194" s="1">
        <v>6.2</v>
      </c>
      <c r="O194" s="3"/>
      <c r="S194" s="4"/>
    </row>
    <row r="195" ht="14.25" customHeight="1">
      <c r="A195" s="1" t="s">
        <v>521</v>
      </c>
      <c r="B195" s="1">
        <v>95.0</v>
      </c>
      <c r="C195" s="1">
        <v>1.48337537E8</v>
      </c>
      <c r="D195" s="1" t="s">
        <v>522</v>
      </c>
      <c r="E195" s="1" t="s">
        <v>35</v>
      </c>
      <c r="F195" s="1" t="s">
        <v>523</v>
      </c>
      <c r="G195" s="1">
        <v>172754.0</v>
      </c>
      <c r="H195" s="1">
        <v>187.0</v>
      </c>
      <c r="I195" s="1" t="s">
        <v>16</v>
      </c>
      <c r="J195" s="1">
        <v>1.3E8</v>
      </c>
      <c r="K195" s="1">
        <v>2010.0</v>
      </c>
      <c r="L195" s="1">
        <v>7.3</v>
      </c>
      <c r="O195" s="3"/>
      <c r="S195" s="4"/>
    </row>
    <row r="196" ht="14.25" customHeight="1">
      <c r="A196" s="1" t="s">
        <v>524</v>
      </c>
      <c r="B196" s="1">
        <v>159.0</v>
      </c>
      <c r="C196" s="1">
        <v>3.17557891E8</v>
      </c>
      <c r="D196" s="1" t="s">
        <v>86</v>
      </c>
      <c r="E196" s="1" t="s">
        <v>511</v>
      </c>
      <c r="F196" s="1" t="s">
        <v>525</v>
      </c>
      <c r="G196" s="1">
        <v>444683.0</v>
      </c>
      <c r="H196" s="1">
        <v>1571.0</v>
      </c>
      <c r="I196" s="1" t="s">
        <v>16</v>
      </c>
      <c r="J196" s="1">
        <v>1.25E8</v>
      </c>
      <c r="K196" s="1">
        <v>2001.0</v>
      </c>
      <c r="L196" s="1">
        <v>7.5</v>
      </c>
      <c r="O196" s="3"/>
      <c r="S196" s="4"/>
    </row>
    <row r="197" ht="14.25" customHeight="1">
      <c r="A197" s="1" t="s">
        <v>526</v>
      </c>
      <c r="B197" s="1">
        <v>96.0</v>
      </c>
      <c r="C197" s="1">
        <v>3.3592415E7</v>
      </c>
      <c r="D197" s="1" t="s">
        <v>527</v>
      </c>
      <c r="E197" s="1" t="s">
        <v>137</v>
      </c>
      <c r="F197" s="1" t="s">
        <v>528</v>
      </c>
      <c r="G197" s="1">
        <v>91640.0</v>
      </c>
      <c r="H197" s="1">
        <v>210.0</v>
      </c>
      <c r="I197" s="1" t="s">
        <v>16</v>
      </c>
      <c r="J197" s="1">
        <v>1.3E8</v>
      </c>
      <c r="K197" s="1">
        <v>2013.0</v>
      </c>
      <c r="L197" s="1">
        <v>5.6</v>
      </c>
      <c r="O197" s="3"/>
      <c r="S197" s="4"/>
    </row>
    <row r="198" ht="14.25" customHeight="1">
      <c r="A198" s="1" t="s">
        <v>17</v>
      </c>
      <c r="B198" s="1">
        <v>143.0</v>
      </c>
      <c r="C198" s="1">
        <v>3.05388685E8</v>
      </c>
      <c r="D198" s="1" t="s">
        <v>18</v>
      </c>
      <c r="E198" s="1" t="s">
        <v>19</v>
      </c>
      <c r="F198" s="1" t="s">
        <v>529</v>
      </c>
      <c r="G198" s="1">
        <v>809474.0</v>
      </c>
      <c r="H198" s="1">
        <v>2113.0</v>
      </c>
      <c r="I198" s="1" t="s">
        <v>16</v>
      </c>
      <c r="J198" s="1">
        <v>1.4E8</v>
      </c>
      <c r="K198" s="1">
        <v>2003.0</v>
      </c>
      <c r="L198" s="1">
        <v>8.1</v>
      </c>
      <c r="O198" s="3"/>
      <c r="S198" s="4"/>
    </row>
    <row r="199" ht="14.25" customHeight="1">
      <c r="A199" s="1" t="s">
        <v>297</v>
      </c>
      <c r="B199" s="1">
        <v>123.0</v>
      </c>
      <c r="C199" s="1">
        <v>3.37103873E8</v>
      </c>
      <c r="D199" s="1" t="s">
        <v>492</v>
      </c>
      <c r="E199" s="1" t="s">
        <v>152</v>
      </c>
      <c r="F199" s="1" t="s">
        <v>530</v>
      </c>
      <c r="G199" s="1">
        <v>305008.0</v>
      </c>
      <c r="H199" s="1">
        <v>591.0</v>
      </c>
      <c r="I199" s="1" t="s">
        <v>16</v>
      </c>
      <c r="J199" s="1">
        <v>1.25E8</v>
      </c>
      <c r="K199" s="1">
        <v>2014.0</v>
      </c>
      <c r="L199" s="1">
        <v>6.7</v>
      </c>
      <c r="O199" s="3"/>
      <c r="S199" s="4"/>
    </row>
    <row r="200" ht="14.25" customHeight="1">
      <c r="A200" s="1" t="s">
        <v>361</v>
      </c>
      <c r="B200" s="1">
        <v>174.0</v>
      </c>
      <c r="C200" s="1">
        <v>2.17536138E8</v>
      </c>
      <c r="D200" s="1" t="s">
        <v>362</v>
      </c>
      <c r="E200" s="1" t="s">
        <v>140</v>
      </c>
      <c r="F200" s="1" t="s">
        <v>531</v>
      </c>
      <c r="G200" s="1">
        <v>314253.0</v>
      </c>
      <c r="H200" s="1">
        <v>1966.0</v>
      </c>
      <c r="I200" s="1" t="s">
        <v>16</v>
      </c>
      <c r="J200" s="1">
        <v>1.25E8</v>
      </c>
      <c r="K200" s="1">
        <v>2006.0</v>
      </c>
      <c r="L200" s="1">
        <v>6.6</v>
      </c>
      <c r="O200" s="3"/>
      <c r="S200" s="4"/>
    </row>
    <row r="201" ht="14.25" customHeight="1">
      <c r="A201" s="1" t="s">
        <v>532</v>
      </c>
      <c r="B201" s="1">
        <v>101.0</v>
      </c>
      <c r="C201" s="1">
        <v>1.31536019E8</v>
      </c>
      <c r="D201" s="1" t="s">
        <v>533</v>
      </c>
      <c r="E201" s="1" t="s">
        <v>534</v>
      </c>
      <c r="F201" s="1" t="s">
        <v>535</v>
      </c>
      <c r="G201" s="1">
        <v>58498.0</v>
      </c>
      <c r="H201" s="1">
        <v>99.0</v>
      </c>
      <c r="I201" s="1" t="s">
        <v>16</v>
      </c>
      <c r="J201" s="1">
        <v>1.03E8</v>
      </c>
      <c r="K201" s="1">
        <v>2014.0</v>
      </c>
      <c r="L201" s="1">
        <v>6.4</v>
      </c>
      <c r="O201" s="3"/>
      <c r="S201" s="4"/>
    </row>
    <row r="202" ht="14.25" customHeight="1">
      <c r="A202" s="1" t="s">
        <v>51</v>
      </c>
      <c r="B202" s="1">
        <v>134.0</v>
      </c>
      <c r="C202" s="1">
        <v>2.1494878E8</v>
      </c>
      <c r="D202" s="1" t="s">
        <v>114</v>
      </c>
      <c r="E202" s="1" t="s">
        <v>115</v>
      </c>
      <c r="F202" s="1" t="s">
        <v>536</v>
      </c>
      <c r="G202" s="1">
        <v>405973.0</v>
      </c>
      <c r="H202" s="1">
        <v>1055.0</v>
      </c>
      <c r="I202" s="1" t="s">
        <v>16</v>
      </c>
      <c r="J202" s="1">
        <v>1.1E8</v>
      </c>
      <c r="K202" s="1">
        <v>2003.0</v>
      </c>
      <c r="L202" s="1">
        <v>7.5</v>
      </c>
      <c r="O202" s="3"/>
      <c r="S202" s="4"/>
    </row>
    <row r="203" ht="14.25" customHeight="1">
      <c r="A203" s="1" t="s">
        <v>174</v>
      </c>
      <c r="B203" s="1">
        <v>132.0</v>
      </c>
      <c r="C203" s="1">
        <v>2.09805005E8</v>
      </c>
      <c r="D203" s="1" t="s">
        <v>146</v>
      </c>
      <c r="E203" s="1" t="s">
        <v>289</v>
      </c>
      <c r="F203" s="1" t="s">
        <v>537</v>
      </c>
      <c r="G203" s="1">
        <v>284792.0</v>
      </c>
      <c r="H203" s="1">
        <v>366.0</v>
      </c>
      <c r="I203" s="1" t="s">
        <v>16</v>
      </c>
      <c r="J203" s="1">
        <v>1.25E8</v>
      </c>
      <c r="K203" s="1">
        <v>2011.0</v>
      </c>
      <c r="L203" s="1">
        <v>7.3</v>
      </c>
      <c r="O203" s="3"/>
      <c r="S203" s="4"/>
    </row>
    <row r="204" ht="14.25" customHeight="1">
      <c r="A204" s="1" t="s">
        <v>538</v>
      </c>
      <c r="B204" s="1">
        <v>129.0</v>
      </c>
      <c r="C204" s="1">
        <v>1.86830669E8</v>
      </c>
      <c r="D204" s="1" t="s">
        <v>539</v>
      </c>
      <c r="E204" s="1" t="s">
        <v>96</v>
      </c>
      <c r="F204" s="1" t="s">
        <v>540</v>
      </c>
      <c r="G204" s="1">
        <v>338635.0</v>
      </c>
      <c r="H204" s="1">
        <v>412.0</v>
      </c>
      <c r="I204" s="1" t="s">
        <v>16</v>
      </c>
      <c r="J204" s="1">
        <v>1.25E8</v>
      </c>
      <c r="K204" s="1">
        <v>2011.0</v>
      </c>
      <c r="L204" s="1">
        <v>7.5</v>
      </c>
      <c r="O204" s="3"/>
      <c r="S204" s="4"/>
    </row>
    <row r="205" ht="14.25" customHeight="1">
      <c r="A205" s="1" t="s">
        <v>472</v>
      </c>
      <c r="B205" s="1">
        <v>106.0</v>
      </c>
      <c r="C205" s="1">
        <v>1.63192114E8</v>
      </c>
      <c r="D205" s="1" t="s">
        <v>18</v>
      </c>
      <c r="E205" s="1" t="s">
        <v>100</v>
      </c>
      <c r="F205" s="1" t="s">
        <v>541</v>
      </c>
      <c r="G205" s="1">
        <v>229679.0</v>
      </c>
      <c r="H205" s="1">
        <v>637.0</v>
      </c>
      <c r="I205" s="1" t="s">
        <v>16</v>
      </c>
      <c r="J205" s="1">
        <v>1.25E8</v>
      </c>
      <c r="K205" s="1">
        <v>2010.0</v>
      </c>
      <c r="L205" s="1">
        <v>5.8</v>
      </c>
      <c r="O205" s="3"/>
      <c r="S205" s="4"/>
    </row>
    <row r="206" ht="14.25" customHeight="1">
      <c r="A206" s="1" t="s">
        <v>542</v>
      </c>
      <c r="B206" s="1">
        <v>113.0</v>
      </c>
      <c r="C206" s="1">
        <v>1.19412921E8</v>
      </c>
      <c r="D206" s="1" t="s">
        <v>278</v>
      </c>
      <c r="E206" s="1" t="s">
        <v>543</v>
      </c>
      <c r="F206" s="1" t="s">
        <v>544</v>
      </c>
      <c r="G206" s="1">
        <v>240241.0</v>
      </c>
      <c r="H206" s="1">
        <v>391.0</v>
      </c>
      <c r="I206" s="1" t="s">
        <v>16</v>
      </c>
      <c r="J206" s="1">
        <v>6.5E7</v>
      </c>
      <c r="K206" s="1">
        <v>1990.0</v>
      </c>
      <c r="L206" s="1">
        <v>7.5</v>
      </c>
      <c r="O206" s="3"/>
      <c r="S206" s="4"/>
    </row>
    <row r="207" ht="14.25" customHeight="1">
      <c r="A207" s="1" t="s">
        <v>545</v>
      </c>
      <c r="B207" s="1">
        <v>102.0</v>
      </c>
      <c r="C207" s="1">
        <v>3.2694788E7</v>
      </c>
      <c r="D207" s="1" t="s">
        <v>546</v>
      </c>
      <c r="E207" s="1" t="s">
        <v>547</v>
      </c>
      <c r="F207" s="1" t="s">
        <v>548</v>
      </c>
      <c r="G207" s="1">
        <v>101411.0</v>
      </c>
      <c r="H207" s="1">
        <v>546.0</v>
      </c>
      <c r="I207" s="1" t="s">
        <v>16</v>
      </c>
      <c r="J207" s="1">
        <v>8.5E7</v>
      </c>
      <c r="K207" s="1">
        <v>1999.0</v>
      </c>
      <c r="L207" s="1">
        <v>6.6</v>
      </c>
      <c r="O207" s="3"/>
      <c r="S207" s="4"/>
    </row>
    <row r="208" ht="14.25" customHeight="1">
      <c r="A208" s="1" t="s">
        <v>549</v>
      </c>
      <c r="B208" s="1">
        <v>135.0</v>
      </c>
      <c r="C208" s="1">
        <v>1.13165635E8</v>
      </c>
      <c r="D208" s="1" t="s">
        <v>22</v>
      </c>
      <c r="E208" s="1" t="s">
        <v>550</v>
      </c>
      <c r="F208" s="1" t="s">
        <v>551</v>
      </c>
      <c r="G208" s="1">
        <v>229823.0</v>
      </c>
      <c r="H208" s="1">
        <v>504.0</v>
      </c>
      <c r="I208" s="1" t="s">
        <v>16</v>
      </c>
      <c r="J208" s="1">
        <v>1.25E8</v>
      </c>
      <c r="K208" s="1">
        <v>2012.0</v>
      </c>
      <c r="L208" s="1">
        <v>6.7</v>
      </c>
      <c r="O208" s="3"/>
      <c r="S208" s="4"/>
    </row>
    <row r="209" ht="14.25" customHeight="1">
      <c r="A209" s="1" t="s">
        <v>552</v>
      </c>
      <c r="B209" s="1">
        <v>125.0</v>
      </c>
      <c r="C209" s="1">
        <v>1.07285004E8</v>
      </c>
      <c r="D209" s="1" t="s">
        <v>553</v>
      </c>
      <c r="E209" s="1" t="s">
        <v>554</v>
      </c>
      <c r="F209" s="1" t="s">
        <v>555</v>
      </c>
      <c r="G209" s="1">
        <v>189855.0</v>
      </c>
      <c r="H209" s="1">
        <v>1018.0</v>
      </c>
      <c r="I209" s="1" t="s">
        <v>16</v>
      </c>
      <c r="J209" s="1">
        <v>1.25E8</v>
      </c>
      <c r="K209" s="1">
        <v>1997.0</v>
      </c>
      <c r="L209" s="1">
        <v>3.7</v>
      </c>
      <c r="O209" s="3"/>
      <c r="S209" s="4"/>
    </row>
    <row r="210" ht="14.25" customHeight="1">
      <c r="A210" s="1" t="s">
        <v>361</v>
      </c>
      <c r="B210" s="1">
        <v>110.0</v>
      </c>
      <c r="C210" s="1">
        <v>2.60031035E8</v>
      </c>
      <c r="D210" s="1" t="s">
        <v>222</v>
      </c>
      <c r="E210" s="1" t="s">
        <v>556</v>
      </c>
      <c r="F210" s="1" t="s">
        <v>557</v>
      </c>
      <c r="G210" s="1">
        <v>141414.0</v>
      </c>
      <c r="H210" s="1">
        <v>482.0</v>
      </c>
      <c r="I210" s="1" t="s">
        <v>16</v>
      </c>
      <c r="J210" s="1">
        <v>1.23E8</v>
      </c>
      <c r="K210" s="1">
        <v>2000.0</v>
      </c>
      <c r="L210" s="1">
        <v>6.0</v>
      </c>
      <c r="O210" s="3"/>
      <c r="S210" s="4"/>
    </row>
    <row r="211" ht="14.25" customHeight="1">
      <c r="A211" s="1" t="s">
        <v>183</v>
      </c>
      <c r="B211" s="1">
        <v>124.0</v>
      </c>
      <c r="C211" s="1">
        <v>1.86739919E8</v>
      </c>
      <c r="D211" s="1" t="s">
        <v>99</v>
      </c>
      <c r="E211" s="1" t="s">
        <v>162</v>
      </c>
      <c r="F211" s="1" t="s">
        <v>558</v>
      </c>
      <c r="G211" s="1">
        <v>333248.0</v>
      </c>
      <c r="H211" s="1">
        <v>1159.0</v>
      </c>
      <c r="I211" s="1" t="s">
        <v>16</v>
      </c>
      <c r="J211" s="1">
        <v>1.25E8</v>
      </c>
      <c r="K211" s="1">
        <v>2004.0</v>
      </c>
      <c r="L211" s="1">
        <v>6.4</v>
      </c>
      <c r="O211" s="3"/>
      <c r="S211" s="4"/>
    </row>
    <row r="212" ht="14.25" customHeight="1">
      <c r="A212" s="1" t="s">
        <v>559</v>
      </c>
      <c r="B212" s="1">
        <v>123.0</v>
      </c>
      <c r="C212" s="1">
        <v>2.15397307E8</v>
      </c>
      <c r="D212" s="1" t="s">
        <v>22</v>
      </c>
      <c r="E212" s="1" t="s">
        <v>226</v>
      </c>
      <c r="F212" s="1" t="s">
        <v>560</v>
      </c>
      <c r="G212" s="1">
        <v>242188.0</v>
      </c>
      <c r="H212" s="1">
        <v>1426.0</v>
      </c>
      <c r="I212" s="1" t="s">
        <v>16</v>
      </c>
      <c r="J212" s="1">
        <v>1.25E8</v>
      </c>
      <c r="K212" s="1">
        <v>2000.0</v>
      </c>
      <c r="L212" s="1">
        <v>6.1</v>
      </c>
      <c r="O212" s="3"/>
      <c r="S212" s="4"/>
    </row>
    <row r="213" ht="14.25" customHeight="1">
      <c r="A213" s="1" t="s">
        <v>303</v>
      </c>
      <c r="B213" s="1">
        <v>130.0</v>
      </c>
      <c r="C213" s="1">
        <v>1.82618434E8</v>
      </c>
      <c r="D213" s="1" t="s">
        <v>304</v>
      </c>
      <c r="E213" s="1" t="s">
        <v>561</v>
      </c>
      <c r="F213" s="1" t="s">
        <v>562</v>
      </c>
      <c r="G213" s="1">
        <v>133076.0</v>
      </c>
      <c r="H213" s="1">
        <v>779.0</v>
      </c>
      <c r="I213" s="1" t="s">
        <v>16</v>
      </c>
      <c r="J213" s="1">
        <v>1.4E8</v>
      </c>
      <c r="K213" s="1">
        <v>2000.0</v>
      </c>
      <c r="L213" s="1">
        <v>6.4</v>
      </c>
      <c r="O213" s="3"/>
      <c r="S213" s="4"/>
    </row>
    <row r="214" ht="14.25" customHeight="1">
      <c r="A214" s="1" t="s">
        <v>563</v>
      </c>
      <c r="B214" s="1">
        <v>92.0</v>
      </c>
      <c r="C214" s="1">
        <v>1.31920333E8</v>
      </c>
      <c r="D214" s="1" t="s">
        <v>99</v>
      </c>
      <c r="E214" s="1" t="s">
        <v>459</v>
      </c>
      <c r="F214" s="1" t="s">
        <v>564</v>
      </c>
      <c r="G214" s="1">
        <v>213275.0</v>
      </c>
      <c r="H214" s="1">
        <v>436.0</v>
      </c>
      <c r="I214" s="1" t="s">
        <v>16</v>
      </c>
      <c r="J214" s="1">
        <v>1.3E8</v>
      </c>
      <c r="K214" s="1">
        <v>2007.0</v>
      </c>
      <c r="L214" s="1">
        <v>5.6</v>
      </c>
      <c r="O214" s="3"/>
      <c r="S214" s="4"/>
    </row>
    <row r="215" ht="14.25" customHeight="1">
      <c r="A215" s="1" t="s">
        <v>448</v>
      </c>
      <c r="B215" s="1">
        <v>127.0</v>
      </c>
      <c r="C215" s="1">
        <v>1.24976634E8</v>
      </c>
      <c r="D215" s="1" t="s">
        <v>565</v>
      </c>
      <c r="E215" s="1" t="s">
        <v>566</v>
      </c>
      <c r="F215" s="1" t="s">
        <v>567</v>
      </c>
      <c r="G215" s="1">
        <v>440084.0</v>
      </c>
      <c r="H215" s="1">
        <v>755.0</v>
      </c>
      <c r="I215" s="1" t="s">
        <v>16</v>
      </c>
      <c r="J215" s="1">
        <v>1.2E8</v>
      </c>
      <c r="K215" s="1">
        <v>2012.0</v>
      </c>
      <c r="L215" s="1">
        <v>8.0</v>
      </c>
      <c r="O215" s="3"/>
      <c r="S215" s="4"/>
    </row>
    <row r="216" ht="14.25" customHeight="1">
      <c r="A216" s="1" t="s">
        <v>568</v>
      </c>
      <c r="B216" s="1">
        <v>123.0</v>
      </c>
      <c r="C216" s="1">
        <v>1.15802596E8</v>
      </c>
      <c r="D216" s="1" t="s">
        <v>569</v>
      </c>
      <c r="E216" s="1" t="s">
        <v>301</v>
      </c>
      <c r="F216" s="1" t="s">
        <v>570</v>
      </c>
      <c r="G216" s="1">
        <v>182661.0</v>
      </c>
      <c r="H216" s="1">
        <v>681.0</v>
      </c>
      <c r="I216" s="1" t="s">
        <v>16</v>
      </c>
      <c r="J216" s="1">
        <v>1.1E8</v>
      </c>
      <c r="K216" s="1">
        <v>2007.0</v>
      </c>
      <c r="L216" s="1">
        <v>5.2</v>
      </c>
      <c r="O216" s="3"/>
      <c r="S216" s="4"/>
    </row>
    <row r="217" ht="14.25" customHeight="1">
      <c r="A217" s="1" t="s">
        <v>484</v>
      </c>
      <c r="B217" s="1">
        <v>123.0</v>
      </c>
      <c r="C217" s="1">
        <v>1.08521835E8</v>
      </c>
      <c r="D217" s="1" t="s">
        <v>26</v>
      </c>
      <c r="E217" s="1" t="s">
        <v>486</v>
      </c>
      <c r="F217" s="1" t="s">
        <v>571</v>
      </c>
      <c r="G217" s="1">
        <v>40123.0</v>
      </c>
      <c r="H217" s="1">
        <v>297.0</v>
      </c>
      <c r="I217" s="1" t="s">
        <v>16</v>
      </c>
      <c r="J217" s="1">
        <v>1.2E8</v>
      </c>
      <c r="K217" s="1">
        <v>2016.0</v>
      </c>
      <c r="L217" s="1">
        <v>7.1</v>
      </c>
      <c r="O217" s="3"/>
      <c r="S217" s="4"/>
    </row>
    <row r="218" ht="14.25" customHeight="1">
      <c r="A218" s="1" t="s">
        <v>142</v>
      </c>
      <c r="B218" s="1">
        <v>107.0</v>
      </c>
      <c r="C218" s="1">
        <v>1.0068588E8</v>
      </c>
      <c r="D218" s="1" t="s">
        <v>572</v>
      </c>
      <c r="E218" s="1" t="s">
        <v>573</v>
      </c>
      <c r="F218" s="1" t="s">
        <v>574</v>
      </c>
      <c r="G218" s="1">
        <v>100821.0</v>
      </c>
      <c r="H218" s="1">
        <v>554.0</v>
      </c>
      <c r="I218" s="1" t="s">
        <v>16</v>
      </c>
      <c r="J218" s="1">
        <v>1.2E8</v>
      </c>
      <c r="K218" s="1">
        <v>2003.0</v>
      </c>
      <c r="L218" s="1">
        <v>4.8</v>
      </c>
      <c r="O218" s="3"/>
      <c r="S218" s="4"/>
    </row>
    <row r="219" ht="14.25" customHeight="1">
      <c r="A219" s="1" t="s">
        <v>80</v>
      </c>
      <c r="B219" s="1">
        <v>124.0</v>
      </c>
      <c r="C219" s="1">
        <v>1.26464904E8</v>
      </c>
      <c r="D219" s="1" t="s">
        <v>575</v>
      </c>
      <c r="E219" s="1" t="s">
        <v>576</v>
      </c>
      <c r="F219" s="1" t="s">
        <v>577</v>
      </c>
      <c r="G219" s="1">
        <v>456260.0</v>
      </c>
      <c r="H219" s="1">
        <v>2326.0</v>
      </c>
      <c r="I219" s="1" t="s">
        <v>16</v>
      </c>
      <c r="J219" s="1">
        <v>1.3E8</v>
      </c>
      <c r="K219" s="1">
        <v>2012.0</v>
      </c>
      <c r="L219" s="1">
        <v>7.0</v>
      </c>
      <c r="O219" s="3"/>
      <c r="S219" s="4"/>
    </row>
    <row r="220" ht="14.25" customHeight="1">
      <c r="A220" s="1" t="s">
        <v>401</v>
      </c>
      <c r="B220" s="1">
        <v>77.0</v>
      </c>
      <c r="C220" s="1">
        <v>6.4736114E7</v>
      </c>
      <c r="D220" s="1" t="s">
        <v>118</v>
      </c>
      <c r="E220" s="1" t="s">
        <v>578</v>
      </c>
      <c r="F220" s="1" t="s">
        <v>579</v>
      </c>
      <c r="G220" s="1">
        <v>36471.0</v>
      </c>
      <c r="H220" s="1">
        <v>69.0</v>
      </c>
      <c r="I220" s="1" t="s">
        <v>16</v>
      </c>
      <c r="J220" s="1">
        <v>1.2E8</v>
      </c>
      <c r="K220" s="1">
        <v>2002.0</v>
      </c>
      <c r="L220" s="1">
        <v>5.4</v>
      </c>
      <c r="O220" s="3"/>
      <c r="S220" s="4"/>
    </row>
    <row r="221" ht="14.25" customHeight="1">
      <c r="A221" s="1" t="s">
        <v>580</v>
      </c>
      <c r="B221" s="1">
        <v>109.0</v>
      </c>
      <c r="C221" s="1">
        <v>9.3050117E7</v>
      </c>
      <c r="D221" s="1" t="s">
        <v>581</v>
      </c>
      <c r="E221" s="1" t="s">
        <v>486</v>
      </c>
      <c r="F221" s="1" t="s">
        <v>582</v>
      </c>
      <c r="G221" s="1">
        <v>338087.0</v>
      </c>
      <c r="H221" s="1">
        <v>814.0</v>
      </c>
      <c r="I221" s="1" t="s">
        <v>16</v>
      </c>
      <c r="J221" s="1">
        <v>1.15E8</v>
      </c>
      <c r="K221" s="1">
        <v>2013.0</v>
      </c>
      <c r="L221" s="1">
        <v>6.6</v>
      </c>
      <c r="O221" s="3"/>
      <c r="S221" s="4"/>
    </row>
    <row r="222" ht="14.25" customHeight="1">
      <c r="A222" s="1" t="s">
        <v>583</v>
      </c>
      <c r="B222" s="1">
        <v>134.0</v>
      </c>
      <c r="C222" s="1">
        <v>5.7637485E7</v>
      </c>
      <c r="D222" s="1" t="s">
        <v>99</v>
      </c>
      <c r="E222" s="1" t="s">
        <v>584</v>
      </c>
      <c r="F222" s="1" t="s">
        <v>585</v>
      </c>
      <c r="G222" s="1">
        <v>183909.0</v>
      </c>
      <c r="H222" s="1">
        <v>666.0</v>
      </c>
      <c r="I222" s="1" t="s">
        <v>16</v>
      </c>
      <c r="J222" s="1">
        <v>1.05E8</v>
      </c>
      <c r="K222" s="1">
        <v>2004.0</v>
      </c>
      <c r="L222" s="1">
        <v>6.7</v>
      </c>
      <c r="O222" s="3"/>
      <c r="S222" s="4"/>
    </row>
    <row r="223" ht="14.25" customHeight="1">
      <c r="A223" s="1" t="s">
        <v>586</v>
      </c>
      <c r="B223" s="1">
        <v>117.0</v>
      </c>
      <c r="C223" s="1">
        <v>5.8607007E7</v>
      </c>
      <c r="D223" s="1" t="s">
        <v>587</v>
      </c>
      <c r="E223" s="1" t="s">
        <v>249</v>
      </c>
      <c r="F223" s="1" t="s">
        <v>588</v>
      </c>
      <c r="G223" s="1">
        <v>182899.0</v>
      </c>
      <c r="H223" s="1">
        <v>630.0</v>
      </c>
      <c r="I223" s="1" t="s">
        <v>16</v>
      </c>
      <c r="J223" s="1">
        <v>1.0E8</v>
      </c>
      <c r="K223" s="1">
        <v>2014.0</v>
      </c>
      <c r="L223" s="1">
        <v>6.2</v>
      </c>
      <c r="O223" s="3"/>
      <c r="S223" s="4"/>
    </row>
    <row r="224" ht="14.25" customHeight="1">
      <c r="A224" s="1" t="s">
        <v>190</v>
      </c>
      <c r="B224" s="1">
        <v>135.0</v>
      </c>
      <c r="C224" s="1">
        <v>4.3929341E7</v>
      </c>
      <c r="D224" s="1" t="s">
        <v>589</v>
      </c>
      <c r="E224" s="1" t="s">
        <v>590</v>
      </c>
      <c r="F224" s="1" t="s">
        <v>591</v>
      </c>
      <c r="G224" s="1">
        <v>57873.0</v>
      </c>
      <c r="H224" s="1">
        <v>414.0</v>
      </c>
      <c r="I224" s="1" t="s">
        <v>16</v>
      </c>
      <c r="J224" s="1">
        <v>1.2E8</v>
      </c>
      <c r="K224" s="1">
        <v>2008.0</v>
      </c>
      <c r="L224" s="1">
        <v>6.1</v>
      </c>
      <c r="O224" s="3"/>
      <c r="S224" s="4"/>
    </row>
    <row r="225" ht="14.25" customHeight="1">
      <c r="A225" s="1" t="s">
        <v>592</v>
      </c>
      <c r="B225" s="1">
        <v>121.0</v>
      </c>
      <c r="C225" s="1">
        <v>3.021262E7</v>
      </c>
      <c r="D225" s="1" t="s">
        <v>593</v>
      </c>
      <c r="E225" s="1" t="s">
        <v>594</v>
      </c>
      <c r="F225" s="1" t="s">
        <v>595</v>
      </c>
      <c r="G225" s="1">
        <v>35066.0</v>
      </c>
      <c r="H225" s="1">
        <v>196.0</v>
      </c>
      <c r="I225" s="1" t="s">
        <v>16</v>
      </c>
      <c r="J225" s="1">
        <v>1.2E8</v>
      </c>
      <c r="K225" s="1">
        <v>2010.0</v>
      </c>
      <c r="L225" s="1">
        <v>5.3</v>
      </c>
      <c r="O225" s="3"/>
      <c r="S225" s="4"/>
    </row>
    <row r="226" ht="14.25" customHeight="1">
      <c r="A226" s="1" t="s">
        <v>596</v>
      </c>
      <c r="B226" s="1">
        <v>117.0</v>
      </c>
      <c r="C226" s="1">
        <v>7.6418654E7</v>
      </c>
      <c r="D226" s="1" t="s">
        <v>597</v>
      </c>
      <c r="E226" s="1" t="s">
        <v>226</v>
      </c>
      <c r="F226" s="1" t="s">
        <v>598</v>
      </c>
      <c r="G226" s="1">
        <v>148280.0</v>
      </c>
      <c r="H226" s="1">
        <v>348.0</v>
      </c>
      <c r="I226" s="1" t="s">
        <v>16</v>
      </c>
      <c r="J226" s="1">
        <v>1.17E8</v>
      </c>
      <c r="K226" s="1">
        <v>2010.0</v>
      </c>
      <c r="L226" s="1">
        <v>6.3</v>
      </c>
      <c r="O226" s="3"/>
      <c r="S226" s="4"/>
    </row>
    <row r="227" ht="14.25" customHeight="1">
      <c r="A227" s="1" t="s">
        <v>129</v>
      </c>
      <c r="B227" s="1">
        <v>124.0</v>
      </c>
      <c r="C227" s="1">
        <v>8.9021735E7</v>
      </c>
      <c r="D227" s="1" t="s">
        <v>599</v>
      </c>
      <c r="E227" s="1" t="s">
        <v>600</v>
      </c>
      <c r="F227" s="1" t="s">
        <v>601</v>
      </c>
      <c r="G227" s="1">
        <v>387436.0</v>
      </c>
      <c r="H227" s="1">
        <v>892.0</v>
      </c>
      <c r="I227" s="1" t="s">
        <v>16</v>
      </c>
      <c r="J227" s="1">
        <v>1.2E8</v>
      </c>
      <c r="K227" s="1">
        <v>2013.0</v>
      </c>
      <c r="L227" s="1">
        <v>7.0</v>
      </c>
      <c r="O227" s="3"/>
      <c r="S227" s="4"/>
    </row>
    <row r="228" ht="14.25" customHeight="1">
      <c r="A228" s="1" t="s">
        <v>602</v>
      </c>
      <c r="B228" s="1">
        <v>140.0</v>
      </c>
      <c r="C228" s="1">
        <v>3.80262555E8</v>
      </c>
      <c r="D228" s="1" t="s">
        <v>13</v>
      </c>
      <c r="E228" s="1" t="s">
        <v>603</v>
      </c>
      <c r="F228" s="1" t="s">
        <v>604</v>
      </c>
      <c r="G228" s="1">
        <v>520104.0</v>
      </c>
      <c r="H228" s="1">
        <v>3286.0</v>
      </c>
      <c r="I228" s="1" t="s">
        <v>16</v>
      </c>
      <c r="J228" s="1">
        <v>1.13E8</v>
      </c>
      <c r="K228" s="1">
        <v>2005.0</v>
      </c>
      <c r="L228" s="1">
        <v>7.6</v>
      </c>
      <c r="O228" s="3"/>
      <c r="S228" s="4"/>
    </row>
    <row r="229" ht="14.25" customHeight="1">
      <c r="A229" s="1" t="s">
        <v>602</v>
      </c>
      <c r="B229" s="1">
        <v>142.0</v>
      </c>
      <c r="C229" s="1">
        <v>3.10675583E8</v>
      </c>
      <c r="D229" s="1" t="s">
        <v>13</v>
      </c>
      <c r="E229" s="1" t="s">
        <v>603</v>
      </c>
      <c r="F229" s="1" t="s">
        <v>605</v>
      </c>
      <c r="G229" s="1">
        <v>464310.0</v>
      </c>
      <c r="H229" s="1">
        <v>3516.0</v>
      </c>
      <c r="I229" s="1" t="s">
        <v>16</v>
      </c>
      <c r="J229" s="1">
        <v>1.15E8</v>
      </c>
      <c r="K229" s="1">
        <v>2002.0</v>
      </c>
      <c r="L229" s="1">
        <v>6.7</v>
      </c>
      <c r="O229" s="3"/>
      <c r="S229" s="4"/>
    </row>
    <row r="230" ht="14.25" customHeight="1">
      <c r="A230" s="1" t="s">
        <v>199</v>
      </c>
      <c r="B230" s="1">
        <v>92.0</v>
      </c>
      <c r="C230" s="1">
        <v>2.89907418E8</v>
      </c>
      <c r="D230" s="1" t="s">
        <v>118</v>
      </c>
      <c r="E230" s="1" t="s">
        <v>119</v>
      </c>
      <c r="F230" s="1" t="s">
        <v>606</v>
      </c>
      <c r="G230" s="1">
        <v>585659.0</v>
      </c>
      <c r="H230" s="1">
        <v>593.0</v>
      </c>
      <c r="I230" s="1" t="s">
        <v>16</v>
      </c>
      <c r="J230" s="1">
        <v>1.15E8</v>
      </c>
      <c r="K230" s="1">
        <v>2001.0</v>
      </c>
      <c r="L230" s="1">
        <v>8.1</v>
      </c>
      <c r="O230" s="3"/>
      <c r="S230" s="4"/>
    </row>
    <row r="231" ht="14.25" customHeight="1">
      <c r="A231" s="1" t="s">
        <v>596</v>
      </c>
      <c r="B231" s="1">
        <v>138.0</v>
      </c>
      <c r="C231" s="1">
        <v>1.3255096E8</v>
      </c>
      <c r="D231" s="1" t="s">
        <v>99</v>
      </c>
      <c r="E231" s="1" t="s">
        <v>115</v>
      </c>
      <c r="F231" s="1" t="s">
        <v>607</v>
      </c>
      <c r="G231" s="1">
        <v>328067.0</v>
      </c>
      <c r="H231" s="1">
        <v>533.0</v>
      </c>
      <c r="I231" s="1" t="s">
        <v>16</v>
      </c>
      <c r="J231" s="1">
        <v>1.2E8</v>
      </c>
      <c r="K231" s="1">
        <v>2013.0</v>
      </c>
      <c r="L231" s="1">
        <v>6.7</v>
      </c>
      <c r="O231" s="3"/>
      <c r="S231" s="4"/>
    </row>
    <row r="232" ht="14.25" customHeight="1">
      <c r="A232" s="1" t="s">
        <v>602</v>
      </c>
      <c r="B232" s="1">
        <v>136.0</v>
      </c>
      <c r="C232" s="1">
        <v>4.74544677E8</v>
      </c>
      <c r="D232" s="1" t="s">
        <v>13</v>
      </c>
      <c r="E232" s="1" t="s">
        <v>603</v>
      </c>
      <c r="F232" s="1" t="s">
        <v>608</v>
      </c>
      <c r="G232" s="1">
        <v>534658.0</v>
      </c>
      <c r="H232" s="1">
        <v>3597.0</v>
      </c>
      <c r="I232" s="1" t="s">
        <v>16</v>
      </c>
      <c r="J232" s="1">
        <v>1.15E8</v>
      </c>
      <c r="K232" s="1">
        <v>1999.0</v>
      </c>
      <c r="L232" s="1">
        <v>6.5</v>
      </c>
      <c r="O232" s="3"/>
      <c r="S232" s="4"/>
    </row>
    <row r="233" ht="14.25" customHeight="1">
      <c r="A233" s="1" t="s">
        <v>609</v>
      </c>
      <c r="B233" s="1">
        <v>98.0</v>
      </c>
      <c r="C233" s="1">
        <v>1.87165546E8</v>
      </c>
      <c r="D233" s="1" t="s">
        <v>118</v>
      </c>
      <c r="E233" s="1" t="s">
        <v>137</v>
      </c>
      <c r="F233" s="1" t="s">
        <v>610</v>
      </c>
      <c r="G233" s="1">
        <v>150618.0</v>
      </c>
      <c r="H233" s="1">
        <v>195.0</v>
      </c>
      <c r="I233" s="1" t="s">
        <v>16</v>
      </c>
      <c r="J233" s="1">
        <v>1.35E8</v>
      </c>
      <c r="K233" s="1">
        <v>2013.0</v>
      </c>
      <c r="L233" s="1">
        <v>7.3</v>
      </c>
      <c r="O233" s="3"/>
      <c r="S233" s="4"/>
    </row>
    <row r="234" ht="14.25" customHeight="1">
      <c r="A234" s="1" t="s">
        <v>559</v>
      </c>
      <c r="B234" s="1">
        <v>153.0</v>
      </c>
      <c r="C234" s="1">
        <v>4.091183E7</v>
      </c>
      <c r="D234" s="1" t="s">
        <v>611</v>
      </c>
      <c r="E234" s="1" t="s">
        <v>301</v>
      </c>
      <c r="F234" s="1" t="s">
        <v>612</v>
      </c>
      <c r="G234" s="1">
        <v>55994.0</v>
      </c>
      <c r="H234" s="1">
        <v>454.0</v>
      </c>
      <c r="I234" s="1" t="s">
        <v>16</v>
      </c>
      <c r="J234" s="1">
        <v>1.15E8</v>
      </c>
      <c r="K234" s="1">
        <v>2002.0</v>
      </c>
      <c r="L234" s="1">
        <v>6.0</v>
      </c>
      <c r="O234" s="3"/>
      <c r="S234" s="4"/>
    </row>
    <row r="235" ht="14.25" customHeight="1">
      <c r="A235" s="1" t="s">
        <v>613</v>
      </c>
      <c r="B235" s="1">
        <v>120.0</v>
      </c>
      <c r="C235" s="1">
        <v>4.795202E7</v>
      </c>
      <c r="D235" s="1" t="s">
        <v>241</v>
      </c>
      <c r="E235" s="1" t="s">
        <v>42</v>
      </c>
      <c r="F235" s="1" t="s">
        <v>614</v>
      </c>
      <c r="G235" s="1">
        <v>37750.0</v>
      </c>
      <c r="H235" s="1">
        <v>134.0</v>
      </c>
      <c r="I235" s="1" t="s">
        <v>16</v>
      </c>
      <c r="J235" s="1">
        <v>1.15E8</v>
      </c>
      <c r="K235" s="1">
        <v>2016.0</v>
      </c>
      <c r="L235" s="1">
        <v>6.1</v>
      </c>
      <c r="O235" s="3"/>
      <c r="S235" s="4"/>
    </row>
    <row r="236" ht="14.25" customHeight="1">
      <c r="A236" s="1" t="s">
        <v>373</v>
      </c>
      <c r="B236" s="1">
        <v>101.0</v>
      </c>
      <c r="C236" s="1">
        <v>1.9087124E8</v>
      </c>
      <c r="D236" s="1" t="s">
        <v>219</v>
      </c>
      <c r="E236" s="1" t="s">
        <v>615</v>
      </c>
      <c r="F236" s="1" t="s">
        <v>616</v>
      </c>
      <c r="G236" s="1">
        <v>167085.0</v>
      </c>
      <c r="H236" s="1">
        <v>491.0</v>
      </c>
      <c r="I236" s="1" t="s">
        <v>16</v>
      </c>
      <c r="J236" s="1">
        <v>1.25E8</v>
      </c>
      <c r="K236" s="1">
        <v>2014.0</v>
      </c>
      <c r="L236" s="1">
        <v>5.9</v>
      </c>
      <c r="O236" s="3"/>
      <c r="S236" s="4"/>
    </row>
    <row r="237" ht="14.25" customHeight="1">
      <c r="A237" s="1" t="s">
        <v>510</v>
      </c>
      <c r="B237" s="1">
        <v>91.0</v>
      </c>
      <c r="C237" s="1">
        <v>2.74084951E8</v>
      </c>
      <c r="D237" s="1" t="s">
        <v>617</v>
      </c>
      <c r="E237" s="1" t="s">
        <v>618</v>
      </c>
      <c r="F237" s="1" t="s">
        <v>619</v>
      </c>
      <c r="G237" s="1">
        <v>582917.0</v>
      </c>
      <c r="H237" s="1">
        <v>1885.0</v>
      </c>
      <c r="I237" s="1" t="s">
        <v>16</v>
      </c>
      <c r="J237" s="1">
        <v>1.0E8</v>
      </c>
      <c r="K237" s="1">
        <v>2013.0</v>
      </c>
      <c r="L237" s="1">
        <v>7.8</v>
      </c>
      <c r="O237" s="3"/>
      <c r="S237" s="4"/>
    </row>
    <row r="238" ht="14.25" customHeight="1">
      <c r="A238" s="1" t="s">
        <v>620</v>
      </c>
      <c r="B238" s="1">
        <v>108.0</v>
      </c>
      <c r="C238" s="1">
        <v>6.7155742E7</v>
      </c>
      <c r="D238" s="1" t="s">
        <v>22</v>
      </c>
      <c r="E238" s="1" t="s">
        <v>621</v>
      </c>
      <c r="F238" s="1" t="s">
        <v>622</v>
      </c>
      <c r="G238" s="1">
        <v>62271.0</v>
      </c>
      <c r="H238" s="1">
        <v>277.0</v>
      </c>
      <c r="I238" s="1" t="s">
        <v>16</v>
      </c>
      <c r="J238" s="1">
        <v>1.16E8</v>
      </c>
      <c r="K238" s="1">
        <v>1997.0</v>
      </c>
      <c r="L238" s="1">
        <v>5.8</v>
      </c>
      <c r="O238" s="3"/>
      <c r="S238" s="4"/>
    </row>
    <row r="239" ht="14.25" customHeight="1">
      <c r="A239" s="1" t="s">
        <v>623</v>
      </c>
      <c r="B239" s="1">
        <v>112.0</v>
      </c>
      <c r="C239" s="1">
        <v>8.1638674E7</v>
      </c>
      <c r="D239" s="1" t="s">
        <v>219</v>
      </c>
      <c r="E239" s="1" t="s">
        <v>624</v>
      </c>
      <c r="F239" s="1" t="s">
        <v>625</v>
      </c>
      <c r="G239" s="1">
        <v>17533.0</v>
      </c>
      <c r="H239" s="1">
        <v>115.0</v>
      </c>
      <c r="I239" s="1" t="s">
        <v>16</v>
      </c>
      <c r="J239" s="1">
        <v>1.35E8</v>
      </c>
      <c r="K239" s="1">
        <v>2016.0</v>
      </c>
      <c r="L239" s="1">
        <v>6.3</v>
      </c>
      <c r="O239" s="3"/>
      <c r="S239" s="4"/>
    </row>
    <row r="240" ht="14.25" customHeight="1">
      <c r="A240" s="1" t="s">
        <v>626</v>
      </c>
      <c r="B240" s="1">
        <v>100.0</v>
      </c>
      <c r="C240" s="1">
        <v>5.6114221E7</v>
      </c>
      <c r="D240" s="1" t="s">
        <v>30</v>
      </c>
      <c r="E240" s="1" t="s">
        <v>627</v>
      </c>
      <c r="F240" s="1" t="s">
        <v>628</v>
      </c>
      <c r="G240" s="1">
        <v>110486.0</v>
      </c>
      <c r="H240" s="1">
        <v>695.0</v>
      </c>
      <c r="I240" s="1" t="s">
        <v>16</v>
      </c>
      <c r="J240" s="1">
        <v>1.2E8</v>
      </c>
      <c r="K240" s="1">
        <v>2015.0</v>
      </c>
      <c r="L240" s="1">
        <v>4.3</v>
      </c>
      <c r="O240" s="3"/>
      <c r="S240" s="4"/>
    </row>
    <row r="241" ht="14.25" customHeight="1">
      <c r="A241" s="1" t="s">
        <v>345</v>
      </c>
      <c r="B241" s="1">
        <v>108.0</v>
      </c>
      <c r="C241" s="1">
        <v>2.50863268E8</v>
      </c>
      <c r="D241" s="1" t="s">
        <v>629</v>
      </c>
      <c r="E241" s="1" t="s">
        <v>346</v>
      </c>
      <c r="F241" s="1" t="s">
        <v>630</v>
      </c>
      <c r="G241" s="1">
        <v>234480.0</v>
      </c>
      <c r="H241" s="1">
        <v>444.0</v>
      </c>
      <c r="I241" s="1" t="s">
        <v>16</v>
      </c>
      <c r="J241" s="1">
        <v>1.1E8</v>
      </c>
      <c r="K241" s="1">
        <v>2006.0</v>
      </c>
      <c r="L241" s="1">
        <v>6.4</v>
      </c>
      <c r="O241" s="3"/>
      <c r="S241" s="4"/>
    </row>
    <row r="242" ht="14.25" customHeight="1">
      <c r="A242" s="1" t="s">
        <v>631</v>
      </c>
      <c r="B242" s="1">
        <v>114.0</v>
      </c>
      <c r="C242" s="1">
        <v>1.55181732E8</v>
      </c>
      <c r="D242" s="1" t="s">
        <v>304</v>
      </c>
      <c r="E242" s="1" t="s">
        <v>632</v>
      </c>
      <c r="F242" s="1" t="s">
        <v>633</v>
      </c>
      <c r="G242" s="1">
        <v>147497.0</v>
      </c>
      <c r="H242" s="1">
        <v>499.0</v>
      </c>
      <c r="I242" s="1" t="s">
        <v>16</v>
      </c>
      <c r="J242" s="1">
        <v>1.1E8</v>
      </c>
      <c r="K242" s="1">
        <v>2015.0</v>
      </c>
      <c r="L242" s="1">
        <v>6.1</v>
      </c>
      <c r="O242" s="3"/>
      <c r="S242" s="4"/>
    </row>
    <row r="243" ht="14.25" customHeight="1">
      <c r="A243" s="1" t="s">
        <v>634</v>
      </c>
      <c r="B243" s="1">
        <v>119.0</v>
      </c>
      <c r="C243" s="1">
        <v>1.25332007E8</v>
      </c>
      <c r="D243" s="1" t="s">
        <v>22</v>
      </c>
      <c r="E243" s="1" t="s">
        <v>635</v>
      </c>
      <c r="F243" s="1" t="s">
        <v>636</v>
      </c>
      <c r="G243" s="1">
        <v>149680.0</v>
      </c>
      <c r="H243" s="1">
        <v>328.0</v>
      </c>
      <c r="I243" s="1" t="s">
        <v>16</v>
      </c>
      <c r="J243" s="1">
        <v>1.1E8</v>
      </c>
      <c r="K243" s="1">
        <v>1997.0</v>
      </c>
      <c r="L243" s="1">
        <v>6.5</v>
      </c>
      <c r="O243" s="3"/>
      <c r="S243" s="4"/>
    </row>
    <row r="244" ht="14.25" customHeight="1">
      <c r="A244" s="1" t="s">
        <v>183</v>
      </c>
      <c r="B244" s="1">
        <v>142.0</v>
      </c>
      <c r="C244" s="1">
        <v>1.13330342E8</v>
      </c>
      <c r="D244" s="1" t="s">
        <v>431</v>
      </c>
      <c r="E244" s="1" t="s">
        <v>637</v>
      </c>
      <c r="F244" s="1" t="s">
        <v>638</v>
      </c>
      <c r="G244" s="1">
        <v>207613.0</v>
      </c>
      <c r="H244" s="1">
        <v>1144.0</v>
      </c>
      <c r="I244" s="1" t="s">
        <v>16</v>
      </c>
      <c r="J244" s="1">
        <v>1.1E8</v>
      </c>
      <c r="K244" s="1">
        <v>2000.0</v>
      </c>
      <c r="L244" s="1">
        <v>7.1</v>
      </c>
      <c r="O244" s="3"/>
      <c r="S244" s="4"/>
    </row>
    <row r="245" ht="14.25" customHeight="1">
      <c r="A245" s="1" t="s">
        <v>639</v>
      </c>
      <c r="B245" s="1">
        <v>125.0</v>
      </c>
      <c r="C245" s="1">
        <v>1.25531634E8</v>
      </c>
      <c r="D245" s="1" t="s">
        <v>640</v>
      </c>
      <c r="E245" s="1" t="s">
        <v>293</v>
      </c>
      <c r="F245" s="1" t="s">
        <v>641</v>
      </c>
      <c r="G245" s="1">
        <v>284852.0</v>
      </c>
      <c r="H245" s="1">
        <v>627.0</v>
      </c>
      <c r="I245" s="1" t="s">
        <v>16</v>
      </c>
      <c r="J245" s="1">
        <v>1.1E8</v>
      </c>
      <c r="K245" s="1">
        <v>2004.0</v>
      </c>
      <c r="L245" s="1">
        <v>6.4</v>
      </c>
      <c r="O245" s="3"/>
      <c r="S245" s="4"/>
    </row>
    <row r="246" ht="14.25" customHeight="1">
      <c r="A246" s="1" t="s">
        <v>225</v>
      </c>
      <c r="B246" s="1">
        <v>126.0</v>
      </c>
      <c r="C246" s="1">
        <v>1.86336103E8</v>
      </c>
      <c r="D246" s="1" t="s">
        <v>642</v>
      </c>
      <c r="E246" s="1" t="s">
        <v>293</v>
      </c>
      <c r="F246" s="1" t="s">
        <v>643</v>
      </c>
      <c r="G246" s="1">
        <v>348861.0</v>
      </c>
      <c r="H246" s="1">
        <v>798.0</v>
      </c>
      <c r="I246" s="1" t="s">
        <v>16</v>
      </c>
      <c r="J246" s="1">
        <v>1.2E8</v>
      </c>
      <c r="K246" s="1">
        <v>2005.0</v>
      </c>
      <c r="L246" s="1">
        <v>6.5</v>
      </c>
      <c r="O246" s="3"/>
      <c r="S246" s="4"/>
    </row>
    <row r="247" ht="14.25" customHeight="1">
      <c r="A247" s="1" t="s">
        <v>526</v>
      </c>
      <c r="B247" s="1">
        <v>119.0</v>
      </c>
      <c r="C247" s="1">
        <v>1.29995817E8</v>
      </c>
      <c r="D247" s="1" t="s">
        <v>492</v>
      </c>
      <c r="E247" s="1" t="s">
        <v>644</v>
      </c>
      <c r="F247" s="1" t="s">
        <v>645</v>
      </c>
      <c r="G247" s="1">
        <v>154621.0</v>
      </c>
      <c r="H247" s="1">
        <v>258.0</v>
      </c>
      <c r="I247" s="1" t="s">
        <v>16</v>
      </c>
      <c r="J247" s="1">
        <v>1.1E8</v>
      </c>
      <c r="K247" s="1">
        <v>2015.0</v>
      </c>
      <c r="L247" s="1">
        <v>6.3</v>
      </c>
      <c r="O247" s="3"/>
      <c r="S247" s="4"/>
    </row>
    <row r="248" ht="14.25" customHeight="1">
      <c r="A248" s="1" t="s">
        <v>208</v>
      </c>
      <c r="B248" s="1">
        <v>170.0</v>
      </c>
      <c r="C248" s="1">
        <v>1.02608827E8</v>
      </c>
      <c r="D248" s="1" t="s">
        <v>646</v>
      </c>
      <c r="E248" s="1" t="s">
        <v>93</v>
      </c>
      <c r="F248" s="1" t="s">
        <v>647</v>
      </c>
      <c r="G248" s="1">
        <v>264318.0</v>
      </c>
      <c r="H248" s="1">
        <v>799.0</v>
      </c>
      <c r="I248" s="1" t="s">
        <v>16</v>
      </c>
      <c r="J248" s="1">
        <v>1.1E8</v>
      </c>
      <c r="K248" s="1">
        <v>2004.0</v>
      </c>
      <c r="L248" s="1">
        <v>7.5</v>
      </c>
      <c r="O248" s="3"/>
      <c r="S248" s="4"/>
    </row>
    <row r="249" ht="14.25" customHeight="1">
      <c r="A249" s="1" t="s">
        <v>202</v>
      </c>
      <c r="B249" s="1">
        <v>85.0</v>
      </c>
      <c r="C249" s="1">
        <v>4.2776259E7</v>
      </c>
      <c r="D249" s="1" t="s">
        <v>335</v>
      </c>
      <c r="E249" s="1" t="s">
        <v>648</v>
      </c>
      <c r="F249" s="1" t="s">
        <v>649</v>
      </c>
      <c r="G249" s="1">
        <v>53160.0</v>
      </c>
      <c r="H249" s="1">
        <v>121.0</v>
      </c>
      <c r="I249" s="1" t="s">
        <v>16</v>
      </c>
      <c r="J249" s="1">
        <v>1.12E8</v>
      </c>
      <c r="K249" s="1">
        <v>2010.0</v>
      </c>
      <c r="L249" s="1">
        <v>4.9</v>
      </c>
      <c r="O249" s="3"/>
      <c r="S249" s="4"/>
    </row>
    <row r="250" ht="14.25" customHeight="1">
      <c r="A250" s="1" t="s">
        <v>650</v>
      </c>
      <c r="B250" s="1">
        <v>119.0</v>
      </c>
      <c r="C250" s="1">
        <v>9.8780042E7</v>
      </c>
      <c r="D250" s="1" t="s">
        <v>651</v>
      </c>
      <c r="E250" s="1" t="s">
        <v>23</v>
      </c>
      <c r="F250" s="1" t="s">
        <v>652</v>
      </c>
      <c r="G250" s="1">
        <v>136019.0</v>
      </c>
      <c r="H250" s="1">
        <v>443.0</v>
      </c>
      <c r="I250" s="1" t="s">
        <v>16</v>
      </c>
      <c r="J250" s="1">
        <v>1.2E8</v>
      </c>
      <c r="K250" s="1">
        <v>2011.0</v>
      </c>
      <c r="L250" s="1">
        <v>5.8</v>
      </c>
      <c r="O250" s="3"/>
      <c r="S250" s="4"/>
    </row>
    <row r="251" ht="14.25" customHeight="1">
      <c r="A251" s="1" t="s">
        <v>653</v>
      </c>
      <c r="B251" s="1">
        <v>102.0</v>
      </c>
      <c r="C251" s="1">
        <v>1.06369117E8</v>
      </c>
      <c r="D251" s="1" t="s">
        <v>654</v>
      </c>
      <c r="E251" s="1" t="s">
        <v>655</v>
      </c>
      <c r="F251" s="1" t="s">
        <v>656</v>
      </c>
      <c r="G251" s="1">
        <v>225273.0</v>
      </c>
      <c r="H251" s="1">
        <v>523.0</v>
      </c>
      <c r="I251" s="1" t="s">
        <v>16</v>
      </c>
      <c r="J251" s="1">
        <v>1.1E8</v>
      </c>
      <c r="K251" s="1">
        <v>2014.0</v>
      </c>
      <c r="L251" s="1">
        <v>6.2</v>
      </c>
      <c r="O251" s="3"/>
      <c r="S251" s="4"/>
    </row>
    <row r="252" ht="14.25" customHeight="1">
      <c r="A252" s="1" t="s">
        <v>657</v>
      </c>
      <c r="B252" s="1">
        <v>103.0</v>
      </c>
      <c r="C252" s="1">
        <v>1.42614158E8</v>
      </c>
      <c r="D252" s="1" t="s">
        <v>118</v>
      </c>
      <c r="E252" s="1" t="s">
        <v>658</v>
      </c>
      <c r="F252" s="1" t="s">
        <v>659</v>
      </c>
      <c r="G252" s="1">
        <v>66593.0</v>
      </c>
      <c r="H252" s="1">
        <v>153.0</v>
      </c>
      <c r="I252" s="1" t="s">
        <v>16</v>
      </c>
      <c r="J252" s="1">
        <v>1.1E8</v>
      </c>
      <c r="K252" s="1">
        <v>2011.0</v>
      </c>
      <c r="L252" s="1">
        <v>5.5</v>
      </c>
      <c r="O252" s="3"/>
      <c r="S252" s="4"/>
    </row>
    <row r="253" ht="14.25" customHeight="1">
      <c r="A253" s="1" t="s">
        <v>660</v>
      </c>
      <c r="B253" s="1">
        <v>76.0</v>
      </c>
      <c r="C253" s="1">
        <v>5.0026353E7</v>
      </c>
      <c r="D253" s="1" t="s">
        <v>661</v>
      </c>
      <c r="E253" s="1" t="s">
        <v>119</v>
      </c>
      <c r="F253" s="1" t="s">
        <v>662</v>
      </c>
      <c r="G253" s="1">
        <v>13581.0</v>
      </c>
      <c r="H253" s="1">
        <v>88.0</v>
      </c>
      <c r="I253" s="1" t="s">
        <v>16</v>
      </c>
      <c r="J253" s="1">
        <v>1.1E8</v>
      </c>
      <c r="K253" s="1">
        <v>2004.0</v>
      </c>
      <c r="L253" s="1">
        <v>5.4</v>
      </c>
      <c r="O253" s="3"/>
      <c r="S253" s="4"/>
    </row>
    <row r="254" ht="14.25" customHeight="1">
      <c r="A254" s="1" t="s">
        <v>526</v>
      </c>
      <c r="B254" s="1">
        <v>120.0</v>
      </c>
      <c r="C254" s="1">
        <v>6.6002193E7</v>
      </c>
      <c r="D254" s="1" t="s">
        <v>663</v>
      </c>
      <c r="E254" s="1" t="s">
        <v>90</v>
      </c>
      <c r="F254" s="1" t="s">
        <v>664</v>
      </c>
      <c r="G254" s="1">
        <v>44296.0</v>
      </c>
      <c r="H254" s="1">
        <v>144.0</v>
      </c>
      <c r="I254" s="1" t="s">
        <v>16</v>
      </c>
      <c r="J254" s="1">
        <v>1.1E8</v>
      </c>
      <c r="K254" s="1">
        <v>2016.0</v>
      </c>
      <c r="L254" s="1">
        <v>5.8</v>
      </c>
      <c r="O254" s="3"/>
      <c r="S254" s="4"/>
    </row>
    <row r="255" ht="14.25" customHeight="1">
      <c r="A255" s="1" t="s">
        <v>345</v>
      </c>
      <c r="B255" s="1">
        <v>127.0</v>
      </c>
      <c r="C255" s="1">
        <v>8.5463309E7</v>
      </c>
      <c r="D255" s="1" t="s">
        <v>665</v>
      </c>
      <c r="E255" s="1" t="s">
        <v>115</v>
      </c>
      <c r="F255" s="1" t="s">
        <v>666</v>
      </c>
      <c r="G255" s="1">
        <v>254841.0</v>
      </c>
      <c r="H255" s="1">
        <v>426.0</v>
      </c>
      <c r="I255" s="1" t="s">
        <v>16</v>
      </c>
      <c r="J255" s="1">
        <v>1.1E8</v>
      </c>
      <c r="K255" s="1">
        <v>2011.0</v>
      </c>
      <c r="L255" s="1">
        <v>7.1</v>
      </c>
      <c r="O255" s="3"/>
      <c r="S255" s="4"/>
    </row>
    <row r="256" ht="14.25" customHeight="1">
      <c r="A256" s="1" t="s">
        <v>657</v>
      </c>
      <c r="B256" s="1">
        <v>105.0</v>
      </c>
      <c r="C256" s="1">
        <v>7.1017784E7</v>
      </c>
      <c r="D256" s="1" t="s">
        <v>118</v>
      </c>
      <c r="E256" s="1" t="s">
        <v>667</v>
      </c>
      <c r="F256" s="1" t="s">
        <v>668</v>
      </c>
      <c r="G256" s="1">
        <v>27257.0</v>
      </c>
      <c r="H256" s="1">
        <v>59.0</v>
      </c>
      <c r="I256" s="1" t="s">
        <v>16</v>
      </c>
      <c r="J256" s="1">
        <v>1.05E8</v>
      </c>
      <c r="K256" s="1">
        <v>2013.0</v>
      </c>
      <c r="L256" s="1">
        <v>5.4</v>
      </c>
      <c r="O256" s="3"/>
      <c r="S256" s="4"/>
    </row>
    <row r="257" ht="14.25" customHeight="1">
      <c r="A257" s="1" t="s">
        <v>669</v>
      </c>
      <c r="B257" s="1">
        <v>121.0</v>
      </c>
      <c r="C257" s="1">
        <v>4.8068396E7</v>
      </c>
      <c r="D257" s="1" t="s">
        <v>670</v>
      </c>
      <c r="E257" s="1" t="s">
        <v>671</v>
      </c>
      <c r="F257" s="1" t="s">
        <v>672</v>
      </c>
      <c r="G257" s="1">
        <v>60573.0</v>
      </c>
      <c r="H257" s="1">
        <v>248.0</v>
      </c>
      <c r="I257" s="1" t="s">
        <v>16</v>
      </c>
      <c r="J257" s="1">
        <v>1.6E8</v>
      </c>
      <c r="K257" s="1">
        <v>1997.0</v>
      </c>
      <c r="L257" s="1">
        <v>3.7</v>
      </c>
      <c r="O257" s="3"/>
      <c r="S257" s="4"/>
    </row>
    <row r="258" ht="14.25" customHeight="1">
      <c r="A258" s="1" t="s">
        <v>348</v>
      </c>
      <c r="B258" s="1">
        <v>114.0</v>
      </c>
      <c r="C258" s="1">
        <v>6.1656849E7</v>
      </c>
      <c r="D258" s="1" t="s">
        <v>278</v>
      </c>
      <c r="E258" s="1" t="s">
        <v>169</v>
      </c>
      <c r="F258" s="1" t="s">
        <v>673</v>
      </c>
      <c r="G258" s="1">
        <v>184561.0</v>
      </c>
      <c r="H258" s="1">
        <v>554.0</v>
      </c>
      <c r="I258" s="1" t="s">
        <v>16</v>
      </c>
      <c r="J258" s="1">
        <v>1.1E8</v>
      </c>
      <c r="K258" s="1">
        <v>2013.0</v>
      </c>
      <c r="L258" s="1">
        <v>6.7</v>
      </c>
      <c r="O258" s="3"/>
      <c r="S258" s="4"/>
    </row>
    <row r="259" ht="14.25" customHeight="1">
      <c r="A259" s="1" t="s">
        <v>674</v>
      </c>
      <c r="B259" s="1">
        <v>129.0</v>
      </c>
      <c r="C259" s="1">
        <v>1.34520804E8</v>
      </c>
      <c r="D259" s="1" t="s">
        <v>22</v>
      </c>
      <c r="E259" s="1" t="s">
        <v>415</v>
      </c>
      <c r="F259" s="1" t="s">
        <v>675</v>
      </c>
      <c r="G259" s="1">
        <v>336235.0</v>
      </c>
      <c r="H259" s="1">
        <v>782.0</v>
      </c>
      <c r="I259" s="1" t="s">
        <v>16</v>
      </c>
      <c r="J259" s="1">
        <v>1.1E8</v>
      </c>
      <c r="K259" s="1">
        <v>2007.0</v>
      </c>
      <c r="L259" s="1">
        <v>7.2</v>
      </c>
      <c r="O259" s="3"/>
      <c r="S259" s="4"/>
    </row>
    <row r="260" ht="14.25" customHeight="1">
      <c r="A260" s="1" t="s">
        <v>73</v>
      </c>
      <c r="B260" s="1">
        <v>171.0</v>
      </c>
      <c r="C260" s="1">
        <v>3.13837577E8</v>
      </c>
      <c r="D260" s="1" t="s">
        <v>241</v>
      </c>
      <c r="E260" s="1" t="s">
        <v>87</v>
      </c>
      <c r="F260" s="1" t="s">
        <v>676</v>
      </c>
      <c r="G260" s="1">
        <v>1238746.0</v>
      </c>
      <c r="H260" s="1">
        <v>5060.0</v>
      </c>
      <c r="I260" s="1" t="s">
        <v>16</v>
      </c>
      <c r="J260" s="1">
        <v>9.3E7</v>
      </c>
      <c r="K260" s="1">
        <v>2001.0</v>
      </c>
      <c r="L260" s="1">
        <v>8.8</v>
      </c>
      <c r="O260" s="3"/>
      <c r="S260" s="4"/>
    </row>
    <row r="261" ht="14.25" customHeight="1">
      <c r="A261" s="1" t="s">
        <v>677</v>
      </c>
      <c r="B261" s="1">
        <v>120.0</v>
      </c>
      <c r="C261" s="1">
        <v>2.4004159E7</v>
      </c>
      <c r="D261" s="1" t="s">
        <v>678</v>
      </c>
      <c r="E261" s="1" t="s">
        <v>194</v>
      </c>
      <c r="F261" s="1" t="s">
        <v>679</v>
      </c>
      <c r="G261" s="1">
        <v>68720.0</v>
      </c>
      <c r="H261" s="1">
        <v>191.0</v>
      </c>
      <c r="I261" s="1" t="s">
        <v>16</v>
      </c>
      <c r="J261" s="1">
        <v>1.1E8</v>
      </c>
      <c r="K261" s="1">
        <v>2004.0</v>
      </c>
      <c r="L261" s="1">
        <v>5.8</v>
      </c>
      <c r="O261" s="3"/>
      <c r="S261" s="4"/>
    </row>
    <row r="262" ht="14.25" customHeight="1">
      <c r="A262" s="1" t="s">
        <v>680</v>
      </c>
      <c r="B262" s="1">
        <v>165.0</v>
      </c>
      <c r="C262" s="1">
        <v>5.8183966E7</v>
      </c>
      <c r="D262" s="1" t="s">
        <v>681</v>
      </c>
      <c r="E262" s="1" t="s">
        <v>71</v>
      </c>
      <c r="F262" s="1" t="s">
        <v>682</v>
      </c>
      <c r="G262" s="1">
        <v>79186.0</v>
      </c>
      <c r="H262" s="1">
        <v>386.0</v>
      </c>
      <c r="I262" s="1" t="s">
        <v>16</v>
      </c>
      <c r="J262" s="1">
        <v>1.07E8</v>
      </c>
      <c r="K262" s="1">
        <v>2001.0</v>
      </c>
      <c r="L262" s="1">
        <v>6.8</v>
      </c>
      <c r="O262" s="3"/>
      <c r="S262" s="4"/>
    </row>
    <row r="263" ht="14.25" customHeight="1">
      <c r="A263" s="1" t="s">
        <v>683</v>
      </c>
      <c r="B263" s="1">
        <v>82.0</v>
      </c>
      <c r="C263" s="1">
        <v>1.00446895E8</v>
      </c>
      <c r="D263" s="1" t="s">
        <v>335</v>
      </c>
      <c r="E263" s="1" t="s">
        <v>684</v>
      </c>
      <c r="F263" s="1" t="s">
        <v>685</v>
      </c>
      <c r="G263" s="1">
        <v>36033.0</v>
      </c>
      <c r="H263" s="1">
        <v>456.0</v>
      </c>
      <c r="I263" s="1" t="s">
        <v>16</v>
      </c>
      <c r="J263" s="1">
        <v>1.09E8</v>
      </c>
      <c r="K263" s="1">
        <v>2003.0</v>
      </c>
      <c r="L263" s="1">
        <v>3.8</v>
      </c>
      <c r="O263" s="3"/>
      <c r="S263" s="4"/>
    </row>
    <row r="264" ht="14.25" customHeight="1">
      <c r="A264" s="1" t="s">
        <v>439</v>
      </c>
      <c r="B264" s="1">
        <v>115.0</v>
      </c>
      <c r="C264" s="1">
        <v>1.4479535E8</v>
      </c>
      <c r="D264" s="1" t="s">
        <v>686</v>
      </c>
      <c r="E264" s="1" t="s">
        <v>71</v>
      </c>
      <c r="F264" s="1" t="s">
        <v>687</v>
      </c>
      <c r="G264" s="1">
        <v>387632.0</v>
      </c>
      <c r="H264" s="1">
        <v>789.0</v>
      </c>
      <c r="I264" s="1" t="s">
        <v>16</v>
      </c>
      <c r="J264" s="1">
        <v>1.2E8</v>
      </c>
      <c r="K264" s="1">
        <v>2004.0</v>
      </c>
      <c r="L264" s="1">
        <v>7.1</v>
      </c>
      <c r="O264" s="3"/>
      <c r="S264" s="4"/>
    </row>
    <row r="265" ht="14.25" customHeight="1">
      <c r="A265" s="1" t="s">
        <v>80</v>
      </c>
      <c r="B265" s="1">
        <v>194.0</v>
      </c>
      <c r="C265" s="1">
        <v>4.7396698E7</v>
      </c>
      <c r="D265" s="1" t="s">
        <v>464</v>
      </c>
      <c r="E265" s="1" t="s">
        <v>100</v>
      </c>
      <c r="F265" s="1" t="s">
        <v>688</v>
      </c>
      <c r="G265" s="1">
        <v>217373.0</v>
      </c>
      <c r="H265" s="1">
        <v>942.0</v>
      </c>
      <c r="I265" s="1" t="s">
        <v>16</v>
      </c>
      <c r="J265" s="1">
        <v>1.3E8</v>
      </c>
      <c r="K265" s="1">
        <v>2005.0</v>
      </c>
      <c r="L265" s="1">
        <v>7.2</v>
      </c>
      <c r="O265" s="3"/>
      <c r="S265" s="4"/>
    </row>
    <row r="266" ht="14.25" customHeight="1">
      <c r="A266" s="1" t="s">
        <v>401</v>
      </c>
      <c r="B266" s="1">
        <v>84.0</v>
      </c>
      <c r="C266" s="1">
        <v>1.40015224E8</v>
      </c>
      <c r="D266" s="1" t="s">
        <v>335</v>
      </c>
      <c r="E266" s="1" t="s">
        <v>689</v>
      </c>
      <c r="F266" s="1" t="s">
        <v>690</v>
      </c>
      <c r="G266" s="1">
        <v>94172.0</v>
      </c>
      <c r="H266" s="1">
        <v>179.0</v>
      </c>
      <c r="I266" s="1" t="s">
        <v>16</v>
      </c>
      <c r="J266" s="1">
        <v>1.33E8</v>
      </c>
      <c r="K266" s="1">
        <v>1999.0</v>
      </c>
      <c r="L266" s="1">
        <v>5.9</v>
      </c>
      <c r="O266" s="3"/>
      <c r="S266" s="4"/>
    </row>
    <row r="267" ht="14.25" customHeight="1">
      <c r="A267" s="1" t="s">
        <v>691</v>
      </c>
      <c r="B267" s="1">
        <v>97.0</v>
      </c>
      <c r="C267" s="1">
        <v>1.04374107E8</v>
      </c>
      <c r="D267" s="1" t="s">
        <v>692</v>
      </c>
      <c r="E267" s="1" t="s">
        <v>693</v>
      </c>
      <c r="F267" s="1" t="s">
        <v>694</v>
      </c>
      <c r="G267" s="1">
        <v>89351.0</v>
      </c>
      <c r="H267" s="1">
        <v>214.0</v>
      </c>
      <c r="I267" s="1" t="s">
        <v>16</v>
      </c>
      <c r="J267" s="1">
        <v>1.05E8</v>
      </c>
      <c r="K267" s="1">
        <v>2009.0</v>
      </c>
      <c r="L267" s="1">
        <v>7.1</v>
      </c>
      <c r="O267" s="3"/>
      <c r="S267" s="4"/>
    </row>
    <row r="268" ht="14.25" customHeight="1">
      <c r="A268" s="1" t="s">
        <v>80</v>
      </c>
      <c r="B268" s="1">
        <v>151.0</v>
      </c>
      <c r="C268" s="1">
        <v>2.28430993E8</v>
      </c>
      <c r="D268" s="1" t="s">
        <v>284</v>
      </c>
      <c r="E268" s="1" t="s">
        <v>486</v>
      </c>
      <c r="F268" s="1" t="s">
        <v>695</v>
      </c>
      <c r="G268" s="1">
        <v>472488.0</v>
      </c>
      <c r="H268" s="1">
        <v>1023.0</v>
      </c>
      <c r="I268" s="1" t="s">
        <v>16</v>
      </c>
      <c r="J268" s="1">
        <v>1.08E8</v>
      </c>
      <c r="K268" s="1">
        <v>2015.0</v>
      </c>
      <c r="L268" s="1">
        <v>8.1</v>
      </c>
      <c r="O268" s="3"/>
      <c r="S268" s="4"/>
    </row>
    <row r="269" ht="14.25" customHeight="1">
      <c r="A269" s="1" t="s">
        <v>121</v>
      </c>
      <c r="B269" s="1">
        <v>136.0</v>
      </c>
      <c r="C269" s="1">
        <v>3.5799026E7</v>
      </c>
      <c r="D269" s="1" t="s">
        <v>696</v>
      </c>
      <c r="E269" s="1" t="s">
        <v>237</v>
      </c>
      <c r="F269" s="1" t="s">
        <v>697</v>
      </c>
      <c r="G269" s="1">
        <v>263329.0</v>
      </c>
      <c r="H269" s="1">
        <v>899.0</v>
      </c>
      <c r="I269" s="1" t="s">
        <v>16</v>
      </c>
      <c r="J269" s="1">
        <v>1.26E8</v>
      </c>
      <c r="K269" s="1">
        <v>2005.0</v>
      </c>
      <c r="L269" s="1">
        <v>6.9</v>
      </c>
      <c r="O269" s="3"/>
      <c r="S269" s="4"/>
    </row>
    <row r="270" ht="14.25" customHeight="1">
      <c r="A270" s="1" t="s">
        <v>698</v>
      </c>
      <c r="B270" s="1">
        <v>104.0</v>
      </c>
      <c r="C270" s="1">
        <v>6712451.0</v>
      </c>
      <c r="D270" s="1" t="s">
        <v>699</v>
      </c>
      <c r="E270" s="1" t="s">
        <v>700</v>
      </c>
      <c r="F270" s="1" t="s">
        <v>701</v>
      </c>
      <c r="G270" s="1">
        <v>4102.0</v>
      </c>
      <c r="H270" s="1">
        <v>89.0</v>
      </c>
      <c r="I270" s="1" t="s">
        <v>16</v>
      </c>
      <c r="J270" s="1">
        <v>9.0E7</v>
      </c>
      <c r="K270" s="1">
        <v>2001.0</v>
      </c>
      <c r="L270" s="1">
        <v>4.4</v>
      </c>
      <c r="O270" s="3"/>
      <c r="S270" s="4"/>
    </row>
    <row r="271" ht="14.25" customHeight="1">
      <c r="A271" s="1" t="s">
        <v>702</v>
      </c>
      <c r="B271" s="1">
        <v>127.0</v>
      </c>
      <c r="C271" s="1">
        <v>1.01643008E8</v>
      </c>
      <c r="D271" s="1" t="s">
        <v>146</v>
      </c>
      <c r="E271" s="1" t="s">
        <v>301</v>
      </c>
      <c r="F271" s="1" t="s">
        <v>703</v>
      </c>
      <c r="G271" s="1">
        <v>218341.0</v>
      </c>
      <c r="H271" s="1">
        <v>498.0</v>
      </c>
      <c r="I271" s="1" t="s">
        <v>16</v>
      </c>
      <c r="J271" s="1">
        <v>9.0E7</v>
      </c>
      <c r="K271" s="1">
        <v>2000.0</v>
      </c>
      <c r="L271" s="1">
        <v>6.5</v>
      </c>
      <c r="O271" s="3"/>
      <c r="S271" s="4"/>
    </row>
    <row r="272" ht="14.25" customHeight="1">
      <c r="A272" s="1" t="s">
        <v>80</v>
      </c>
      <c r="B272" s="1">
        <v>171.0</v>
      </c>
      <c r="C272" s="1">
        <v>1.87670866E8</v>
      </c>
      <c r="D272" s="1" t="s">
        <v>704</v>
      </c>
      <c r="E272" s="1" t="s">
        <v>705</v>
      </c>
      <c r="F272" s="1" t="s">
        <v>706</v>
      </c>
      <c r="G272" s="1">
        <v>982637.0</v>
      </c>
      <c r="H272" s="1">
        <v>2368.0</v>
      </c>
      <c r="I272" s="1" t="s">
        <v>16</v>
      </c>
      <c r="J272" s="1">
        <v>1.03E8</v>
      </c>
      <c r="K272" s="1">
        <v>2000.0</v>
      </c>
      <c r="L272" s="1">
        <v>8.5</v>
      </c>
      <c r="O272" s="3"/>
      <c r="S272" s="4"/>
    </row>
    <row r="273" ht="14.25" customHeight="1">
      <c r="A273" s="1" t="s">
        <v>168</v>
      </c>
      <c r="B273" s="1">
        <v>145.0</v>
      </c>
      <c r="C273" s="1">
        <v>1.32014112E8</v>
      </c>
      <c r="D273" s="1" t="s">
        <v>686</v>
      </c>
      <c r="E273" s="1" t="s">
        <v>226</v>
      </c>
      <c r="F273" s="1" t="s">
        <v>707</v>
      </c>
      <c r="G273" s="1">
        <v>399651.0</v>
      </c>
      <c r="H273" s="1">
        <v>1331.0</v>
      </c>
      <c r="I273" s="1" t="s">
        <v>16</v>
      </c>
      <c r="J273" s="1">
        <v>1.02E8</v>
      </c>
      <c r="K273" s="1">
        <v>2002.0</v>
      </c>
      <c r="L273" s="1">
        <v>7.7</v>
      </c>
      <c r="O273" s="3"/>
      <c r="S273" s="4"/>
    </row>
    <row r="274" ht="14.25" customHeight="1">
      <c r="A274" s="1" t="s">
        <v>524</v>
      </c>
      <c r="B274" s="1">
        <v>174.0</v>
      </c>
      <c r="C274" s="1">
        <v>2.61970615E8</v>
      </c>
      <c r="D274" s="1" t="s">
        <v>45</v>
      </c>
      <c r="E274" s="1" t="s">
        <v>511</v>
      </c>
      <c r="F274" s="1" t="s">
        <v>708</v>
      </c>
      <c r="G274" s="1">
        <v>387616.0</v>
      </c>
      <c r="H274" s="1">
        <v>858.0</v>
      </c>
      <c r="I274" s="1" t="s">
        <v>16</v>
      </c>
      <c r="J274" s="1">
        <v>1.0E8</v>
      </c>
      <c r="K274" s="1">
        <v>2002.0</v>
      </c>
      <c r="L274" s="1">
        <v>7.4</v>
      </c>
      <c r="O274" s="3"/>
      <c r="S274" s="4"/>
    </row>
    <row r="275" ht="14.25" customHeight="1">
      <c r="A275" s="1" t="s">
        <v>136</v>
      </c>
      <c r="B275" s="1">
        <v>144.0</v>
      </c>
      <c r="C275" s="1">
        <v>1.67007184E8</v>
      </c>
      <c r="D275" s="1" t="s">
        <v>22</v>
      </c>
      <c r="E275" s="1" t="s">
        <v>655</v>
      </c>
      <c r="F275" s="1" t="s">
        <v>709</v>
      </c>
      <c r="G275" s="1">
        <v>470483.0</v>
      </c>
      <c r="H275" s="1">
        <v>2301.0</v>
      </c>
      <c r="I275" s="1" t="s">
        <v>16</v>
      </c>
      <c r="J275" s="1">
        <v>1.5E8</v>
      </c>
      <c r="K275" s="1">
        <v>2006.0</v>
      </c>
      <c r="L275" s="1">
        <v>8.0</v>
      </c>
      <c r="O275" s="3"/>
      <c r="S275" s="4"/>
    </row>
    <row r="276" ht="14.25" customHeight="1">
      <c r="A276" s="1" t="s">
        <v>111</v>
      </c>
      <c r="B276" s="1">
        <v>119.0</v>
      </c>
      <c r="C276" s="1">
        <v>1.8001174E8</v>
      </c>
      <c r="D276" s="1" t="s">
        <v>99</v>
      </c>
      <c r="E276" s="1" t="s">
        <v>710</v>
      </c>
      <c r="F276" s="1" t="s">
        <v>711</v>
      </c>
      <c r="G276" s="1">
        <v>177725.0</v>
      </c>
      <c r="H276" s="1">
        <v>1368.0</v>
      </c>
      <c r="I276" s="1" t="s">
        <v>16</v>
      </c>
      <c r="J276" s="1">
        <v>1.0E8</v>
      </c>
      <c r="K276" s="1">
        <v>2001.0</v>
      </c>
      <c r="L276" s="1">
        <v>5.7</v>
      </c>
      <c r="O276" s="3"/>
      <c r="S276" s="4"/>
    </row>
    <row r="277" ht="14.25" customHeight="1">
      <c r="A277" s="1" t="s">
        <v>12</v>
      </c>
      <c r="B277" s="1">
        <v>153.0</v>
      </c>
      <c r="C277" s="1">
        <v>2.0484335E8</v>
      </c>
      <c r="D277" s="1" t="s">
        <v>278</v>
      </c>
      <c r="E277" s="1" t="s">
        <v>712</v>
      </c>
      <c r="F277" s="1" t="s">
        <v>713</v>
      </c>
      <c r="G277" s="1">
        <v>744891.0</v>
      </c>
      <c r="H277" s="1">
        <v>983.0</v>
      </c>
      <c r="I277" s="1" t="s">
        <v>16</v>
      </c>
      <c r="J277" s="1">
        <v>1.02E8</v>
      </c>
      <c r="K277" s="1">
        <v>1991.0</v>
      </c>
      <c r="L277" s="1">
        <v>8.5</v>
      </c>
      <c r="O277" s="3"/>
      <c r="S277" s="4"/>
    </row>
    <row r="278" ht="14.25" customHeight="1">
      <c r="A278" s="1" t="s">
        <v>680</v>
      </c>
      <c r="B278" s="1">
        <v>140.0</v>
      </c>
      <c r="C278" s="1">
        <v>9.7030725E7</v>
      </c>
      <c r="D278" s="1" t="s">
        <v>714</v>
      </c>
      <c r="E278" s="1" t="s">
        <v>19</v>
      </c>
      <c r="F278" s="1" t="s">
        <v>715</v>
      </c>
      <c r="G278" s="1">
        <v>230931.0</v>
      </c>
      <c r="H278" s="1">
        <v>585.0</v>
      </c>
      <c r="I278" s="1" t="s">
        <v>16</v>
      </c>
      <c r="J278" s="1">
        <v>1.0E8</v>
      </c>
      <c r="K278" s="1">
        <v>2009.0</v>
      </c>
      <c r="L278" s="1">
        <v>7.0</v>
      </c>
      <c r="O278" s="3"/>
      <c r="S278" s="4"/>
    </row>
    <row r="279" ht="14.25" customHeight="1">
      <c r="A279" s="1" t="s">
        <v>80</v>
      </c>
      <c r="B279" s="1">
        <v>176.0</v>
      </c>
      <c r="C279" s="1">
        <v>1.3012762E8</v>
      </c>
      <c r="D279" s="1" t="s">
        <v>716</v>
      </c>
      <c r="E279" s="1" t="s">
        <v>717</v>
      </c>
      <c r="F279" s="1" t="s">
        <v>718</v>
      </c>
      <c r="G279" s="1">
        <v>324671.0</v>
      </c>
      <c r="H279" s="1">
        <v>458.0</v>
      </c>
      <c r="I279" s="1" t="s">
        <v>16</v>
      </c>
      <c r="J279" s="1">
        <v>1.0E8</v>
      </c>
      <c r="K279" s="1">
        <v>2007.0</v>
      </c>
      <c r="L279" s="1">
        <v>7.8</v>
      </c>
      <c r="O279" s="3"/>
      <c r="S279" s="4"/>
    </row>
    <row r="280" ht="14.25" customHeight="1">
      <c r="A280" s="1" t="s">
        <v>12</v>
      </c>
      <c r="B280" s="1">
        <v>141.0</v>
      </c>
      <c r="C280" s="1">
        <v>1.46282411E8</v>
      </c>
      <c r="D280" s="1" t="s">
        <v>719</v>
      </c>
      <c r="E280" s="1" t="s">
        <v>720</v>
      </c>
      <c r="F280" s="1" t="s">
        <v>721</v>
      </c>
      <c r="G280" s="1">
        <v>190439.0</v>
      </c>
      <c r="H280" s="1">
        <v>351.0</v>
      </c>
      <c r="I280" s="1" t="s">
        <v>16</v>
      </c>
      <c r="J280" s="1">
        <v>1.15E8</v>
      </c>
      <c r="K280" s="1">
        <v>1994.0</v>
      </c>
      <c r="L280" s="1">
        <v>7.2</v>
      </c>
      <c r="O280" s="3"/>
      <c r="S280" s="4"/>
    </row>
    <row r="281" ht="14.25" customHeight="1">
      <c r="A281" s="1" t="s">
        <v>722</v>
      </c>
      <c r="B281" s="1">
        <v>106.0</v>
      </c>
      <c r="C281" s="1">
        <v>6.5452312E7</v>
      </c>
      <c r="D281" s="1" t="s">
        <v>146</v>
      </c>
      <c r="E281" s="1" t="s">
        <v>717</v>
      </c>
      <c r="F281" s="1" t="s">
        <v>723</v>
      </c>
      <c r="G281" s="1">
        <v>149998.0</v>
      </c>
      <c r="H281" s="1">
        <v>285.0</v>
      </c>
      <c r="I281" s="1" t="s">
        <v>16</v>
      </c>
      <c r="J281" s="1">
        <v>1.0E8</v>
      </c>
      <c r="K281" s="1">
        <v>2009.0</v>
      </c>
      <c r="L281" s="1">
        <v>6.4</v>
      </c>
      <c r="O281" s="3"/>
      <c r="S281" s="4"/>
    </row>
    <row r="282" ht="14.25" customHeight="1">
      <c r="A282" s="1" t="s">
        <v>724</v>
      </c>
      <c r="B282" s="1">
        <v>98.0</v>
      </c>
      <c r="C282" s="1">
        <v>1.4838378E8</v>
      </c>
      <c r="D282" s="1" t="s">
        <v>699</v>
      </c>
      <c r="E282" s="1" t="s">
        <v>725</v>
      </c>
      <c r="F282" s="1" t="s">
        <v>726</v>
      </c>
      <c r="G282" s="1">
        <v>85531.0</v>
      </c>
      <c r="H282" s="1">
        <v>152.0</v>
      </c>
      <c r="I282" s="1" t="s">
        <v>16</v>
      </c>
      <c r="J282" s="1">
        <v>1.0E8</v>
      </c>
      <c r="K282" s="1">
        <v>2010.0</v>
      </c>
      <c r="L282" s="1">
        <v>5.5</v>
      </c>
      <c r="O282" s="3"/>
      <c r="S282" s="4"/>
    </row>
    <row r="283" ht="14.25" customHeight="1">
      <c r="A283" s="1" t="s">
        <v>727</v>
      </c>
      <c r="B283" s="1">
        <v>116.0</v>
      </c>
      <c r="C283" s="1">
        <v>1.19219978E8</v>
      </c>
      <c r="D283" s="1" t="s">
        <v>728</v>
      </c>
      <c r="E283" s="1" t="s">
        <v>632</v>
      </c>
      <c r="F283" s="1" t="s">
        <v>729</v>
      </c>
      <c r="G283" s="1">
        <v>189806.0</v>
      </c>
      <c r="H283" s="1">
        <v>316.0</v>
      </c>
      <c r="I283" s="1" t="s">
        <v>16</v>
      </c>
      <c r="J283" s="1">
        <v>1.0E8</v>
      </c>
      <c r="K283" s="1">
        <v>2010.0</v>
      </c>
      <c r="L283" s="1">
        <v>6.7</v>
      </c>
      <c r="O283" s="3"/>
      <c r="S283" s="4"/>
    </row>
    <row r="284" ht="14.25" customHeight="1">
      <c r="A284" s="1" t="s">
        <v>730</v>
      </c>
      <c r="B284" s="1">
        <v>115.0</v>
      </c>
      <c r="C284" s="1">
        <v>1.0122812E8</v>
      </c>
      <c r="D284" s="1" t="s">
        <v>731</v>
      </c>
      <c r="E284" s="1" t="s">
        <v>732</v>
      </c>
      <c r="F284" s="1" t="s">
        <v>733</v>
      </c>
      <c r="G284" s="1">
        <v>84424.0</v>
      </c>
      <c r="H284" s="1">
        <v>131.0</v>
      </c>
      <c r="I284" s="1" t="s">
        <v>16</v>
      </c>
      <c r="J284" s="1">
        <v>1.0E8</v>
      </c>
      <c r="K284" s="1">
        <v>1996.0</v>
      </c>
      <c r="L284" s="1">
        <v>6.1</v>
      </c>
      <c r="O284" s="3"/>
      <c r="S284" s="4"/>
    </row>
    <row r="285" ht="14.25" customHeight="1">
      <c r="A285" s="1" t="s">
        <v>734</v>
      </c>
      <c r="B285" s="1">
        <v>165.0</v>
      </c>
      <c r="C285" s="1">
        <v>1.62804648E8</v>
      </c>
      <c r="D285" s="1" t="s">
        <v>735</v>
      </c>
      <c r="E285" s="1" t="s">
        <v>93</v>
      </c>
      <c r="F285" s="1" t="s">
        <v>736</v>
      </c>
      <c r="G285" s="1">
        <v>955174.0</v>
      </c>
      <c r="H285" s="1">
        <v>1193.0</v>
      </c>
      <c r="I285" s="1" t="s">
        <v>16</v>
      </c>
      <c r="J285" s="1">
        <v>1.0E8</v>
      </c>
      <c r="K285" s="1">
        <v>2012.0</v>
      </c>
      <c r="L285" s="1">
        <v>8.5</v>
      </c>
      <c r="O285" s="3"/>
      <c r="S285" s="4"/>
    </row>
    <row r="286" ht="14.25" customHeight="1">
      <c r="A286" s="1" t="s">
        <v>737</v>
      </c>
      <c r="B286" s="1">
        <v>91.0</v>
      </c>
      <c r="C286" s="1">
        <v>1.00117603E8</v>
      </c>
      <c r="D286" s="1" t="s">
        <v>738</v>
      </c>
      <c r="E286" s="1" t="s">
        <v>573</v>
      </c>
      <c r="F286" s="1" t="s">
        <v>739</v>
      </c>
      <c r="G286" s="1">
        <v>102933.0</v>
      </c>
      <c r="H286" s="1">
        <v>230.0</v>
      </c>
      <c r="I286" s="1" t="s">
        <v>16</v>
      </c>
      <c r="J286" s="1">
        <v>1.0E8</v>
      </c>
      <c r="K286" s="1">
        <v>1996.0</v>
      </c>
      <c r="L286" s="1">
        <v>6.9</v>
      </c>
      <c r="O286" s="3"/>
      <c r="S286" s="4"/>
    </row>
    <row r="287" ht="14.25" customHeight="1">
      <c r="A287" s="1" t="s">
        <v>740</v>
      </c>
      <c r="B287" s="1">
        <v>78.0</v>
      </c>
      <c r="C287" s="1">
        <v>8.9296573E7</v>
      </c>
      <c r="D287" s="1" t="s">
        <v>118</v>
      </c>
      <c r="E287" s="1" t="s">
        <v>741</v>
      </c>
      <c r="F287" s="1" t="s">
        <v>742</v>
      </c>
      <c r="G287" s="1">
        <v>128285.0</v>
      </c>
      <c r="H287" s="1">
        <v>297.0</v>
      </c>
      <c r="I287" s="1" t="s">
        <v>16</v>
      </c>
      <c r="J287" s="1">
        <v>1.0E8</v>
      </c>
      <c r="K287" s="1">
        <v>2000.0</v>
      </c>
      <c r="L287" s="1">
        <v>7.3</v>
      </c>
      <c r="O287" s="3"/>
      <c r="S287" s="4"/>
    </row>
    <row r="288" ht="14.25" customHeight="1">
      <c r="A288" s="1" t="s">
        <v>743</v>
      </c>
      <c r="B288" s="1">
        <v>103.0</v>
      </c>
      <c r="C288" s="1">
        <v>8.5017401E7</v>
      </c>
      <c r="D288" s="1" t="s">
        <v>22</v>
      </c>
      <c r="E288" s="1" t="s">
        <v>147</v>
      </c>
      <c r="F288" s="1" t="s">
        <v>744</v>
      </c>
      <c r="G288" s="1">
        <v>246803.0</v>
      </c>
      <c r="H288" s="1">
        <v>474.0</v>
      </c>
      <c r="I288" s="1" t="s">
        <v>16</v>
      </c>
      <c r="J288" s="1">
        <v>9.2E7</v>
      </c>
      <c r="K288" s="1">
        <v>2012.0</v>
      </c>
      <c r="L288" s="1">
        <v>6.7</v>
      </c>
      <c r="O288" s="3"/>
      <c r="S288" s="4"/>
    </row>
    <row r="289" ht="14.25" customHeight="1">
      <c r="A289" s="1" t="s">
        <v>300</v>
      </c>
      <c r="B289" s="1">
        <v>131.0</v>
      </c>
      <c r="C289" s="1">
        <v>1.73005002E8</v>
      </c>
      <c r="D289" s="1" t="s">
        <v>745</v>
      </c>
      <c r="E289" s="1" t="s">
        <v>301</v>
      </c>
      <c r="F289" s="1" t="s">
        <v>746</v>
      </c>
      <c r="G289" s="1">
        <v>255447.0</v>
      </c>
      <c r="H289" s="1">
        <v>692.0</v>
      </c>
      <c r="I289" s="1" t="s">
        <v>16</v>
      </c>
      <c r="J289" s="1">
        <v>1.0E8</v>
      </c>
      <c r="K289" s="1">
        <v>2004.0</v>
      </c>
      <c r="L289" s="1">
        <v>6.9</v>
      </c>
      <c r="O289" s="3"/>
      <c r="S289" s="4"/>
    </row>
    <row r="290" ht="14.25" customHeight="1">
      <c r="A290" s="1" t="s">
        <v>747</v>
      </c>
      <c r="B290" s="1">
        <v>104.0</v>
      </c>
      <c r="C290" s="1">
        <v>7.5030163E7</v>
      </c>
      <c r="D290" s="1" t="s">
        <v>63</v>
      </c>
      <c r="E290" s="1" t="s">
        <v>705</v>
      </c>
      <c r="F290" s="1" t="s">
        <v>748</v>
      </c>
      <c r="G290" s="1">
        <v>108076.0</v>
      </c>
      <c r="H290" s="1">
        <v>1690.0</v>
      </c>
      <c r="I290" s="1" t="s">
        <v>16</v>
      </c>
      <c r="J290" s="1">
        <v>1.0E8</v>
      </c>
      <c r="K290" s="1">
        <v>2006.0</v>
      </c>
      <c r="L290" s="1">
        <v>5.1</v>
      </c>
      <c r="O290" s="3"/>
      <c r="S290" s="4"/>
    </row>
    <row r="291" ht="14.25" customHeight="1">
      <c r="A291" s="1" t="s">
        <v>749</v>
      </c>
      <c r="B291" s="1">
        <v>101.0</v>
      </c>
      <c r="C291" s="1">
        <v>7.7222184E7</v>
      </c>
      <c r="D291" s="1" t="s">
        <v>236</v>
      </c>
      <c r="E291" s="1" t="s">
        <v>750</v>
      </c>
      <c r="F291" s="1" t="s">
        <v>751</v>
      </c>
      <c r="G291" s="1">
        <v>87677.0</v>
      </c>
      <c r="H291" s="1">
        <v>388.0</v>
      </c>
      <c r="I291" s="1" t="s">
        <v>16</v>
      </c>
      <c r="J291" s="1">
        <v>1.0E8</v>
      </c>
      <c r="K291" s="1">
        <v>2009.0</v>
      </c>
      <c r="L291" s="1">
        <v>6.8</v>
      </c>
      <c r="O291" s="3"/>
      <c r="S291" s="4"/>
    </row>
    <row r="292" ht="14.25" customHeight="1">
      <c r="A292" s="1" t="s">
        <v>752</v>
      </c>
      <c r="B292" s="1">
        <v>102.0</v>
      </c>
      <c r="C292" s="1">
        <v>1.07515297E8</v>
      </c>
      <c r="D292" s="1" t="s">
        <v>270</v>
      </c>
      <c r="E292" s="1" t="s">
        <v>753</v>
      </c>
      <c r="F292" s="1" t="s">
        <v>754</v>
      </c>
      <c r="G292" s="1">
        <v>85833.0</v>
      </c>
      <c r="H292" s="1">
        <v>113.0</v>
      </c>
      <c r="I292" s="1" t="s">
        <v>16</v>
      </c>
      <c r="J292" s="1">
        <v>1.0E8</v>
      </c>
      <c r="K292" s="1">
        <v>2013.0</v>
      </c>
      <c r="L292" s="1">
        <v>6.7</v>
      </c>
      <c r="O292" s="3"/>
      <c r="S292" s="4"/>
    </row>
    <row r="293" ht="14.25" customHeight="1">
      <c r="A293" s="1" t="s">
        <v>755</v>
      </c>
      <c r="B293" s="1">
        <v>103.0</v>
      </c>
      <c r="C293" s="1">
        <v>6.7631157E7</v>
      </c>
      <c r="D293" s="1" t="s">
        <v>756</v>
      </c>
      <c r="E293" s="1" t="s">
        <v>19</v>
      </c>
      <c r="F293" s="1" t="s">
        <v>757</v>
      </c>
      <c r="G293" s="1">
        <v>176598.0</v>
      </c>
      <c r="H293" s="1">
        <v>374.0</v>
      </c>
      <c r="I293" s="1" t="s">
        <v>16</v>
      </c>
      <c r="J293" s="1">
        <v>1.0E8</v>
      </c>
      <c r="K293" s="1">
        <v>2010.0</v>
      </c>
      <c r="L293" s="1">
        <v>6.0</v>
      </c>
      <c r="O293" s="3"/>
      <c r="S293" s="4"/>
    </row>
    <row r="294" ht="14.25" customHeight="1">
      <c r="A294" s="1" t="s">
        <v>758</v>
      </c>
      <c r="B294" s="1">
        <v>121.0</v>
      </c>
      <c r="C294" s="1">
        <v>6.6862068E7</v>
      </c>
      <c r="D294" s="1" t="s">
        <v>759</v>
      </c>
      <c r="E294" s="1" t="s">
        <v>14</v>
      </c>
      <c r="F294" s="1" t="s">
        <v>760</v>
      </c>
      <c r="G294" s="1">
        <v>89509.0</v>
      </c>
      <c r="H294" s="1">
        <v>524.0</v>
      </c>
      <c r="I294" s="1" t="s">
        <v>16</v>
      </c>
      <c r="J294" s="1">
        <v>8.3E7</v>
      </c>
      <c r="K294" s="1">
        <v>1999.0</v>
      </c>
      <c r="L294" s="1">
        <v>5.7</v>
      </c>
      <c r="O294" s="3"/>
      <c r="S294" s="4"/>
    </row>
    <row r="295" ht="14.25" customHeight="1">
      <c r="A295" s="1" t="s">
        <v>430</v>
      </c>
      <c r="B295" s="1">
        <v>143.0</v>
      </c>
      <c r="C295" s="1">
        <v>5.7366262E7</v>
      </c>
      <c r="D295" s="1" t="s">
        <v>761</v>
      </c>
      <c r="E295" s="1" t="s">
        <v>93</v>
      </c>
      <c r="F295" s="1" t="s">
        <v>762</v>
      </c>
      <c r="G295" s="1">
        <v>400292.0</v>
      </c>
      <c r="H295" s="1">
        <v>657.0</v>
      </c>
      <c r="I295" s="1" t="s">
        <v>16</v>
      </c>
      <c r="J295" s="1">
        <v>1.0E8</v>
      </c>
      <c r="K295" s="1">
        <v>2006.0</v>
      </c>
      <c r="L295" s="1">
        <v>8.0</v>
      </c>
      <c r="O295" s="3"/>
      <c r="S295" s="4"/>
    </row>
    <row r="296" ht="14.25" customHeight="1">
      <c r="A296" s="1" t="s">
        <v>208</v>
      </c>
      <c r="B296" s="1">
        <v>240.0</v>
      </c>
      <c r="C296" s="1">
        <v>1.16866727E8</v>
      </c>
      <c r="D296" s="1" t="s">
        <v>763</v>
      </c>
      <c r="E296" s="1" t="s">
        <v>93</v>
      </c>
      <c r="F296" s="1" t="s">
        <v>764</v>
      </c>
      <c r="G296" s="1">
        <v>780588.0</v>
      </c>
      <c r="H296" s="1">
        <v>1138.0</v>
      </c>
      <c r="I296" s="1" t="s">
        <v>16</v>
      </c>
      <c r="J296" s="1">
        <v>1.0E8</v>
      </c>
      <c r="K296" s="1">
        <v>2013.0</v>
      </c>
      <c r="L296" s="1">
        <v>8.2</v>
      </c>
      <c r="O296" s="3"/>
      <c r="S296" s="4"/>
    </row>
    <row r="297" ht="14.25" customHeight="1">
      <c r="A297" s="1" t="s">
        <v>552</v>
      </c>
      <c r="B297" s="1">
        <v>121.0</v>
      </c>
      <c r="C297" s="1">
        <v>1.84031112E8</v>
      </c>
      <c r="D297" s="1" t="s">
        <v>18</v>
      </c>
      <c r="E297" s="1" t="s">
        <v>554</v>
      </c>
      <c r="F297" s="1" t="s">
        <v>765</v>
      </c>
      <c r="G297" s="1">
        <v>190786.0</v>
      </c>
      <c r="H297" s="1">
        <v>539.0</v>
      </c>
      <c r="I297" s="1" t="s">
        <v>16</v>
      </c>
      <c r="J297" s="1">
        <v>1.0E8</v>
      </c>
      <c r="K297" s="1">
        <v>1995.0</v>
      </c>
      <c r="L297" s="1">
        <v>5.4</v>
      </c>
      <c r="O297" s="3"/>
      <c r="S297" s="4"/>
    </row>
    <row r="298" ht="14.25" customHeight="1">
      <c r="A298" s="1" t="s">
        <v>542</v>
      </c>
      <c r="B298" s="1">
        <v>129.0</v>
      </c>
      <c r="C298" s="1">
        <v>5.4700065E7</v>
      </c>
      <c r="D298" s="1" t="s">
        <v>766</v>
      </c>
      <c r="E298" s="1" t="s">
        <v>767</v>
      </c>
      <c r="F298" s="1" t="s">
        <v>768</v>
      </c>
      <c r="G298" s="1">
        <v>221521.0</v>
      </c>
      <c r="H298" s="1">
        <v>1049.0</v>
      </c>
      <c r="I298" s="1" t="s">
        <v>16</v>
      </c>
      <c r="J298" s="1">
        <v>1.05E8</v>
      </c>
      <c r="K298" s="1">
        <v>1997.0</v>
      </c>
      <c r="L298" s="1">
        <v>7.2</v>
      </c>
      <c r="O298" s="3"/>
      <c r="S298" s="4"/>
    </row>
    <row r="299" ht="14.25" customHeight="1">
      <c r="A299" s="1" t="s">
        <v>769</v>
      </c>
      <c r="B299" s="1">
        <v>172.0</v>
      </c>
      <c r="C299" s="1">
        <v>2.709858E7</v>
      </c>
      <c r="D299" s="1" t="s">
        <v>770</v>
      </c>
      <c r="E299" s="1" t="s">
        <v>140</v>
      </c>
      <c r="F299" s="1" t="s">
        <v>771</v>
      </c>
      <c r="G299" s="1">
        <v>284825.0</v>
      </c>
      <c r="H299" s="1">
        <v>828.0</v>
      </c>
      <c r="I299" s="1" t="s">
        <v>16</v>
      </c>
      <c r="J299" s="1">
        <v>1.02E8</v>
      </c>
      <c r="K299" s="1">
        <v>2012.0</v>
      </c>
      <c r="L299" s="1">
        <v>7.5</v>
      </c>
      <c r="O299" s="3"/>
      <c r="S299" s="4"/>
    </row>
    <row r="300" ht="14.25" customHeight="1">
      <c r="A300" s="1" t="s">
        <v>48</v>
      </c>
      <c r="B300" s="1">
        <v>101.0</v>
      </c>
      <c r="C300" s="1">
        <v>5.5673333E7</v>
      </c>
      <c r="D300" s="1" t="s">
        <v>772</v>
      </c>
      <c r="E300" s="1" t="s">
        <v>773</v>
      </c>
      <c r="F300" s="1" t="s">
        <v>774</v>
      </c>
      <c r="G300" s="1">
        <v>65785.0</v>
      </c>
      <c r="H300" s="1">
        <v>160.0</v>
      </c>
      <c r="I300" s="1" t="s">
        <v>16</v>
      </c>
      <c r="J300" s="1">
        <v>8.0E7</v>
      </c>
      <c r="K300" s="1">
        <v>2010.0</v>
      </c>
      <c r="L300" s="1">
        <v>7.0</v>
      </c>
      <c r="O300" s="3"/>
      <c r="S300" s="4"/>
    </row>
    <row r="301" ht="14.25" customHeight="1">
      <c r="A301" s="1" t="s">
        <v>775</v>
      </c>
      <c r="B301" s="1">
        <v>87.0</v>
      </c>
      <c r="C301" s="1">
        <v>4.019871E7</v>
      </c>
      <c r="D301" s="1" t="s">
        <v>776</v>
      </c>
      <c r="E301" s="1" t="s">
        <v>777</v>
      </c>
      <c r="F301" s="1" t="s">
        <v>778</v>
      </c>
      <c r="G301" s="1">
        <v>87451.0</v>
      </c>
      <c r="H301" s="1">
        <v>660.0</v>
      </c>
      <c r="I301" s="1" t="s">
        <v>16</v>
      </c>
      <c r="J301" s="1">
        <v>1.0E8</v>
      </c>
      <c r="K301" s="1">
        <v>2004.0</v>
      </c>
      <c r="L301" s="1">
        <v>3.3</v>
      </c>
      <c r="O301" s="3"/>
      <c r="S301" s="4"/>
    </row>
    <row r="302" ht="14.25" customHeight="1">
      <c r="A302" s="1" t="s">
        <v>113</v>
      </c>
      <c r="B302" s="1">
        <v>101.0</v>
      </c>
      <c r="C302" s="1">
        <v>7.2660029E7</v>
      </c>
      <c r="D302" s="1" t="s">
        <v>55</v>
      </c>
      <c r="E302" s="1" t="s">
        <v>632</v>
      </c>
      <c r="F302" s="1" t="s">
        <v>779</v>
      </c>
      <c r="G302" s="1">
        <v>115687.0</v>
      </c>
      <c r="H302" s="1">
        <v>269.0</v>
      </c>
      <c r="I302" s="1" t="s">
        <v>16</v>
      </c>
      <c r="J302" s="1">
        <v>1.0E8</v>
      </c>
      <c r="K302" s="1">
        <v>2014.0</v>
      </c>
      <c r="L302" s="1">
        <v>6.0</v>
      </c>
      <c r="O302" s="3"/>
      <c r="S302" s="4"/>
    </row>
    <row r="303" ht="14.25" customHeight="1">
      <c r="A303" s="1" t="s">
        <v>691</v>
      </c>
      <c r="B303" s="1">
        <v>95.0</v>
      </c>
      <c r="C303" s="1">
        <v>3.8120554E7</v>
      </c>
      <c r="D303" s="1" t="s">
        <v>177</v>
      </c>
      <c r="E303" s="1" t="s">
        <v>232</v>
      </c>
      <c r="F303" s="1" t="s">
        <v>780</v>
      </c>
      <c r="G303" s="1">
        <v>71527.0</v>
      </c>
      <c r="H303" s="1">
        <v>217.0</v>
      </c>
      <c r="I303" s="1" t="s">
        <v>16</v>
      </c>
      <c r="J303" s="1">
        <v>1.4E8</v>
      </c>
      <c r="K303" s="1">
        <v>2002.0</v>
      </c>
      <c r="L303" s="1">
        <v>7.1</v>
      </c>
      <c r="O303" s="3"/>
      <c r="S303" s="4"/>
    </row>
    <row r="304" ht="14.25" customHeight="1">
      <c r="A304" s="1" t="s">
        <v>781</v>
      </c>
      <c r="B304" s="1">
        <v>102.0</v>
      </c>
      <c r="C304" s="1">
        <v>4.9392095E7</v>
      </c>
      <c r="D304" s="1" t="s">
        <v>782</v>
      </c>
      <c r="E304" s="1" t="s">
        <v>783</v>
      </c>
      <c r="F304" s="1" t="s">
        <v>784</v>
      </c>
      <c r="G304" s="1">
        <v>52029.0</v>
      </c>
      <c r="H304" s="1">
        <v>224.0</v>
      </c>
      <c r="I304" s="1" t="s">
        <v>16</v>
      </c>
      <c r="J304" s="1">
        <v>1.0E8</v>
      </c>
      <c r="K304" s="1">
        <v>2009.0</v>
      </c>
      <c r="L304" s="1">
        <v>5.4</v>
      </c>
      <c r="O304" s="3"/>
      <c r="S304" s="4"/>
    </row>
    <row r="305" ht="14.25" customHeight="1">
      <c r="A305" s="1" t="s">
        <v>785</v>
      </c>
      <c r="B305" s="1">
        <v>131.0</v>
      </c>
      <c r="C305" s="1">
        <v>3.9292022E7</v>
      </c>
      <c r="D305" s="1" t="s">
        <v>22</v>
      </c>
      <c r="E305" s="1" t="s">
        <v>147</v>
      </c>
      <c r="F305" s="1" t="s">
        <v>786</v>
      </c>
      <c r="G305" s="1">
        <v>127258.0</v>
      </c>
      <c r="H305" s="1">
        <v>351.0</v>
      </c>
      <c r="I305" s="1" t="s">
        <v>16</v>
      </c>
      <c r="J305" s="1">
        <v>9.0E7</v>
      </c>
      <c r="K305" s="1">
        <v>2014.0</v>
      </c>
      <c r="L305" s="1">
        <v>6.1</v>
      </c>
      <c r="O305" s="3"/>
      <c r="S305" s="4"/>
    </row>
    <row r="306" ht="14.25" customHeight="1">
      <c r="A306" s="1" t="s">
        <v>787</v>
      </c>
      <c r="B306" s="1">
        <v>114.0</v>
      </c>
      <c r="C306" s="1">
        <v>2.8772222E7</v>
      </c>
      <c r="D306" s="1" t="s">
        <v>788</v>
      </c>
      <c r="E306" s="1" t="s">
        <v>789</v>
      </c>
      <c r="F306" s="1" t="s">
        <v>790</v>
      </c>
      <c r="G306" s="1">
        <v>33953.0</v>
      </c>
      <c r="H306" s="1">
        <v>163.0</v>
      </c>
      <c r="I306" s="1" t="s">
        <v>16</v>
      </c>
      <c r="J306" s="1">
        <v>1.05E8</v>
      </c>
      <c r="K306" s="1">
        <v>2015.0</v>
      </c>
      <c r="L306" s="1">
        <v>5.3</v>
      </c>
      <c r="O306" s="3"/>
      <c r="S306" s="4"/>
    </row>
    <row r="307" ht="14.25" customHeight="1">
      <c r="A307" s="1" t="s">
        <v>791</v>
      </c>
      <c r="B307" s="1">
        <v>94.0</v>
      </c>
      <c r="C307" s="1">
        <v>1.7010646E7</v>
      </c>
      <c r="D307" s="1" t="s">
        <v>222</v>
      </c>
      <c r="E307" s="1" t="s">
        <v>792</v>
      </c>
      <c r="F307" s="1" t="s">
        <v>793</v>
      </c>
      <c r="G307" s="1">
        <v>40751.0</v>
      </c>
      <c r="H307" s="1">
        <v>239.0</v>
      </c>
      <c r="I307" s="1" t="s">
        <v>16</v>
      </c>
      <c r="J307" s="1">
        <v>8.4E7</v>
      </c>
      <c r="K307" s="1">
        <v>2005.0</v>
      </c>
      <c r="L307" s="1">
        <v>2.2</v>
      </c>
      <c r="O307" s="3"/>
      <c r="S307" s="4"/>
    </row>
    <row r="308" ht="14.25" customHeight="1">
      <c r="A308" s="1" t="s">
        <v>361</v>
      </c>
      <c r="B308" s="1">
        <v>122.0</v>
      </c>
      <c r="C308" s="1">
        <v>2.4985612E7</v>
      </c>
      <c r="D308" s="1" t="s">
        <v>794</v>
      </c>
      <c r="E308" s="1" t="s">
        <v>42</v>
      </c>
      <c r="F308" s="1" t="s">
        <v>795</v>
      </c>
      <c r="G308" s="1">
        <v>71782.0</v>
      </c>
      <c r="H308" s="1">
        <v>161.0</v>
      </c>
      <c r="I308" s="1" t="s">
        <v>16</v>
      </c>
      <c r="J308" s="1">
        <v>1.0E8</v>
      </c>
      <c r="K308" s="1">
        <v>2015.0</v>
      </c>
      <c r="L308" s="1">
        <v>7.0</v>
      </c>
      <c r="O308" s="3"/>
      <c r="S308" s="4"/>
    </row>
    <row r="309" ht="14.25" customHeight="1">
      <c r="A309" s="1" t="s">
        <v>796</v>
      </c>
      <c r="B309" s="1">
        <v>95.0</v>
      </c>
      <c r="C309" s="1">
        <v>4411102.0</v>
      </c>
      <c r="D309" s="1" t="s">
        <v>797</v>
      </c>
      <c r="E309" s="1" t="s">
        <v>798</v>
      </c>
      <c r="F309" s="1" t="s">
        <v>799</v>
      </c>
      <c r="G309" s="1">
        <v>20295.0</v>
      </c>
      <c r="H309" s="1">
        <v>164.0</v>
      </c>
      <c r="I309" s="1" t="s">
        <v>16</v>
      </c>
      <c r="J309" s="1">
        <v>1.0E8</v>
      </c>
      <c r="K309" s="1">
        <v>2002.0</v>
      </c>
      <c r="L309" s="1">
        <v>3.8</v>
      </c>
      <c r="O309" s="3"/>
      <c r="S309" s="4"/>
    </row>
    <row r="310" ht="14.25" customHeight="1">
      <c r="A310" s="1" t="s">
        <v>484</v>
      </c>
      <c r="B310" s="1">
        <v>115.0</v>
      </c>
      <c r="C310" s="1">
        <v>3.5024475E7</v>
      </c>
      <c r="D310" s="1" t="s">
        <v>800</v>
      </c>
      <c r="E310" s="1" t="s">
        <v>486</v>
      </c>
      <c r="F310" s="1" t="s">
        <v>801</v>
      </c>
      <c r="G310" s="1">
        <v>110364.0</v>
      </c>
      <c r="H310" s="1">
        <v>261.0</v>
      </c>
      <c r="I310" s="1" t="s">
        <v>16</v>
      </c>
      <c r="J310" s="1">
        <v>1.0E8</v>
      </c>
      <c r="K310" s="1">
        <v>2010.0</v>
      </c>
      <c r="L310" s="1">
        <v>6.9</v>
      </c>
      <c r="O310" s="3"/>
      <c r="S310" s="4"/>
    </row>
    <row r="311" ht="14.25" customHeight="1">
      <c r="A311" s="1" t="s">
        <v>802</v>
      </c>
      <c r="B311" s="1">
        <v>88.0</v>
      </c>
      <c r="C311" s="1">
        <v>1.30174897E8</v>
      </c>
      <c r="D311" s="1" t="s">
        <v>200</v>
      </c>
      <c r="E311" s="1" t="s">
        <v>803</v>
      </c>
      <c r="F311" s="1" t="s">
        <v>804</v>
      </c>
      <c r="G311" s="1">
        <v>27918.0</v>
      </c>
      <c r="H311" s="1">
        <v>155.0</v>
      </c>
      <c r="I311" s="1" t="s">
        <v>16</v>
      </c>
      <c r="J311" s="1">
        <v>9.9E7</v>
      </c>
      <c r="K311" s="1">
        <v>2015.0</v>
      </c>
      <c r="L311" s="1">
        <v>7.2</v>
      </c>
      <c r="O311" s="3"/>
      <c r="S311" s="4"/>
    </row>
    <row r="312" ht="14.25" customHeight="1">
      <c r="A312" s="1" t="s">
        <v>805</v>
      </c>
      <c r="B312" s="1">
        <v>110.0</v>
      </c>
      <c r="C312" s="1">
        <v>1.02E7</v>
      </c>
      <c r="D312" s="1" t="s">
        <v>806</v>
      </c>
      <c r="E312" s="1" t="s">
        <v>807</v>
      </c>
      <c r="F312" s="1" t="s">
        <v>808</v>
      </c>
      <c r="G312" s="1">
        <v>18697.0</v>
      </c>
      <c r="H312" s="1">
        <v>263.0</v>
      </c>
      <c r="I312" s="1" t="s">
        <v>16</v>
      </c>
      <c r="J312" s="1">
        <v>1.0E7</v>
      </c>
      <c r="K312" s="1">
        <v>1997.0</v>
      </c>
      <c r="L312" s="1">
        <v>7.3</v>
      </c>
      <c r="O312" s="3"/>
      <c r="S312" s="4"/>
    </row>
    <row r="313" ht="14.25" customHeight="1">
      <c r="A313" s="1" t="s">
        <v>231</v>
      </c>
      <c r="B313" s="1">
        <v>130.0</v>
      </c>
      <c r="C313" s="1">
        <v>2.0200764E8</v>
      </c>
      <c r="D313" s="1" t="s">
        <v>809</v>
      </c>
      <c r="E313" s="1" t="s">
        <v>632</v>
      </c>
      <c r="F313" s="1" t="s">
        <v>810</v>
      </c>
      <c r="G313" s="1">
        <v>248045.0</v>
      </c>
      <c r="H313" s="1">
        <v>890.0</v>
      </c>
      <c r="I313" s="1" t="s">
        <v>16</v>
      </c>
      <c r="J313" s="1">
        <v>9.8E7</v>
      </c>
      <c r="K313" s="1">
        <v>2001.0</v>
      </c>
      <c r="L313" s="1">
        <v>6.3</v>
      </c>
      <c r="O313" s="3"/>
      <c r="S313" s="4"/>
    </row>
    <row r="314" ht="14.25" customHeight="1">
      <c r="A314" s="1" t="s">
        <v>208</v>
      </c>
      <c r="B314" s="1">
        <v>216.0</v>
      </c>
      <c r="C314" s="1">
        <v>7.7679638E7</v>
      </c>
      <c r="D314" s="1" t="s">
        <v>811</v>
      </c>
      <c r="E314" s="1" t="s">
        <v>93</v>
      </c>
      <c r="F314" s="1" t="s">
        <v>812</v>
      </c>
      <c r="G314" s="1">
        <v>314033.0</v>
      </c>
      <c r="H314" s="1">
        <v>1166.0</v>
      </c>
      <c r="I314" s="1" t="s">
        <v>16</v>
      </c>
      <c r="J314" s="1">
        <v>1.0E8</v>
      </c>
      <c r="K314" s="1">
        <v>2002.0</v>
      </c>
      <c r="L314" s="1">
        <v>7.5</v>
      </c>
      <c r="O314" s="3"/>
      <c r="S314" s="4"/>
    </row>
    <row r="315" ht="14.25" customHeight="1">
      <c r="A315" s="1" t="s">
        <v>813</v>
      </c>
      <c r="B315" s="1">
        <v>146.0</v>
      </c>
      <c r="C315" s="1">
        <v>9213.0</v>
      </c>
      <c r="D315" s="1" t="s">
        <v>814</v>
      </c>
      <c r="E315" s="1" t="s">
        <v>143</v>
      </c>
      <c r="F315" s="1" t="s">
        <v>815</v>
      </c>
      <c r="G315" s="1">
        <v>38690.0</v>
      </c>
      <c r="H315" s="1">
        <v>130.0</v>
      </c>
      <c r="I315" s="1" t="s">
        <v>816</v>
      </c>
      <c r="J315" s="1">
        <v>9.4E7</v>
      </c>
      <c r="K315" s="1">
        <v>2011.0</v>
      </c>
      <c r="L315" s="1">
        <v>7.6</v>
      </c>
      <c r="O315" s="3"/>
      <c r="S315" s="4"/>
    </row>
    <row r="316" ht="14.25" customHeight="1">
      <c r="A316" s="1" t="s">
        <v>817</v>
      </c>
      <c r="B316" s="1">
        <v>85.0</v>
      </c>
      <c r="C316" s="1">
        <v>5.8867694E7</v>
      </c>
      <c r="D316" s="1" t="s">
        <v>818</v>
      </c>
      <c r="E316" s="1" t="s">
        <v>130</v>
      </c>
      <c r="F316" s="1" t="s">
        <v>819</v>
      </c>
      <c r="G316" s="1">
        <v>54077.0</v>
      </c>
      <c r="H316" s="1">
        <v>112.0</v>
      </c>
      <c r="I316" s="1" t="s">
        <v>16</v>
      </c>
      <c r="J316" s="1">
        <v>1.0E8</v>
      </c>
      <c r="K316" s="1">
        <v>2007.0</v>
      </c>
      <c r="L316" s="1">
        <v>6.8</v>
      </c>
      <c r="O316" s="3"/>
      <c r="S316" s="4"/>
    </row>
    <row r="317" ht="14.25" customHeight="1">
      <c r="A317" s="1" t="s">
        <v>820</v>
      </c>
      <c r="B317" s="1">
        <v>93.0</v>
      </c>
      <c r="C317" s="1">
        <v>5.9475623E7</v>
      </c>
      <c r="D317" s="1" t="s">
        <v>821</v>
      </c>
      <c r="E317" s="1" t="s">
        <v>822</v>
      </c>
      <c r="F317" s="1" t="s">
        <v>823</v>
      </c>
      <c r="G317" s="1">
        <v>49739.0</v>
      </c>
      <c r="H317" s="1">
        <v>407.0</v>
      </c>
      <c r="I317" s="1" t="s">
        <v>16</v>
      </c>
      <c r="J317" s="1">
        <v>9.0E7</v>
      </c>
      <c r="K317" s="1">
        <v>2004.0</v>
      </c>
      <c r="L317" s="1">
        <v>5.2</v>
      </c>
      <c r="O317" s="3"/>
      <c r="S317" s="4"/>
    </row>
    <row r="318" ht="14.25" customHeight="1">
      <c r="A318" s="1" t="s">
        <v>80</v>
      </c>
      <c r="B318" s="1">
        <v>152.0</v>
      </c>
      <c r="C318" s="1">
        <v>1.08638745E8</v>
      </c>
      <c r="D318" s="1" t="s">
        <v>824</v>
      </c>
      <c r="E318" s="1" t="s">
        <v>825</v>
      </c>
      <c r="F318" s="1" t="s">
        <v>826</v>
      </c>
      <c r="G318" s="1">
        <v>292022.0</v>
      </c>
      <c r="H318" s="1">
        <v>1103.0</v>
      </c>
      <c r="I318" s="1" t="s">
        <v>16</v>
      </c>
      <c r="J318" s="1">
        <v>9.2E7</v>
      </c>
      <c r="K318" s="1">
        <v>2001.0</v>
      </c>
      <c r="L318" s="1">
        <v>7.7</v>
      </c>
      <c r="O318" s="3"/>
      <c r="S318" s="4"/>
    </row>
    <row r="319" ht="14.25" customHeight="1">
      <c r="A319" s="1" t="s">
        <v>827</v>
      </c>
      <c r="B319" s="1">
        <v>85.0</v>
      </c>
      <c r="C319" s="1">
        <v>8.6897182E7</v>
      </c>
      <c r="D319" s="1" t="s">
        <v>828</v>
      </c>
      <c r="E319" s="1" t="s">
        <v>783</v>
      </c>
      <c r="F319" s="1" t="s">
        <v>829</v>
      </c>
      <c r="G319" s="1">
        <v>106790.0</v>
      </c>
      <c r="H319" s="1">
        <v>177.0</v>
      </c>
      <c r="I319" s="1" t="s">
        <v>16</v>
      </c>
      <c r="J319" s="1">
        <v>9.5E7</v>
      </c>
      <c r="K319" s="1">
        <v>2012.0</v>
      </c>
      <c r="L319" s="1">
        <v>6.2</v>
      </c>
      <c r="O319" s="3"/>
      <c r="S319" s="4"/>
    </row>
    <row r="320" ht="14.25" customHeight="1">
      <c r="A320" s="1" t="s">
        <v>830</v>
      </c>
      <c r="B320" s="1">
        <v>126.0</v>
      </c>
      <c r="C320" s="1">
        <v>6.354002E7</v>
      </c>
      <c r="D320" s="1" t="s">
        <v>30</v>
      </c>
      <c r="E320" s="1" t="s">
        <v>831</v>
      </c>
      <c r="F320" s="1" t="s">
        <v>832</v>
      </c>
      <c r="G320" s="1">
        <v>343274.0</v>
      </c>
      <c r="H320" s="1">
        <v>742.0</v>
      </c>
      <c r="I320" s="1" t="s">
        <v>16</v>
      </c>
      <c r="J320" s="1">
        <v>9.3E7</v>
      </c>
      <c r="K320" s="1">
        <v>1997.0</v>
      </c>
      <c r="L320" s="1">
        <v>7.7</v>
      </c>
      <c r="O320" s="3"/>
      <c r="S320" s="4"/>
    </row>
    <row r="321" ht="14.25" customHeight="1">
      <c r="A321" s="1" t="s">
        <v>833</v>
      </c>
      <c r="B321" s="1">
        <v>146.0</v>
      </c>
      <c r="C321" s="1">
        <v>9.5328937E7</v>
      </c>
      <c r="D321" s="1" t="s">
        <v>593</v>
      </c>
      <c r="E321" s="1" t="s">
        <v>834</v>
      </c>
      <c r="F321" s="1" t="s">
        <v>835</v>
      </c>
      <c r="G321" s="1">
        <v>59581.0</v>
      </c>
      <c r="H321" s="1">
        <v>293.0</v>
      </c>
      <c r="I321" s="1" t="s">
        <v>16</v>
      </c>
      <c r="J321" s="1">
        <v>1.0E8</v>
      </c>
      <c r="K321" s="1">
        <v>2010.0</v>
      </c>
      <c r="L321" s="1">
        <v>4.3</v>
      </c>
      <c r="O321" s="3"/>
      <c r="S321" s="4"/>
    </row>
    <row r="322" ht="14.25" customHeight="1">
      <c r="A322" s="1" t="s">
        <v>836</v>
      </c>
      <c r="B322" s="1">
        <v>89.0</v>
      </c>
      <c r="C322" s="1">
        <v>5.0802661E7</v>
      </c>
      <c r="D322" s="1" t="s">
        <v>837</v>
      </c>
      <c r="E322" s="1" t="s">
        <v>838</v>
      </c>
      <c r="F322" s="1" t="s">
        <v>839</v>
      </c>
      <c r="G322" s="1">
        <v>58300.0</v>
      </c>
      <c r="H322" s="1">
        <v>139.0</v>
      </c>
      <c r="I322" s="1" t="s">
        <v>16</v>
      </c>
      <c r="J322" s="1">
        <v>9.5E7</v>
      </c>
      <c r="K322" s="1">
        <v>2000.0</v>
      </c>
      <c r="L322" s="1">
        <v>6.9</v>
      </c>
      <c r="O322" s="3"/>
      <c r="S322" s="4"/>
    </row>
    <row r="323" ht="14.25" customHeight="1">
      <c r="A323" s="1" t="s">
        <v>802</v>
      </c>
      <c r="B323" s="1">
        <v>88.0</v>
      </c>
      <c r="C323" s="1">
        <v>1.61317423E8</v>
      </c>
      <c r="D323" s="1" t="s">
        <v>200</v>
      </c>
      <c r="E323" s="1" t="s">
        <v>64</v>
      </c>
      <c r="F323" s="1" t="s">
        <v>840</v>
      </c>
      <c r="G323" s="1">
        <v>145321.0</v>
      </c>
      <c r="H323" s="1">
        <v>139.0</v>
      </c>
      <c r="I323" s="1" t="s">
        <v>16</v>
      </c>
      <c r="J323" s="1">
        <v>9.5E7</v>
      </c>
      <c r="K323" s="1">
        <v>2012.0</v>
      </c>
      <c r="L323" s="1">
        <v>6.6</v>
      </c>
      <c r="O323" s="3"/>
      <c r="S323" s="4"/>
    </row>
    <row r="324" ht="14.25" customHeight="1">
      <c r="A324" s="1" t="s">
        <v>364</v>
      </c>
      <c r="B324" s="1">
        <v>105.0</v>
      </c>
      <c r="C324" s="1">
        <v>2.01148159E8</v>
      </c>
      <c r="D324" s="1" t="s">
        <v>841</v>
      </c>
      <c r="E324" s="1" t="s">
        <v>842</v>
      </c>
      <c r="F324" s="1" t="s">
        <v>843</v>
      </c>
      <c r="G324" s="1">
        <v>103737.0</v>
      </c>
      <c r="H324" s="1">
        <v>322.0</v>
      </c>
      <c r="I324" s="1" t="s">
        <v>16</v>
      </c>
      <c r="J324" s="1">
        <v>9.5E7</v>
      </c>
      <c r="K324" s="1">
        <v>2015.0</v>
      </c>
      <c r="L324" s="1">
        <v>7.0</v>
      </c>
      <c r="O324" s="3"/>
      <c r="S324" s="4"/>
    </row>
    <row r="325" ht="14.25" customHeight="1">
      <c r="A325" s="1" t="s">
        <v>73</v>
      </c>
      <c r="B325" s="1">
        <v>135.0</v>
      </c>
      <c r="C325" s="1">
        <v>4.3982842E7</v>
      </c>
      <c r="D325" s="1" t="s">
        <v>844</v>
      </c>
      <c r="E325" s="1" t="s">
        <v>845</v>
      </c>
      <c r="F325" s="1" t="s">
        <v>846</v>
      </c>
      <c r="G325" s="1">
        <v>125109.0</v>
      </c>
      <c r="H325" s="1">
        <v>593.0</v>
      </c>
      <c r="I325" s="1" t="s">
        <v>16</v>
      </c>
      <c r="J325" s="1">
        <v>6.5E7</v>
      </c>
      <c r="K325" s="1">
        <v>2009.0</v>
      </c>
      <c r="L325" s="1">
        <v>6.7</v>
      </c>
      <c r="O325" s="3"/>
      <c r="S325" s="4"/>
    </row>
    <row r="326" ht="14.25" customHeight="1">
      <c r="A326" s="1" t="s">
        <v>29</v>
      </c>
      <c r="B326" s="1">
        <v>100.0</v>
      </c>
      <c r="C326" s="1">
        <v>3.8083887E8</v>
      </c>
      <c r="D326" s="1" t="s">
        <v>200</v>
      </c>
      <c r="E326" s="1" t="s">
        <v>847</v>
      </c>
      <c r="F326" s="1" t="s">
        <v>848</v>
      </c>
      <c r="G326" s="1">
        <v>692482.0</v>
      </c>
      <c r="H326" s="1">
        <v>866.0</v>
      </c>
      <c r="I326" s="1" t="s">
        <v>16</v>
      </c>
      <c r="J326" s="1">
        <v>9.4E7</v>
      </c>
      <c r="K326" s="1">
        <v>2003.0</v>
      </c>
      <c r="L326" s="1">
        <v>8.2</v>
      </c>
      <c r="O326" s="3"/>
      <c r="S326" s="4"/>
    </row>
    <row r="327" ht="14.25" customHeight="1">
      <c r="A327" s="1" t="s">
        <v>73</v>
      </c>
      <c r="B327" s="1">
        <v>192.0</v>
      </c>
      <c r="C327" s="1">
        <v>3.77019252E8</v>
      </c>
      <c r="D327" s="1" t="s">
        <v>241</v>
      </c>
      <c r="E327" s="1" t="s">
        <v>849</v>
      </c>
      <c r="F327" s="1" t="s">
        <v>850</v>
      </c>
      <c r="G327" s="1">
        <v>1215718.0</v>
      </c>
      <c r="H327" s="1">
        <v>3189.0</v>
      </c>
      <c r="I327" s="1" t="s">
        <v>16</v>
      </c>
      <c r="J327" s="1">
        <v>9.4E7</v>
      </c>
      <c r="K327" s="1">
        <v>2003.0</v>
      </c>
      <c r="L327" s="1">
        <v>8.9</v>
      </c>
      <c r="O327" s="3"/>
      <c r="S327" s="4"/>
    </row>
    <row r="328" ht="14.25" customHeight="1">
      <c r="A328" s="1" t="s">
        <v>73</v>
      </c>
      <c r="B328" s="1">
        <v>172.0</v>
      </c>
      <c r="C328" s="1">
        <v>3.40478898E8</v>
      </c>
      <c r="D328" s="1" t="s">
        <v>241</v>
      </c>
      <c r="E328" s="1" t="s">
        <v>87</v>
      </c>
      <c r="F328" s="1" t="s">
        <v>851</v>
      </c>
      <c r="G328" s="1">
        <v>1100446.0</v>
      </c>
      <c r="H328" s="1">
        <v>2417.0</v>
      </c>
      <c r="I328" s="1" t="s">
        <v>16</v>
      </c>
      <c r="J328" s="1">
        <v>9.4E7</v>
      </c>
      <c r="K328" s="1">
        <v>2002.0</v>
      </c>
      <c r="L328" s="1">
        <v>8.7</v>
      </c>
      <c r="O328" s="3"/>
      <c r="S328" s="4"/>
    </row>
    <row r="329" ht="14.25" customHeight="1">
      <c r="A329" s="1" t="s">
        <v>852</v>
      </c>
      <c r="B329" s="1">
        <v>102.0</v>
      </c>
      <c r="C329" s="1">
        <v>1.71769E7</v>
      </c>
      <c r="D329" s="1" t="s">
        <v>18</v>
      </c>
      <c r="E329" s="1" t="s">
        <v>130</v>
      </c>
      <c r="F329" s="1" t="s">
        <v>853</v>
      </c>
      <c r="G329" s="1">
        <v>54501.0</v>
      </c>
      <c r="H329" s="1">
        <v>154.0</v>
      </c>
      <c r="I329" s="1" t="s">
        <v>16</v>
      </c>
      <c r="J329" s="1">
        <v>9.5E7</v>
      </c>
      <c r="K329" s="1">
        <v>2014.0</v>
      </c>
      <c r="L329" s="1">
        <v>5.5</v>
      </c>
      <c r="O329" s="3"/>
      <c r="S329" s="4"/>
    </row>
    <row r="330" ht="14.25" customHeight="1">
      <c r="A330" s="1" t="s">
        <v>743</v>
      </c>
      <c r="B330" s="1">
        <v>100.0</v>
      </c>
      <c r="C330" s="1">
        <v>1.31144183E8</v>
      </c>
      <c r="D330" s="1" t="s">
        <v>809</v>
      </c>
      <c r="E330" s="1" t="s">
        <v>245</v>
      </c>
      <c r="F330" s="1" t="s">
        <v>854</v>
      </c>
      <c r="G330" s="1">
        <v>157016.0</v>
      </c>
      <c r="H330" s="1">
        <v>824.0</v>
      </c>
      <c r="I330" s="1" t="s">
        <v>16</v>
      </c>
      <c r="J330" s="1">
        <v>1.15E8</v>
      </c>
      <c r="K330" s="1">
        <v>2001.0</v>
      </c>
      <c r="L330" s="1">
        <v>5.7</v>
      </c>
      <c r="O330" s="3"/>
      <c r="S330" s="4"/>
    </row>
    <row r="331" ht="14.25" customHeight="1">
      <c r="A331" s="1" t="s">
        <v>855</v>
      </c>
      <c r="B331" s="1">
        <v>119.0</v>
      </c>
      <c r="C331" s="1">
        <v>2.3014504E7</v>
      </c>
      <c r="D331" s="1" t="s">
        <v>856</v>
      </c>
      <c r="E331" s="1" t="s">
        <v>19</v>
      </c>
      <c r="F331" s="1" t="s">
        <v>857</v>
      </c>
      <c r="G331" s="1">
        <v>172707.0</v>
      </c>
      <c r="H331" s="1">
        <v>462.0</v>
      </c>
      <c r="I331" s="1" t="s">
        <v>16</v>
      </c>
      <c r="J331" s="1">
        <v>1.0E8</v>
      </c>
      <c r="K331" s="1">
        <v>2014.0</v>
      </c>
      <c r="L331" s="1">
        <v>6.3</v>
      </c>
      <c r="O331" s="3"/>
      <c r="S331" s="4"/>
    </row>
    <row r="332" ht="14.25" customHeight="1">
      <c r="A332" s="1" t="s">
        <v>379</v>
      </c>
      <c r="B332" s="1">
        <v>92.0</v>
      </c>
      <c r="C332" s="1">
        <v>1.81166115E8</v>
      </c>
      <c r="D332" s="1" t="s">
        <v>99</v>
      </c>
      <c r="E332" s="1" t="s">
        <v>858</v>
      </c>
      <c r="F332" s="1" t="s">
        <v>859</v>
      </c>
      <c r="G332" s="1">
        <v>219501.0</v>
      </c>
      <c r="H332" s="1">
        <v>1236.0</v>
      </c>
      <c r="I332" s="1" t="s">
        <v>16</v>
      </c>
      <c r="J332" s="1">
        <v>9.3E7</v>
      </c>
      <c r="K332" s="1">
        <v>2001.0</v>
      </c>
      <c r="L332" s="1">
        <v>5.9</v>
      </c>
      <c r="O332" s="3"/>
      <c r="S332" s="4"/>
    </row>
    <row r="333" ht="14.25" customHeight="1">
      <c r="A333" s="1" t="s">
        <v>860</v>
      </c>
      <c r="B333" s="1">
        <v>105.0</v>
      </c>
      <c r="C333" s="1">
        <v>1.7674065E8</v>
      </c>
      <c r="D333" s="1" t="s">
        <v>581</v>
      </c>
      <c r="E333" s="1" t="s">
        <v>861</v>
      </c>
      <c r="F333" s="1" t="s">
        <v>862</v>
      </c>
      <c r="G333" s="1">
        <v>403836.0</v>
      </c>
      <c r="H333" s="1">
        <v>646.0</v>
      </c>
      <c r="I333" s="1" t="s">
        <v>16</v>
      </c>
      <c r="J333" s="1">
        <v>9.3E7</v>
      </c>
      <c r="K333" s="1">
        <v>2011.0</v>
      </c>
      <c r="L333" s="1">
        <v>7.6</v>
      </c>
      <c r="O333" s="3"/>
      <c r="S333" s="4"/>
    </row>
    <row r="334" ht="14.25" customHeight="1">
      <c r="A334" s="1" t="s">
        <v>863</v>
      </c>
      <c r="B334" s="1">
        <v>107.0</v>
      </c>
      <c r="C334" s="1">
        <v>7.1148699E7</v>
      </c>
      <c r="D334" s="1" t="s">
        <v>86</v>
      </c>
      <c r="E334" s="1" t="s">
        <v>864</v>
      </c>
      <c r="F334" s="1" t="s">
        <v>865</v>
      </c>
      <c r="G334" s="1">
        <v>68935.0</v>
      </c>
      <c r="H334" s="1">
        <v>125.0</v>
      </c>
      <c r="I334" s="1" t="s">
        <v>16</v>
      </c>
      <c r="J334" s="1">
        <v>9.0E7</v>
      </c>
      <c r="K334" s="1">
        <v>2008.0</v>
      </c>
      <c r="L334" s="1">
        <v>6.6</v>
      </c>
      <c r="O334" s="3"/>
      <c r="S334" s="4"/>
    </row>
    <row r="335" ht="14.25" customHeight="1">
      <c r="A335" s="1" t="s">
        <v>866</v>
      </c>
      <c r="B335" s="1">
        <v>101.0</v>
      </c>
      <c r="C335" s="1">
        <v>6.7344392E7</v>
      </c>
      <c r="D335" s="1" t="s">
        <v>26</v>
      </c>
      <c r="E335" s="1" t="s">
        <v>415</v>
      </c>
      <c r="F335" s="1" t="s">
        <v>867</v>
      </c>
      <c r="G335" s="1">
        <v>165618.0</v>
      </c>
      <c r="H335" s="1">
        <v>503.0</v>
      </c>
      <c r="I335" s="1" t="s">
        <v>16</v>
      </c>
      <c r="J335" s="1">
        <v>9.2E7</v>
      </c>
      <c r="K335" s="1">
        <v>2013.0</v>
      </c>
      <c r="L335" s="1">
        <v>5.3</v>
      </c>
      <c r="O335" s="3"/>
      <c r="S335" s="4"/>
    </row>
    <row r="336" ht="14.25" customHeight="1">
      <c r="A336" s="1" t="s">
        <v>868</v>
      </c>
      <c r="B336" s="1">
        <v>137.0</v>
      </c>
      <c r="C336" s="1">
        <v>2.2406362E7</v>
      </c>
      <c r="D336" s="1" t="s">
        <v>869</v>
      </c>
      <c r="E336" s="1" t="s">
        <v>870</v>
      </c>
      <c r="F336" s="1" t="s">
        <v>871</v>
      </c>
      <c r="G336" s="1">
        <v>16832.0</v>
      </c>
      <c r="H336" s="1">
        <v>267.0</v>
      </c>
      <c r="I336" s="1" t="s">
        <v>16</v>
      </c>
      <c r="J336" s="1">
        <v>1.07E8</v>
      </c>
      <c r="K336" s="1">
        <v>2004.0</v>
      </c>
      <c r="L336" s="1">
        <v>6.0</v>
      </c>
      <c r="O336" s="3"/>
      <c r="S336" s="4"/>
    </row>
    <row r="337" ht="14.25" customHeight="1">
      <c r="A337" s="1" t="s">
        <v>258</v>
      </c>
      <c r="B337" s="1">
        <v>115.0</v>
      </c>
      <c r="C337" s="1">
        <v>2.61437578E8</v>
      </c>
      <c r="D337" s="1" t="s">
        <v>872</v>
      </c>
      <c r="E337" s="1" t="s">
        <v>873</v>
      </c>
      <c r="F337" s="1" t="s">
        <v>874</v>
      </c>
      <c r="G337" s="1">
        <v>479166.0</v>
      </c>
      <c r="H337" s="1">
        <v>815.0</v>
      </c>
      <c r="I337" s="1" t="s">
        <v>16</v>
      </c>
      <c r="J337" s="1">
        <v>9.2E7</v>
      </c>
      <c r="K337" s="1">
        <v>2004.0</v>
      </c>
      <c r="L337" s="1">
        <v>8.0</v>
      </c>
      <c r="O337" s="3"/>
      <c r="S337" s="4"/>
    </row>
    <row r="338" ht="14.25" customHeight="1">
      <c r="A338" s="1" t="s">
        <v>875</v>
      </c>
      <c r="B338" s="1">
        <v>124.0</v>
      </c>
      <c r="C338" s="1">
        <v>1.1E7</v>
      </c>
      <c r="D338" s="1" t="s">
        <v>678</v>
      </c>
      <c r="E338" s="1" t="s">
        <v>876</v>
      </c>
      <c r="F338" s="1" t="s">
        <v>877</v>
      </c>
      <c r="G338" s="1">
        <v>21102.0</v>
      </c>
      <c r="H338" s="1">
        <v>169.0</v>
      </c>
      <c r="I338" s="1" t="s">
        <v>16</v>
      </c>
      <c r="J338" s="1">
        <v>9.8E7</v>
      </c>
      <c r="K338" s="1">
        <v>1995.0</v>
      </c>
      <c r="L338" s="1">
        <v>5.6</v>
      </c>
      <c r="O338" s="3"/>
      <c r="S338" s="4"/>
    </row>
    <row r="339" ht="14.25" customHeight="1">
      <c r="A339" s="1" t="s">
        <v>524</v>
      </c>
      <c r="B339" s="1">
        <v>118.0</v>
      </c>
      <c r="C339" s="1">
        <v>8.876172E7</v>
      </c>
      <c r="D339" s="1" t="s">
        <v>86</v>
      </c>
      <c r="E339" s="1" t="s">
        <v>878</v>
      </c>
      <c r="F339" s="1" t="s">
        <v>879</v>
      </c>
      <c r="G339" s="1">
        <v>141179.0</v>
      </c>
      <c r="H339" s="1">
        <v>419.0</v>
      </c>
      <c r="I339" s="1" t="s">
        <v>16</v>
      </c>
      <c r="J339" s="1">
        <v>9.5E7</v>
      </c>
      <c r="K339" s="1">
        <v>2010.0</v>
      </c>
      <c r="L339" s="1">
        <v>5.9</v>
      </c>
      <c r="O339" s="3"/>
      <c r="S339" s="4"/>
    </row>
    <row r="340" ht="14.25" customHeight="1">
      <c r="A340" s="1" t="s">
        <v>69</v>
      </c>
      <c r="B340" s="1">
        <v>98.0</v>
      </c>
      <c r="C340" s="1">
        <v>2.50147615E8</v>
      </c>
      <c r="D340" s="1" t="s">
        <v>880</v>
      </c>
      <c r="E340" s="1" t="s">
        <v>71</v>
      </c>
      <c r="F340" s="1" t="s">
        <v>881</v>
      </c>
      <c r="G340" s="1">
        <v>403014.0</v>
      </c>
      <c r="H340" s="1">
        <v>289.0</v>
      </c>
      <c r="I340" s="1" t="s">
        <v>16</v>
      </c>
      <c r="J340" s="1">
        <v>9.0E7</v>
      </c>
      <c r="K340" s="1">
        <v>1997.0</v>
      </c>
      <c r="L340" s="1">
        <v>7.3</v>
      </c>
      <c r="O340" s="3"/>
      <c r="S340" s="4"/>
    </row>
    <row r="341" ht="14.25" customHeight="1">
      <c r="A341" s="1" t="s">
        <v>132</v>
      </c>
      <c r="B341" s="1">
        <v>82.0</v>
      </c>
      <c r="C341" s="1">
        <v>2.45823397E8</v>
      </c>
      <c r="D341" s="1" t="s">
        <v>118</v>
      </c>
      <c r="E341" s="1" t="s">
        <v>140</v>
      </c>
      <c r="F341" s="1" t="s">
        <v>882</v>
      </c>
      <c r="G341" s="1">
        <v>385871.0</v>
      </c>
      <c r="H341" s="1">
        <v>515.0</v>
      </c>
      <c r="I341" s="1" t="s">
        <v>16</v>
      </c>
      <c r="J341" s="1">
        <v>9.0E7</v>
      </c>
      <c r="K341" s="1">
        <v>1999.0</v>
      </c>
      <c r="L341" s="1">
        <v>7.9</v>
      </c>
      <c r="O341" s="3"/>
      <c r="S341" s="4"/>
    </row>
    <row r="342" ht="14.25" customHeight="1">
      <c r="A342" s="1" t="s">
        <v>722</v>
      </c>
      <c r="B342" s="1">
        <v>98.0</v>
      </c>
      <c r="C342" s="1">
        <v>8.1557479E7</v>
      </c>
      <c r="D342" s="1" t="s">
        <v>26</v>
      </c>
      <c r="E342" s="1" t="s">
        <v>717</v>
      </c>
      <c r="F342" s="1" t="s">
        <v>883</v>
      </c>
      <c r="G342" s="1">
        <v>149947.0</v>
      </c>
      <c r="H342" s="1">
        <v>326.0</v>
      </c>
      <c r="I342" s="1" t="s">
        <v>16</v>
      </c>
      <c r="J342" s="1">
        <v>1.0E8</v>
      </c>
      <c r="K342" s="1">
        <v>2010.0</v>
      </c>
      <c r="L342" s="1">
        <v>6.8</v>
      </c>
      <c r="O342" s="3"/>
      <c r="S342" s="4"/>
    </row>
    <row r="343" ht="14.25" customHeight="1">
      <c r="A343" s="1" t="s">
        <v>113</v>
      </c>
      <c r="B343" s="1">
        <v>90.0</v>
      </c>
      <c r="C343" s="1">
        <v>2.26138454E8</v>
      </c>
      <c r="D343" s="1" t="s">
        <v>180</v>
      </c>
      <c r="E343" s="1" t="s">
        <v>884</v>
      </c>
      <c r="F343" s="1" t="s">
        <v>885</v>
      </c>
      <c r="G343" s="1">
        <v>160440.0</v>
      </c>
      <c r="H343" s="1">
        <v>394.0</v>
      </c>
      <c r="I343" s="1" t="s">
        <v>16</v>
      </c>
      <c r="J343" s="1">
        <v>9.0E7</v>
      </c>
      <c r="K343" s="1">
        <v>2001.0</v>
      </c>
      <c r="L343" s="1">
        <v>6.6</v>
      </c>
      <c r="O343" s="3"/>
      <c r="S343" s="4"/>
    </row>
    <row r="344" ht="14.25" customHeight="1">
      <c r="A344" s="1" t="s">
        <v>186</v>
      </c>
      <c r="B344" s="1">
        <v>130.0</v>
      </c>
      <c r="C344" s="1">
        <v>1.55370362E8</v>
      </c>
      <c r="D344" s="1" t="s">
        <v>886</v>
      </c>
      <c r="E344" s="1" t="s">
        <v>169</v>
      </c>
      <c r="F344" s="1" t="s">
        <v>887</v>
      </c>
      <c r="G344" s="1">
        <v>98403.0</v>
      </c>
      <c r="H344" s="1">
        <v>683.0</v>
      </c>
      <c r="I344" s="1" t="s">
        <v>16</v>
      </c>
      <c r="J344" s="1">
        <v>1.0E8</v>
      </c>
      <c r="K344" s="1">
        <v>2000.0</v>
      </c>
      <c r="L344" s="1">
        <v>6.6</v>
      </c>
      <c r="O344" s="3"/>
      <c r="S344" s="4"/>
    </row>
    <row r="345" ht="14.25" customHeight="1">
      <c r="A345" s="1" t="s">
        <v>888</v>
      </c>
      <c r="B345" s="1">
        <v>90.0</v>
      </c>
      <c r="C345" s="1">
        <v>1.24870275E8</v>
      </c>
      <c r="D345" s="1" t="s">
        <v>889</v>
      </c>
      <c r="E345" s="1" t="s">
        <v>890</v>
      </c>
      <c r="F345" s="1" t="s">
        <v>891</v>
      </c>
      <c r="G345" s="1">
        <v>152601.0</v>
      </c>
      <c r="H345" s="1">
        <v>156.0</v>
      </c>
      <c r="I345" s="1" t="s">
        <v>16</v>
      </c>
      <c r="J345" s="1">
        <v>1.0E8</v>
      </c>
      <c r="K345" s="1">
        <v>2009.0</v>
      </c>
      <c r="L345" s="1">
        <v>7.0</v>
      </c>
      <c r="O345" s="3"/>
      <c r="S345" s="4"/>
    </row>
    <row r="346" ht="14.25" customHeight="1">
      <c r="A346" s="1" t="s">
        <v>532</v>
      </c>
      <c r="B346" s="1">
        <v>94.0</v>
      </c>
      <c r="C346" s="1">
        <v>1.96573705E8</v>
      </c>
      <c r="D346" s="1" t="s">
        <v>342</v>
      </c>
      <c r="E346" s="1" t="s">
        <v>892</v>
      </c>
      <c r="F346" s="1" t="s">
        <v>893</v>
      </c>
      <c r="G346" s="1">
        <v>166791.0</v>
      </c>
      <c r="H346" s="1">
        <v>132.0</v>
      </c>
      <c r="I346" s="1" t="s">
        <v>16</v>
      </c>
      <c r="J346" s="1">
        <v>9.0E7</v>
      </c>
      <c r="K346" s="1">
        <v>2009.0</v>
      </c>
      <c r="L346" s="1">
        <v>7.0</v>
      </c>
      <c r="O346" s="3"/>
      <c r="S346" s="4"/>
    </row>
    <row r="347" ht="14.25" customHeight="1">
      <c r="A347" s="1" t="s">
        <v>894</v>
      </c>
      <c r="B347" s="1">
        <v>114.0</v>
      </c>
      <c r="C347" s="1">
        <v>5.822912E7</v>
      </c>
      <c r="D347" s="1" t="s">
        <v>895</v>
      </c>
      <c r="E347" s="1" t="s">
        <v>896</v>
      </c>
      <c r="F347" s="1" t="s">
        <v>897</v>
      </c>
      <c r="G347" s="1">
        <v>236421.0</v>
      </c>
      <c r="H347" s="1">
        <v>515.0</v>
      </c>
      <c r="I347" s="1" t="s">
        <v>16</v>
      </c>
      <c r="J347" s="1">
        <v>9.0E7</v>
      </c>
      <c r="K347" s="1">
        <v>2013.0</v>
      </c>
      <c r="L347" s="1">
        <v>7.3</v>
      </c>
      <c r="O347" s="3"/>
      <c r="S347" s="4"/>
    </row>
    <row r="348" ht="14.25" customHeight="1">
      <c r="A348" s="1" t="s">
        <v>142</v>
      </c>
      <c r="B348" s="1">
        <v>94.0</v>
      </c>
      <c r="C348" s="1">
        <v>1.25305545E8</v>
      </c>
      <c r="D348" s="1" t="s">
        <v>898</v>
      </c>
      <c r="E348" s="1" t="s">
        <v>899</v>
      </c>
      <c r="F348" s="1" t="s">
        <v>900</v>
      </c>
      <c r="G348" s="1">
        <v>145350.0</v>
      </c>
      <c r="H348" s="1">
        <v>643.0</v>
      </c>
      <c r="I348" s="1" t="s">
        <v>16</v>
      </c>
      <c r="J348" s="1">
        <v>9.2E7</v>
      </c>
      <c r="K348" s="1">
        <v>2000.0</v>
      </c>
      <c r="L348" s="1">
        <v>5.5</v>
      </c>
      <c r="O348" s="3"/>
      <c r="S348" s="4"/>
    </row>
    <row r="349" ht="14.25" customHeight="1">
      <c r="A349" s="1" t="s">
        <v>208</v>
      </c>
      <c r="B349" s="1">
        <v>151.0</v>
      </c>
      <c r="C349" s="1">
        <v>1.32373442E8</v>
      </c>
      <c r="D349" s="1" t="s">
        <v>901</v>
      </c>
      <c r="E349" s="1" t="s">
        <v>93</v>
      </c>
      <c r="F349" s="1" t="s">
        <v>902</v>
      </c>
      <c r="G349" s="1">
        <v>873649.0</v>
      </c>
      <c r="H349" s="1">
        <v>2054.0</v>
      </c>
      <c r="I349" s="1" t="s">
        <v>16</v>
      </c>
      <c r="J349" s="1">
        <v>9.0E7</v>
      </c>
      <c r="K349" s="1">
        <v>2006.0</v>
      </c>
      <c r="L349" s="1">
        <v>8.5</v>
      </c>
      <c r="O349" s="3"/>
      <c r="S349" s="4"/>
    </row>
    <row r="350" ht="14.25" customHeight="1">
      <c r="A350" s="1" t="s">
        <v>903</v>
      </c>
      <c r="B350" s="1">
        <v>88.0</v>
      </c>
      <c r="C350" s="1">
        <v>1.20618403E8</v>
      </c>
      <c r="D350" s="1" t="s">
        <v>904</v>
      </c>
      <c r="E350" s="1" t="s">
        <v>905</v>
      </c>
      <c r="F350" s="1" t="s">
        <v>906</v>
      </c>
      <c r="G350" s="1">
        <v>171792.0</v>
      </c>
      <c r="H350" s="1">
        <v>222.0</v>
      </c>
      <c r="I350" s="1" t="s">
        <v>16</v>
      </c>
      <c r="J350" s="1">
        <v>9.0E7</v>
      </c>
      <c r="K350" s="1">
        <v>1998.0</v>
      </c>
      <c r="L350" s="1">
        <v>7.5</v>
      </c>
      <c r="O350" s="3"/>
      <c r="S350" s="4"/>
    </row>
    <row r="351" ht="14.25" customHeight="1">
      <c r="A351" s="1" t="s">
        <v>894</v>
      </c>
      <c r="B351" s="1">
        <v>121.0</v>
      </c>
      <c r="C351" s="1">
        <v>1.10416702E8</v>
      </c>
      <c r="D351" s="1" t="s">
        <v>907</v>
      </c>
      <c r="E351" s="1" t="s">
        <v>96</v>
      </c>
      <c r="F351" s="1" t="s">
        <v>908</v>
      </c>
      <c r="G351" s="1">
        <v>307539.0</v>
      </c>
      <c r="H351" s="1">
        <v>577.0</v>
      </c>
      <c r="I351" s="1" t="s">
        <v>16</v>
      </c>
      <c r="J351" s="1">
        <v>9.2E7</v>
      </c>
      <c r="K351" s="1">
        <v>2008.0</v>
      </c>
      <c r="L351" s="1">
        <v>7.0</v>
      </c>
      <c r="O351" s="3"/>
      <c r="S351" s="4"/>
    </row>
    <row r="352" ht="14.25" customHeight="1">
      <c r="A352" s="1" t="s">
        <v>291</v>
      </c>
      <c r="B352" s="1">
        <v>158.0</v>
      </c>
      <c r="C352" s="1">
        <v>1.02515793E8</v>
      </c>
      <c r="D352" s="1" t="s">
        <v>909</v>
      </c>
      <c r="E352" s="1" t="s">
        <v>188</v>
      </c>
      <c r="F352" s="1" t="s">
        <v>910</v>
      </c>
      <c r="G352" s="1">
        <v>330152.0</v>
      </c>
      <c r="H352" s="1">
        <v>632.0</v>
      </c>
      <c r="I352" s="1" t="s">
        <v>16</v>
      </c>
      <c r="J352" s="1">
        <v>9.0E7</v>
      </c>
      <c r="K352" s="1">
        <v>2011.0</v>
      </c>
      <c r="L352" s="1">
        <v>7.8</v>
      </c>
      <c r="O352" s="3"/>
      <c r="S352" s="4"/>
    </row>
    <row r="353" ht="14.25" customHeight="1">
      <c r="A353" s="1" t="s">
        <v>545</v>
      </c>
      <c r="B353" s="1">
        <v>128.0</v>
      </c>
      <c r="C353" s="1">
        <v>1.000125E8</v>
      </c>
      <c r="D353" s="1" t="s">
        <v>22</v>
      </c>
      <c r="E353" s="1" t="s">
        <v>415</v>
      </c>
      <c r="F353" s="1" t="s">
        <v>911</v>
      </c>
      <c r="G353" s="1">
        <v>299258.0</v>
      </c>
      <c r="H353" s="1">
        <v>346.0</v>
      </c>
      <c r="I353" s="1" t="s">
        <v>16</v>
      </c>
      <c r="J353" s="1">
        <v>9.0E7</v>
      </c>
      <c r="K353" s="1">
        <v>1995.0</v>
      </c>
      <c r="L353" s="1">
        <v>7.6</v>
      </c>
      <c r="O353" s="3"/>
      <c r="S353" s="4"/>
    </row>
    <row r="354" ht="14.25" customHeight="1">
      <c r="A354" s="1" t="s">
        <v>538</v>
      </c>
      <c r="B354" s="1">
        <v>128.0</v>
      </c>
      <c r="C354" s="1">
        <v>2.09019489E8</v>
      </c>
      <c r="D354" s="1" t="s">
        <v>539</v>
      </c>
      <c r="E354" s="1" t="s">
        <v>96</v>
      </c>
      <c r="F354" s="1" t="s">
        <v>912</v>
      </c>
      <c r="G354" s="1">
        <v>477300.0</v>
      </c>
      <c r="H354" s="1">
        <v>621.0</v>
      </c>
      <c r="I354" s="1" t="s">
        <v>16</v>
      </c>
      <c r="J354" s="1">
        <v>9.0E7</v>
      </c>
      <c r="K354" s="1">
        <v>2009.0</v>
      </c>
      <c r="L354" s="1">
        <v>7.6</v>
      </c>
      <c r="O354" s="3"/>
      <c r="S354" s="4"/>
    </row>
    <row r="355" ht="14.25" customHeight="1">
      <c r="A355" s="1" t="s">
        <v>737</v>
      </c>
      <c r="B355" s="1">
        <v>95.0</v>
      </c>
      <c r="C355" s="1">
        <v>8.4037039E7</v>
      </c>
      <c r="D355" s="1" t="s">
        <v>913</v>
      </c>
      <c r="E355" s="1" t="s">
        <v>914</v>
      </c>
      <c r="F355" s="1" t="s">
        <v>915</v>
      </c>
      <c r="G355" s="1">
        <v>72591.0</v>
      </c>
      <c r="H355" s="1">
        <v>289.0</v>
      </c>
      <c r="I355" s="1" t="s">
        <v>16</v>
      </c>
      <c r="J355" s="1">
        <v>1.2E8</v>
      </c>
      <c r="K355" s="1">
        <v>2001.0</v>
      </c>
      <c r="L355" s="1">
        <v>6.8</v>
      </c>
      <c r="O355" s="3"/>
      <c r="S355" s="4"/>
    </row>
    <row r="356" ht="14.25" customHeight="1">
      <c r="A356" s="1" t="s">
        <v>916</v>
      </c>
      <c r="B356" s="1">
        <v>92.0</v>
      </c>
      <c r="C356" s="1">
        <v>8.5884815E7</v>
      </c>
      <c r="D356" s="1" t="s">
        <v>917</v>
      </c>
      <c r="E356" s="1" t="s">
        <v>918</v>
      </c>
      <c r="F356" s="1" t="s">
        <v>919</v>
      </c>
      <c r="G356" s="1">
        <v>9418.0</v>
      </c>
      <c r="H356" s="1">
        <v>53.0</v>
      </c>
      <c r="I356" s="1" t="s">
        <v>16</v>
      </c>
      <c r="J356" s="1">
        <v>9.0E7</v>
      </c>
      <c r="K356" s="1">
        <v>2015.0</v>
      </c>
      <c r="L356" s="1">
        <v>5.0</v>
      </c>
      <c r="O356" s="3"/>
      <c r="S356" s="4"/>
    </row>
    <row r="357" ht="14.25" customHeight="1">
      <c r="A357" s="1" t="s">
        <v>51</v>
      </c>
      <c r="B357" s="1">
        <v>121.0</v>
      </c>
      <c r="C357" s="1">
        <v>8.307747E7</v>
      </c>
      <c r="D357" s="1" t="s">
        <v>920</v>
      </c>
      <c r="E357" s="1" t="s">
        <v>226</v>
      </c>
      <c r="F357" s="1" t="s">
        <v>921</v>
      </c>
      <c r="G357" s="1">
        <v>183247.0</v>
      </c>
      <c r="H357" s="1">
        <v>440.0</v>
      </c>
      <c r="I357" s="1" t="s">
        <v>16</v>
      </c>
      <c r="J357" s="1">
        <v>7.5E7</v>
      </c>
      <c r="K357" s="1">
        <v>2008.0</v>
      </c>
      <c r="L357" s="1">
        <v>7.1</v>
      </c>
      <c r="O357" s="3"/>
      <c r="S357" s="4"/>
    </row>
    <row r="358" ht="14.25" customHeight="1">
      <c r="A358" s="1" t="s">
        <v>922</v>
      </c>
      <c r="B358" s="1">
        <v>113.0</v>
      </c>
      <c r="C358" s="1">
        <v>1.00018837E8</v>
      </c>
      <c r="D358" s="1" t="s">
        <v>907</v>
      </c>
      <c r="E358" s="1" t="s">
        <v>923</v>
      </c>
      <c r="F358" s="1" t="s">
        <v>924</v>
      </c>
      <c r="G358" s="1">
        <v>156348.0</v>
      </c>
      <c r="H358" s="1">
        <v>380.0</v>
      </c>
      <c r="I358" s="1" t="s">
        <v>16</v>
      </c>
      <c r="J358" s="1">
        <v>9.0E7</v>
      </c>
      <c r="K358" s="1">
        <v>2008.0</v>
      </c>
      <c r="L358" s="1">
        <v>5.5</v>
      </c>
      <c r="O358" s="3"/>
      <c r="S358" s="4"/>
    </row>
    <row r="359" ht="14.25" customHeight="1">
      <c r="A359" s="1" t="s">
        <v>524</v>
      </c>
      <c r="B359" s="1">
        <v>106.0</v>
      </c>
      <c r="C359" s="1">
        <v>7.8747585E7</v>
      </c>
      <c r="D359" s="1" t="s">
        <v>925</v>
      </c>
      <c r="E359" s="1" t="s">
        <v>64</v>
      </c>
      <c r="F359" s="1" t="s">
        <v>926</v>
      </c>
      <c r="G359" s="1">
        <v>89770.0</v>
      </c>
      <c r="H359" s="1">
        <v>342.0</v>
      </c>
      <c r="I359" s="1" t="s">
        <v>16</v>
      </c>
      <c r="J359" s="1">
        <v>8.8E7</v>
      </c>
      <c r="K359" s="1">
        <v>2015.0</v>
      </c>
      <c r="L359" s="1">
        <v>5.6</v>
      </c>
      <c r="O359" s="3"/>
      <c r="S359" s="4"/>
    </row>
    <row r="360" ht="14.25" customHeight="1">
      <c r="A360" s="1" t="s">
        <v>168</v>
      </c>
      <c r="B360" s="1">
        <v>146.0</v>
      </c>
      <c r="C360" s="1">
        <v>7.8616689E7</v>
      </c>
      <c r="D360" s="1" t="s">
        <v>284</v>
      </c>
      <c r="E360" s="1" t="s">
        <v>927</v>
      </c>
      <c r="F360" s="1" t="s">
        <v>928</v>
      </c>
      <c r="G360" s="1">
        <v>238747.0</v>
      </c>
      <c r="H360" s="1">
        <v>2153.0</v>
      </c>
      <c r="I360" s="1" t="s">
        <v>16</v>
      </c>
      <c r="J360" s="1">
        <v>1.0E8</v>
      </c>
      <c r="K360" s="1">
        <v>2001.0</v>
      </c>
      <c r="L360" s="1">
        <v>7.1</v>
      </c>
      <c r="O360" s="3"/>
      <c r="S360" s="4"/>
    </row>
    <row r="361" ht="14.25" customHeight="1">
      <c r="A361" s="1" t="s">
        <v>401</v>
      </c>
      <c r="B361" s="1">
        <v>88.0</v>
      </c>
      <c r="C361" s="1">
        <v>7.5817994E7</v>
      </c>
      <c r="D361" s="1" t="s">
        <v>929</v>
      </c>
      <c r="E361" s="1" t="s">
        <v>930</v>
      </c>
      <c r="F361" s="1" t="s">
        <v>931</v>
      </c>
      <c r="G361" s="1">
        <v>32049.0</v>
      </c>
      <c r="H361" s="1">
        <v>179.0</v>
      </c>
      <c r="I361" s="1" t="s">
        <v>16</v>
      </c>
      <c r="J361" s="1">
        <v>9.0E7</v>
      </c>
      <c r="K361" s="1">
        <v>2003.0</v>
      </c>
      <c r="L361" s="1">
        <v>4.9</v>
      </c>
      <c r="O361" s="3"/>
      <c r="S361" s="4"/>
    </row>
    <row r="362" ht="14.25" customHeight="1">
      <c r="A362" s="1" t="s">
        <v>186</v>
      </c>
      <c r="B362" s="1">
        <v>150.0</v>
      </c>
      <c r="C362" s="1">
        <v>1.00853835E8</v>
      </c>
      <c r="D362" s="1" t="s">
        <v>932</v>
      </c>
      <c r="E362" s="1" t="s">
        <v>285</v>
      </c>
      <c r="F362" s="1" t="s">
        <v>933</v>
      </c>
      <c r="G362" s="1">
        <v>200556.0</v>
      </c>
      <c r="H362" s="1">
        <v>611.0</v>
      </c>
      <c r="I362" s="1" t="s">
        <v>16</v>
      </c>
      <c r="J362" s="1">
        <v>9.0E7</v>
      </c>
      <c r="K362" s="1">
        <v>1997.0</v>
      </c>
      <c r="L362" s="1">
        <v>7.4</v>
      </c>
      <c r="O362" s="3"/>
      <c r="S362" s="4"/>
    </row>
    <row r="363" ht="14.25" customHeight="1">
      <c r="A363" s="1" t="s">
        <v>542</v>
      </c>
      <c r="B363" s="1">
        <v>119.0</v>
      </c>
      <c r="C363" s="1">
        <v>7.320934E7</v>
      </c>
      <c r="D363" s="1" t="s">
        <v>934</v>
      </c>
      <c r="E363" s="1" t="s">
        <v>935</v>
      </c>
      <c r="F363" s="1" t="s">
        <v>936</v>
      </c>
      <c r="G363" s="1">
        <v>101834.0</v>
      </c>
      <c r="H363" s="1">
        <v>628.0</v>
      </c>
      <c r="I363" s="1" t="s">
        <v>16</v>
      </c>
      <c r="J363" s="1">
        <v>9.5E7</v>
      </c>
      <c r="K363" s="1">
        <v>2000.0</v>
      </c>
      <c r="L363" s="1">
        <v>5.7</v>
      </c>
      <c r="O363" s="3"/>
      <c r="S363" s="4"/>
    </row>
    <row r="364" ht="14.25" customHeight="1">
      <c r="A364" s="1" t="s">
        <v>937</v>
      </c>
      <c r="B364" s="1">
        <v>128.0</v>
      </c>
      <c r="C364" s="1">
        <v>7.251536E7</v>
      </c>
      <c r="D364" s="1" t="s">
        <v>938</v>
      </c>
      <c r="E364" s="1" t="s">
        <v>939</v>
      </c>
      <c r="F364" s="1" t="s">
        <v>940</v>
      </c>
      <c r="G364" s="1">
        <v>86152.0</v>
      </c>
      <c r="H364" s="1">
        <v>411.0</v>
      </c>
      <c r="I364" s="1" t="s">
        <v>941</v>
      </c>
      <c r="J364" s="1">
        <v>8.0E7</v>
      </c>
      <c r="K364" s="1">
        <v>2005.0</v>
      </c>
      <c r="L364" s="1">
        <v>6.4</v>
      </c>
      <c r="O364" s="3"/>
      <c r="S364" s="4"/>
    </row>
    <row r="365" ht="14.25" customHeight="1">
      <c r="A365" s="1" t="s">
        <v>942</v>
      </c>
      <c r="B365" s="1">
        <v>106.0</v>
      </c>
      <c r="C365" s="1">
        <v>6.8558662E7</v>
      </c>
      <c r="D365" s="1" t="s">
        <v>86</v>
      </c>
      <c r="E365" s="1" t="s">
        <v>878</v>
      </c>
      <c r="F365" s="1" t="s">
        <v>943</v>
      </c>
      <c r="G365" s="1">
        <v>86627.0</v>
      </c>
      <c r="H365" s="1">
        <v>204.0</v>
      </c>
      <c r="I365" s="1" t="s">
        <v>16</v>
      </c>
      <c r="J365" s="1">
        <v>9.0E7</v>
      </c>
      <c r="K365" s="1">
        <v>2013.0</v>
      </c>
      <c r="L365" s="1">
        <v>5.9</v>
      </c>
      <c r="O365" s="3"/>
      <c r="S365" s="4"/>
    </row>
    <row r="366" ht="14.25" customHeight="1">
      <c r="A366" s="1" t="s">
        <v>669</v>
      </c>
      <c r="B366" s="1">
        <v>117.0</v>
      </c>
      <c r="C366" s="1">
        <v>6.5653758E7</v>
      </c>
      <c r="D366" s="1" t="s">
        <v>18</v>
      </c>
      <c r="E366" s="1" t="s">
        <v>275</v>
      </c>
      <c r="F366" s="1" t="s">
        <v>944</v>
      </c>
      <c r="G366" s="1">
        <v>102747.0</v>
      </c>
      <c r="H366" s="1">
        <v>316.0</v>
      </c>
      <c r="I366" s="1" t="s">
        <v>16</v>
      </c>
      <c r="J366" s="1">
        <v>9.5E7</v>
      </c>
      <c r="K366" s="1">
        <v>2003.0</v>
      </c>
      <c r="L366" s="1">
        <v>5.5</v>
      </c>
      <c r="O366" s="3"/>
      <c r="S366" s="4"/>
    </row>
    <row r="367" ht="14.25" customHeight="1">
      <c r="A367" s="1" t="s">
        <v>451</v>
      </c>
      <c r="B367" s="1">
        <v>129.0</v>
      </c>
      <c r="C367" s="1">
        <v>6.4685359E7</v>
      </c>
      <c r="D367" s="1" t="s">
        <v>945</v>
      </c>
      <c r="E367" s="1" t="s">
        <v>511</v>
      </c>
      <c r="F367" s="1" t="s">
        <v>946</v>
      </c>
      <c r="G367" s="1">
        <v>40862.0</v>
      </c>
      <c r="H367" s="1">
        <v>139.0</v>
      </c>
      <c r="I367" s="1" t="s">
        <v>16</v>
      </c>
      <c r="J367" s="1">
        <v>9.0E7</v>
      </c>
      <c r="K367" s="1">
        <v>2016.0</v>
      </c>
      <c r="L367" s="1">
        <v>6.9</v>
      </c>
      <c r="O367" s="3"/>
      <c r="S367" s="4"/>
    </row>
    <row r="368" ht="14.25" customHeight="1">
      <c r="A368" s="1" t="s">
        <v>502</v>
      </c>
      <c r="B368" s="1">
        <v>116.0</v>
      </c>
      <c r="C368" s="1">
        <v>6.1355436E7</v>
      </c>
      <c r="D368" s="1" t="s">
        <v>696</v>
      </c>
      <c r="E368" s="1" t="s">
        <v>947</v>
      </c>
      <c r="F368" s="1" t="s">
        <v>948</v>
      </c>
      <c r="G368" s="1">
        <v>52136.0</v>
      </c>
      <c r="H368" s="1">
        <v>184.0</v>
      </c>
      <c r="I368" s="1" t="s">
        <v>16</v>
      </c>
      <c r="J368" s="1">
        <v>6.8E7</v>
      </c>
      <c r="K368" s="1">
        <v>1997.0</v>
      </c>
      <c r="L368" s="1">
        <v>6.2</v>
      </c>
      <c r="O368" s="3"/>
      <c r="S368" s="4"/>
    </row>
    <row r="369" ht="14.25" customHeight="1">
      <c r="A369" s="1" t="s">
        <v>722</v>
      </c>
      <c r="B369" s="1">
        <v>114.0</v>
      </c>
      <c r="C369" s="1">
        <v>26871.0</v>
      </c>
      <c r="D369" s="1" t="s">
        <v>146</v>
      </c>
      <c r="E369" s="1" t="s">
        <v>293</v>
      </c>
      <c r="F369" s="1" t="s">
        <v>949</v>
      </c>
      <c r="G369" s="1">
        <v>121259.0</v>
      </c>
      <c r="H369" s="1">
        <v>361.0</v>
      </c>
      <c r="I369" s="1" t="s">
        <v>16</v>
      </c>
      <c r="J369" s="1">
        <v>9.2E7</v>
      </c>
      <c r="K369" s="1">
        <v>2001.0</v>
      </c>
      <c r="L369" s="1">
        <v>7.0</v>
      </c>
      <c r="O369" s="3"/>
      <c r="S369" s="4"/>
    </row>
    <row r="370" ht="14.25" customHeight="1">
      <c r="A370" s="1" t="s">
        <v>950</v>
      </c>
      <c r="B370" s="1">
        <v>114.0</v>
      </c>
      <c r="C370" s="1">
        <v>6.0874615E7</v>
      </c>
      <c r="D370" s="1" t="s">
        <v>492</v>
      </c>
      <c r="E370" s="1" t="s">
        <v>951</v>
      </c>
      <c r="F370" s="1" t="s">
        <v>952</v>
      </c>
      <c r="G370" s="1">
        <v>60467.0</v>
      </c>
      <c r="H370" s="1">
        <v>949.0</v>
      </c>
      <c r="I370" s="1" t="s">
        <v>16</v>
      </c>
      <c r="J370" s="1">
        <v>9.0E7</v>
      </c>
      <c r="K370" s="1">
        <v>2000.0</v>
      </c>
      <c r="L370" s="1">
        <v>5.6</v>
      </c>
      <c r="O370" s="3"/>
      <c r="S370" s="4"/>
    </row>
    <row r="371" ht="14.25" customHeight="1">
      <c r="A371" s="1" t="s">
        <v>532</v>
      </c>
      <c r="B371" s="1">
        <v>96.0</v>
      </c>
      <c r="C371" s="1">
        <v>1.43618384E8</v>
      </c>
      <c r="D371" s="1" t="s">
        <v>533</v>
      </c>
      <c r="E371" s="1" t="s">
        <v>953</v>
      </c>
      <c r="F371" s="1" t="s">
        <v>954</v>
      </c>
      <c r="G371" s="1">
        <v>165333.0</v>
      </c>
      <c r="H371" s="1">
        <v>186.0</v>
      </c>
      <c r="I371" s="1" t="s">
        <v>16</v>
      </c>
      <c r="J371" s="1">
        <v>9.0E7</v>
      </c>
      <c r="K371" s="1">
        <v>2011.0</v>
      </c>
      <c r="L371" s="1">
        <v>7.0</v>
      </c>
      <c r="O371" s="3"/>
      <c r="S371" s="4"/>
    </row>
    <row r="372" ht="14.25" customHeight="1">
      <c r="A372" s="1" t="s">
        <v>524</v>
      </c>
      <c r="B372" s="1">
        <v>132.0</v>
      </c>
      <c r="C372" s="1">
        <v>5.8220776E7</v>
      </c>
      <c r="D372" s="1" t="s">
        <v>955</v>
      </c>
      <c r="E372" s="1" t="s">
        <v>346</v>
      </c>
      <c r="F372" s="1" t="s">
        <v>956</v>
      </c>
      <c r="G372" s="1">
        <v>87785.0</v>
      </c>
      <c r="H372" s="1">
        <v>362.0</v>
      </c>
      <c r="I372" s="1" t="s">
        <v>16</v>
      </c>
      <c r="J372" s="1">
        <v>1.0E8</v>
      </c>
      <c r="K372" s="1">
        <v>1999.0</v>
      </c>
      <c r="L372" s="1">
        <v>6.8</v>
      </c>
      <c r="O372" s="3"/>
      <c r="S372" s="4"/>
    </row>
    <row r="373" ht="14.25" customHeight="1">
      <c r="A373" s="1" t="s">
        <v>957</v>
      </c>
      <c r="B373" s="1">
        <v>104.0</v>
      </c>
      <c r="C373" s="1">
        <v>4.7474112E7</v>
      </c>
      <c r="D373" s="1" t="s">
        <v>581</v>
      </c>
      <c r="E373" s="1" t="s">
        <v>951</v>
      </c>
      <c r="F373" s="1" t="s">
        <v>958</v>
      </c>
      <c r="G373" s="1">
        <v>58227.0</v>
      </c>
      <c r="H373" s="1">
        <v>181.0</v>
      </c>
      <c r="I373" s="1" t="s">
        <v>16</v>
      </c>
      <c r="J373" s="1">
        <v>9.0E7</v>
      </c>
      <c r="K373" s="1">
        <v>1997.0</v>
      </c>
      <c r="L373" s="1">
        <v>5.4</v>
      </c>
      <c r="O373" s="3"/>
      <c r="S373" s="4"/>
    </row>
    <row r="374" ht="14.25" customHeight="1">
      <c r="A374" s="1" t="s">
        <v>959</v>
      </c>
      <c r="B374" s="1">
        <v>111.0</v>
      </c>
      <c r="C374" s="1">
        <v>4.2877165E7</v>
      </c>
      <c r="D374" s="1" t="s">
        <v>197</v>
      </c>
      <c r="E374" s="1" t="s">
        <v>169</v>
      </c>
      <c r="F374" s="1" t="s">
        <v>960</v>
      </c>
      <c r="G374" s="1">
        <v>45602.0</v>
      </c>
      <c r="H374" s="1">
        <v>114.0</v>
      </c>
      <c r="I374" s="1" t="s">
        <v>16</v>
      </c>
      <c r="J374" s="1">
        <v>8.6E7</v>
      </c>
      <c r="K374" s="1">
        <v>1997.0</v>
      </c>
      <c r="L374" s="1">
        <v>6.1</v>
      </c>
      <c r="O374" s="3"/>
      <c r="S374" s="4"/>
    </row>
    <row r="375" ht="14.25" customHeight="1">
      <c r="A375" s="1" t="s">
        <v>961</v>
      </c>
      <c r="B375" s="1">
        <v>138.0</v>
      </c>
      <c r="C375" s="1">
        <v>3.5168677E7</v>
      </c>
      <c r="D375" s="1" t="s">
        <v>920</v>
      </c>
      <c r="E375" s="1" t="s">
        <v>100</v>
      </c>
      <c r="F375" s="1" t="s">
        <v>962</v>
      </c>
      <c r="G375" s="1">
        <v>49311.0</v>
      </c>
      <c r="H375" s="1">
        <v>278.0</v>
      </c>
      <c r="I375" s="1" t="s">
        <v>16</v>
      </c>
      <c r="J375" s="1">
        <v>1.0E8</v>
      </c>
      <c r="K375" s="1">
        <v>2002.0</v>
      </c>
      <c r="L375" s="1">
        <v>6.7</v>
      </c>
      <c r="O375" s="3"/>
      <c r="S375" s="4"/>
    </row>
    <row r="376" ht="14.25" customHeight="1">
      <c r="A376" s="1" t="s">
        <v>963</v>
      </c>
      <c r="B376" s="1">
        <v>129.0</v>
      </c>
      <c r="C376" s="1">
        <v>3.756744E7</v>
      </c>
      <c r="D376" s="1" t="s">
        <v>74</v>
      </c>
      <c r="E376" s="1" t="s">
        <v>964</v>
      </c>
      <c r="F376" s="1" t="s">
        <v>965</v>
      </c>
      <c r="G376" s="1">
        <v>113065.0</v>
      </c>
      <c r="H376" s="1">
        <v>337.0</v>
      </c>
      <c r="I376" s="1" t="s">
        <v>16</v>
      </c>
      <c r="J376" s="1">
        <v>2.0E7</v>
      </c>
      <c r="K376" s="1">
        <v>1982.0</v>
      </c>
      <c r="L376" s="1">
        <v>6.9</v>
      </c>
      <c r="O376" s="3"/>
      <c r="S376" s="4"/>
    </row>
    <row r="377" ht="14.25" customHeight="1">
      <c r="A377" s="1" t="s">
        <v>361</v>
      </c>
      <c r="B377" s="1">
        <v>144.0</v>
      </c>
      <c r="C377" s="1">
        <v>6.1644321E7</v>
      </c>
      <c r="D377" s="1" t="s">
        <v>681</v>
      </c>
      <c r="E377" s="1" t="s">
        <v>966</v>
      </c>
      <c r="F377" s="1" t="s">
        <v>967</v>
      </c>
      <c r="G377" s="1">
        <v>148238.0</v>
      </c>
      <c r="H377" s="1">
        <v>529.0</v>
      </c>
      <c r="I377" s="1" t="s">
        <v>16</v>
      </c>
      <c r="J377" s="1">
        <v>8.8E7</v>
      </c>
      <c r="K377" s="1">
        <v>2005.0</v>
      </c>
      <c r="L377" s="1">
        <v>8.0</v>
      </c>
      <c r="O377" s="3"/>
      <c r="S377" s="4"/>
    </row>
    <row r="378" ht="14.25" customHeight="1">
      <c r="A378" s="1" t="s">
        <v>968</v>
      </c>
      <c r="B378" s="1">
        <v>110.0</v>
      </c>
      <c r="C378" s="1">
        <v>190562.0</v>
      </c>
      <c r="D378" s="1" t="s">
        <v>969</v>
      </c>
      <c r="E378" s="1" t="s">
        <v>970</v>
      </c>
      <c r="F378" s="1" t="s">
        <v>971</v>
      </c>
      <c r="G378" s="1">
        <v>2508.0</v>
      </c>
      <c r="H378" s="1">
        <v>24.0</v>
      </c>
      <c r="I378" s="1" t="s">
        <v>16</v>
      </c>
      <c r="J378" s="1">
        <v>9.0E7</v>
      </c>
      <c r="K378" s="1">
        <v>2010.0</v>
      </c>
      <c r="L378" s="1">
        <v>4.4</v>
      </c>
      <c r="O378" s="3"/>
      <c r="S378" s="4"/>
    </row>
    <row r="379" ht="14.25" customHeight="1">
      <c r="A379" s="1" t="s">
        <v>972</v>
      </c>
      <c r="B379" s="1">
        <v>140.0</v>
      </c>
      <c r="C379" s="1">
        <v>1.20147445E8</v>
      </c>
      <c r="D379" s="1" t="s">
        <v>973</v>
      </c>
      <c r="E379" s="1" t="s">
        <v>130</v>
      </c>
      <c r="F379" s="1" t="s">
        <v>974</v>
      </c>
      <c r="G379" s="1">
        <v>57661.0</v>
      </c>
      <c r="H379" s="1">
        <v>455.0</v>
      </c>
      <c r="I379" s="1" t="s">
        <v>16</v>
      </c>
      <c r="J379" s="1">
        <v>8.7E7</v>
      </c>
      <c r="K379" s="1">
        <v>2003.0</v>
      </c>
      <c r="L379" s="1">
        <v>7.3</v>
      </c>
      <c r="O379" s="3"/>
      <c r="S379" s="4"/>
    </row>
    <row r="380" ht="14.25" customHeight="1">
      <c r="A380" s="1" t="s">
        <v>669</v>
      </c>
      <c r="B380" s="1">
        <v>113.0</v>
      </c>
      <c r="C380" s="1">
        <v>2.41688385E8</v>
      </c>
      <c r="D380" s="1" t="s">
        <v>304</v>
      </c>
      <c r="E380" s="1" t="s">
        <v>390</v>
      </c>
      <c r="F380" s="1" t="s">
        <v>975</v>
      </c>
      <c r="G380" s="1">
        <v>144053.0</v>
      </c>
      <c r="H380" s="1">
        <v>395.0</v>
      </c>
      <c r="I380" s="1" t="s">
        <v>16</v>
      </c>
      <c r="J380" s="1">
        <v>9.2E7</v>
      </c>
      <c r="K380" s="1">
        <v>1996.0</v>
      </c>
      <c r="L380" s="1">
        <v>6.3</v>
      </c>
      <c r="O380" s="3"/>
      <c r="S380" s="4"/>
    </row>
    <row r="381" ht="14.25" customHeight="1">
      <c r="A381" s="1" t="s">
        <v>186</v>
      </c>
      <c r="B381" s="1">
        <v>143.0</v>
      </c>
      <c r="C381" s="1">
        <v>2.33630478E8</v>
      </c>
      <c r="D381" s="1" t="s">
        <v>976</v>
      </c>
      <c r="E381" s="1" t="s">
        <v>140</v>
      </c>
      <c r="F381" s="1" t="s">
        <v>977</v>
      </c>
      <c r="G381" s="1">
        <v>394317.0</v>
      </c>
      <c r="H381" s="1">
        <v>1051.0</v>
      </c>
      <c r="I381" s="1" t="s">
        <v>16</v>
      </c>
      <c r="J381" s="1">
        <v>9.0E7</v>
      </c>
      <c r="K381" s="1">
        <v>2000.0</v>
      </c>
      <c r="L381" s="1">
        <v>7.7</v>
      </c>
      <c r="O381" s="3"/>
      <c r="S381" s="4"/>
    </row>
    <row r="382" ht="14.25" customHeight="1">
      <c r="A382" s="1" t="s">
        <v>359</v>
      </c>
      <c r="B382" s="1">
        <v>108.0</v>
      </c>
      <c r="C382" s="1">
        <v>1.97992827E8</v>
      </c>
      <c r="D382" s="1" t="s">
        <v>978</v>
      </c>
      <c r="E382" s="1" t="s">
        <v>346</v>
      </c>
      <c r="F382" s="1" t="s">
        <v>979</v>
      </c>
      <c r="G382" s="1">
        <v>132501.0</v>
      </c>
      <c r="H382" s="1">
        <v>548.0</v>
      </c>
      <c r="I382" s="1" t="s">
        <v>16</v>
      </c>
      <c r="J382" s="1">
        <v>1.0E8</v>
      </c>
      <c r="K382" s="1">
        <v>2006.0</v>
      </c>
      <c r="L382" s="1">
        <v>6.5</v>
      </c>
      <c r="O382" s="3"/>
      <c r="S382" s="4"/>
    </row>
    <row r="383" ht="14.25" customHeight="1">
      <c r="A383" s="1" t="s">
        <v>484</v>
      </c>
      <c r="B383" s="1">
        <v>108.0</v>
      </c>
      <c r="C383" s="1">
        <v>1.7604913E8</v>
      </c>
      <c r="D383" s="1" t="s">
        <v>485</v>
      </c>
      <c r="E383" s="1" t="s">
        <v>486</v>
      </c>
      <c r="F383" s="1" t="s">
        <v>980</v>
      </c>
      <c r="G383" s="1">
        <v>348232.0</v>
      </c>
      <c r="H383" s="1">
        <v>806.0</v>
      </c>
      <c r="I383" s="1" t="s">
        <v>16</v>
      </c>
      <c r="J383" s="1">
        <v>7.5E7</v>
      </c>
      <c r="K383" s="1">
        <v>2004.0</v>
      </c>
      <c r="L383" s="1">
        <v>7.8</v>
      </c>
      <c r="O383" s="3"/>
      <c r="S383" s="4"/>
    </row>
    <row r="384" ht="14.25" customHeight="1">
      <c r="A384" s="1" t="s">
        <v>303</v>
      </c>
      <c r="B384" s="1">
        <v>124.0</v>
      </c>
      <c r="C384" s="1">
        <v>1.72620724E8</v>
      </c>
      <c r="D384" s="1" t="s">
        <v>304</v>
      </c>
      <c r="E384" s="1" t="s">
        <v>169</v>
      </c>
      <c r="F384" s="1" t="s">
        <v>981</v>
      </c>
      <c r="G384" s="1">
        <v>146134.0</v>
      </c>
      <c r="H384" s="1">
        <v>393.0</v>
      </c>
      <c r="I384" s="1" t="s">
        <v>16</v>
      </c>
      <c r="J384" s="1">
        <v>8.5E7</v>
      </c>
      <c r="K384" s="1">
        <v>1997.0</v>
      </c>
      <c r="L384" s="1">
        <v>6.4</v>
      </c>
      <c r="O384" s="3"/>
      <c r="S384" s="4"/>
    </row>
    <row r="385" ht="14.25" customHeight="1">
      <c r="A385" s="1" t="s">
        <v>639</v>
      </c>
      <c r="B385" s="1">
        <v>116.0</v>
      </c>
      <c r="C385" s="1">
        <v>1.83405771E8</v>
      </c>
      <c r="D385" s="1" t="s">
        <v>640</v>
      </c>
      <c r="E385" s="1" t="s">
        <v>293</v>
      </c>
      <c r="F385" s="1" t="s">
        <v>982</v>
      </c>
      <c r="G385" s="1">
        <v>402645.0</v>
      </c>
      <c r="H385" s="1">
        <v>845.0</v>
      </c>
      <c r="I385" s="1" t="s">
        <v>16</v>
      </c>
      <c r="J385" s="1">
        <v>8.5E7</v>
      </c>
      <c r="K385" s="1">
        <v>2001.0</v>
      </c>
      <c r="L385" s="1">
        <v>7.8</v>
      </c>
      <c r="O385" s="3"/>
      <c r="S385" s="4"/>
    </row>
    <row r="386" ht="14.25" customHeight="1">
      <c r="A386" s="1" t="s">
        <v>983</v>
      </c>
      <c r="B386" s="1">
        <v>110.0</v>
      </c>
      <c r="C386" s="1">
        <v>2.0315324E7</v>
      </c>
      <c r="D386" s="1" t="s">
        <v>34</v>
      </c>
      <c r="E386" s="1" t="s">
        <v>831</v>
      </c>
      <c r="F386" s="1" t="s">
        <v>984</v>
      </c>
      <c r="G386" s="1">
        <v>88542.0</v>
      </c>
      <c r="H386" s="1">
        <v>254.0</v>
      </c>
      <c r="I386" s="1" t="s">
        <v>16</v>
      </c>
      <c r="J386" s="1">
        <v>7.5E7</v>
      </c>
      <c r="K386" s="1">
        <v>2011.0</v>
      </c>
      <c r="L386" s="1">
        <v>5.8</v>
      </c>
      <c r="O386" s="3"/>
      <c r="S386" s="4"/>
    </row>
    <row r="387" ht="14.25" customHeight="1">
      <c r="A387" s="1" t="s">
        <v>985</v>
      </c>
      <c r="B387" s="1">
        <v>91.0</v>
      </c>
      <c r="C387" s="1">
        <v>1.48313048E8</v>
      </c>
      <c r="D387" s="1" t="s">
        <v>337</v>
      </c>
      <c r="E387" s="1" t="s">
        <v>119</v>
      </c>
      <c r="F387" s="1" t="s">
        <v>986</v>
      </c>
      <c r="G387" s="1">
        <v>164148.0</v>
      </c>
      <c r="H387" s="1">
        <v>168.0</v>
      </c>
      <c r="I387" s="1" t="s">
        <v>16</v>
      </c>
      <c r="J387" s="1">
        <v>8.5E7</v>
      </c>
      <c r="K387" s="1">
        <v>2012.0</v>
      </c>
      <c r="L387" s="1">
        <v>7.1</v>
      </c>
      <c r="O387" s="3"/>
      <c r="S387" s="4"/>
    </row>
    <row r="388" ht="14.25" customHeight="1">
      <c r="A388" s="1" t="s">
        <v>987</v>
      </c>
      <c r="B388" s="1">
        <v>107.0</v>
      </c>
      <c r="C388" s="1">
        <v>1.27706877E8</v>
      </c>
      <c r="D388" s="1" t="s">
        <v>988</v>
      </c>
      <c r="E388" s="1" t="s">
        <v>989</v>
      </c>
      <c r="F388" s="1" t="s">
        <v>990</v>
      </c>
      <c r="G388" s="1">
        <v>142496.0</v>
      </c>
      <c r="H388" s="1">
        <v>399.0</v>
      </c>
      <c r="I388" s="1" t="s">
        <v>16</v>
      </c>
      <c r="J388" s="1">
        <v>8.5E7</v>
      </c>
      <c r="K388" s="1">
        <v>2007.0</v>
      </c>
      <c r="L388" s="1">
        <v>7.1</v>
      </c>
      <c r="O388" s="3"/>
      <c r="S388" s="4"/>
    </row>
    <row r="389" ht="14.25" customHeight="1">
      <c r="A389" s="1" t="s">
        <v>991</v>
      </c>
      <c r="B389" s="1">
        <v>115.0</v>
      </c>
      <c r="C389" s="1">
        <v>1.26149655E8</v>
      </c>
      <c r="D389" s="1" t="s">
        <v>503</v>
      </c>
      <c r="E389" s="1" t="s">
        <v>717</v>
      </c>
      <c r="F389" s="1" t="s">
        <v>992</v>
      </c>
      <c r="G389" s="1">
        <v>166693.0</v>
      </c>
      <c r="H389" s="1">
        <v>276.0</v>
      </c>
      <c r="I389" s="1" t="s">
        <v>16</v>
      </c>
      <c r="J389" s="1">
        <v>8.5E7</v>
      </c>
      <c r="K389" s="1">
        <v>2012.0</v>
      </c>
      <c r="L389" s="1">
        <v>6.8</v>
      </c>
      <c r="O389" s="3"/>
      <c r="S389" s="4"/>
    </row>
    <row r="390" ht="14.25" customHeight="1">
      <c r="A390" s="1" t="s">
        <v>987</v>
      </c>
      <c r="B390" s="1">
        <v>100.0</v>
      </c>
      <c r="C390" s="1">
        <v>6.6941559E7</v>
      </c>
      <c r="D390" s="1" t="s">
        <v>993</v>
      </c>
      <c r="E390" s="1" t="s">
        <v>825</v>
      </c>
      <c r="F390" s="1" t="s">
        <v>994</v>
      </c>
      <c r="G390" s="1">
        <v>26413.0</v>
      </c>
      <c r="H390" s="1">
        <v>77.0</v>
      </c>
      <c r="I390" s="1" t="s">
        <v>16</v>
      </c>
      <c r="J390" s="1">
        <v>8.5E7</v>
      </c>
      <c r="K390" s="1">
        <v>2000.0</v>
      </c>
      <c r="L390" s="1">
        <v>4.8</v>
      </c>
      <c r="O390" s="3"/>
      <c r="S390" s="4"/>
    </row>
    <row r="391" ht="14.25" customHeight="1">
      <c r="A391" s="1" t="s">
        <v>113</v>
      </c>
      <c r="B391" s="1">
        <v>104.0</v>
      </c>
      <c r="C391" s="1">
        <v>7.8009155E7</v>
      </c>
      <c r="D391" s="1" t="s">
        <v>728</v>
      </c>
      <c r="E391" s="1" t="s">
        <v>383</v>
      </c>
      <c r="F391" s="1" t="s">
        <v>995</v>
      </c>
      <c r="G391" s="1">
        <v>110073.0</v>
      </c>
      <c r="H391" s="1">
        <v>194.0</v>
      </c>
      <c r="I391" s="1" t="s">
        <v>16</v>
      </c>
      <c r="J391" s="1">
        <v>7.5E7</v>
      </c>
      <c r="K391" s="1">
        <v>2011.0</v>
      </c>
      <c r="L391" s="1">
        <v>6.2</v>
      </c>
      <c r="O391" s="3"/>
      <c r="S391" s="4"/>
    </row>
    <row r="392" ht="14.25" customHeight="1">
      <c r="A392" s="1" t="s">
        <v>996</v>
      </c>
      <c r="B392" s="1">
        <v>138.0</v>
      </c>
      <c r="C392" s="1">
        <v>6.3224849E7</v>
      </c>
      <c r="D392" s="1" t="s">
        <v>699</v>
      </c>
      <c r="E392" s="1" t="s">
        <v>644</v>
      </c>
      <c r="F392" s="1" t="s">
        <v>997</v>
      </c>
      <c r="G392" s="1">
        <v>182757.0</v>
      </c>
      <c r="H392" s="1">
        <v>483.0</v>
      </c>
      <c r="I392" s="1" t="s">
        <v>16</v>
      </c>
      <c r="J392" s="1">
        <v>8.5E7</v>
      </c>
      <c r="K392" s="1">
        <v>2006.0</v>
      </c>
      <c r="L392" s="1">
        <v>6.9</v>
      </c>
      <c r="O392" s="3"/>
      <c r="S392" s="4"/>
    </row>
    <row r="393" ht="14.25" customHeight="1">
      <c r="A393" s="1" t="s">
        <v>722</v>
      </c>
      <c r="B393" s="1">
        <v>140.0</v>
      </c>
      <c r="C393" s="1">
        <v>1.11544445E8</v>
      </c>
      <c r="D393" s="1" t="s">
        <v>998</v>
      </c>
      <c r="E393" s="1" t="s">
        <v>71</v>
      </c>
      <c r="F393" s="1" t="s">
        <v>999</v>
      </c>
      <c r="G393" s="1">
        <v>188116.0</v>
      </c>
      <c r="H393" s="1">
        <v>415.0</v>
      </c>
      <c r="I393" s="1" t="s">
        <v>16</v>
      </c>
      <c r="J393" s="1">
        <v>9.0E7</v>
      </c>
      <c r="K393" s="1">
        <v>1998.0</v>
      </c>
      <c r="L393" s="1">
        <v>7.3</v>
      </c>
      <c r="O393" s="3"/>
      <c r="S393" s="4"/>
    </row>
    <row r="394" ht="14.25" customHeight="1">
      <c r="A394" s="1" t="s">
        <v>996</v>
      </c>
      <c r="B394" s="1">
        <v>120.0</v>
      </c>
      <c r="C394" s="1">
        <v>1.1270347E8</v>
      </c>
      <c r="D394" s="1" t="s">
        <v>593</v>
      </c>
      <c r="E394" s="1" t="s">
        <v>1000</v>
      </c>
      <c r="F394" s="1" t="s">
        <v>1001</v>
      </c>
      <c r="G394" s="1">
        <v>69860.0</v>
      </c>
      <c r="H394" s="1">
        <v>214.0</v>
      </c>
      <c r="I394" s="1" t="s">
        <v>16</v>
      </c>
      <c r="J394" s="1">
        <v>8.5E7</v>
      </c>
      <c r="K394" s="1">
        <v>2009.0</v>
      </c>
      <c r="L394" s="1">
        <v>6.6</v>
      </c>
      <c r="O394" s="3"/>
      <c r="S394" s="4"/>
    </row>
    <row r="395" ht="14.25" customHeight="1">
      <c r="A395" s="1" t="s">
        <v>639</v>
      </c>
      <c r="B395" s="1">
        <v>122.0</v>
      </c>
      <c r="C395" s="1">
        <v>1.17144465E8</v>
      </c>
      <c r="D395" s="1" t="s">
        <v>640</v>
      </c>
      <c r="E395" s="1" t="s">
        <v>1002</v>
      </c>
      <c r="F395" s="1" t="s">
        <v>1003</v>
      </c>
      <c r="G395" s="1">
        <v>256928.0</v>
      </c>
      <c r="H395" s="1">
        <v>288.0</v>
      </c>
      <c r="I395" s="1" t="s">
        <v>16</v>
      </c>
      <c r="J395" s="1">
        <v>8.5E7</v>
      </c>
      <c r="K395" s="1">
        <v>2007.0</v>
      </c>
      <c r="L395" s="1">
        <v>6.9</v>
      </c>
      <c r="O395" s="3"/>
      <c r="S395" s="4"/>
    </row>
    <row r="396" ht="14.25" customHeight="1">
      <c r="A396" s="1" t="s">
        <v>1004</v>
      </c>
      <c r="B396" s="1">
        <v>83.0</v>
      </c>
      <c r="C396" s="1">
        <v>8.4303558E7</v>
      </c>
      <c r="D396" s="1" t="s">
        <v>200</v>
      </c>
      <c r="E396" s="1" t="s">
        <v>206</v>
      </c>
      <c r="F396" s="1" t="s">
        <v>1005</v>
      </c>
      <c r="G396" s="1">
        <v>65270.0</v>
      </c>
      <c r="H396" s="1">
        <v>100.0</v>
      </c>
      <c r="I396" s="1" t="s">
        <v>16</v>
      </c>
      <c r="J396" s="1">
        <v>8.5E7</v>
      </c>
      <c r="K396" s="1">
        <v>2006.0</v>
      </c>
      <c r="L396" s="1">
        <v>6.2</v>
      </c>
      <c r="O396" s="3"/>
      <c r="S396" s="4"/>
    </row>
    <row r="397" ht="14.25" customHeight="1">
      <c r="A397" s="1" t="s">
        <v>1006</v>
      </c>
      <c r="B397" s="1">
        <v>139.0</v>
      </c>
      <c r="C397" s="1">
        <v>1.50832203E8</v>
      </c>
      <c r="D397" s="1" t="s">
        <v>575</v>
      </c>
      <c r="E397" s="1" t="s">
        <v>644</v>
      </c>
      <c r="F397" s="1" t="s">
        <v>1007</v>
      </c>
      <c r="G397" s="1">
        <v>341058.0</v>
      </c>
      <c r="H397" s="1">
        <v>713.0</v>
      </c>
      <c r="I397" s="1" t="s">
        <v>16</v>
      </c>
      <c r="J397" s="1">
        <v>8.5E7</v>
      </c>
      <c r="K397" s="1">
        <v>2014.0</v>
      </c>
      <c r="L397" s="1">
        <v>6.7</v>
      </c>
      <c r="O397" s="3"/>
      <c r="S397" s="4"/>
    </row>
    <row r="398" ht="14.25" customHeight="1">
      <c r="A398" s="1" t="s">
        <v>1008</v>
      </c>
      <c r="B398" s="1">
        <v>131.0</v>
      </c>
      <c r="C398" s="1">
        <v>5.1396781E7</v>
      </c>
      <c r="D398" s="1" t="s">
        <v>824</v>
      </c>
      <c r="E398" s="1" t="s">
        <v>1009</v>
      </c>
      <c r="F398" s="1" t="s">
        <v>1010</v>
      </c>
      <c r="G398" s="1">
        <v>188887.0</v>
      </c>
      <c r="H398" s="1">
        <v>662.0</v>
      </c>
      <c r="I398" s="1" t="s">
        <v>16</v>
      </c>
      <c r="J398" s="1">
        <v>6.8E7</v>
      </c>
      <c r="K398" s="1">
        <v>2001.0</v>
      </c>
      <c r="L398" s="1">
        <v>7.6</v>
      </c>
      <c r="O398" s="3"/>
      <c r="S398" s="4"/>
    </row>
    <row r="399" ht="14.25" customHeight="1">
      <c r="A399" s="1" t="s">
        <v>98</v>
      </c>
      <c r="B399" s="1">
        <v>104.0</v>
      </c>
      <c r="C399" s="1">
        <v>4.7592825E7</v>
      </c>
      <c r="D399" s="1" t="s">
        <v>454</v>
      </c>
      <c r="E399" s="1" t="s">
        <v>632</v>
      </c>
      <c r="F399" s="1" t="s">
        <v>1011</v>
      </c>
      <c r="G399" s="1">
        <v>82731.0</v>
      </c>
      <c r="H399" s="1">
        <v>255.0</v>
      </c>
      <c r="I399" s="1" t="s">
        <v>16</v>
      </c>
      <c r="J399" s="1">
        <v>8.5E7</v>
      </c>
      <c r="K399" s="1">
        <v>2003.0</v>
      </c>
      <c r="L399" s="1">
        <v>6.7</v>
      </c>
      <c r="O399" s="3"/>
      <c r="S399" s="4"/>
    </row>
    <row r="400" ht="14.25" customHeight="1">
      <c r="A400" s="1" t="s">
        <v>545</v>
      </c>
      <c r="B400" s="1">
        <v>130.0</v>
      </c>
      <c r="C400" s="1">
        <v>5.0016394E7</v>
      </c>
      <c r="D400" s="1" t="s">
        <v>1012</v>
      </c>
      <c r="E400" s="1" t="s">
        <v>1013</v>
      </c>
      <c r="F400" s="1" t="s">
        <v>1014</v>
      </c>
      <c r="G400" s="1">
        <v>106528.0</v>
      </c>
      <c r="H400" s="1">
        <v>257.0</v>
      </c>
      <c r="I400" s="1" t="s">
        <v>16</v>
      </c>
      <c r="J400" s="1">
        <v>7.0E7</v>
      </c>
      <c r="K400" s="1">
        <v>1993.0</v>
      </c>
      <c r="L400" s="1">
        <v>6.2</v>
      </c>
      <c r="O400" s="3"/>
      <c r="S400" s="4"/>
    </row>
    <row r="401" ht="14.25" customHeight="1">
      <c r="A401" s="1" t="s">
        <v>67</v>
      </c>
      <c r="B401" s="1">
        <v>145.0</v>
      </c>
      <c r="C401" s="1">
        <v>5.7010853E7</v>
      </c>
      <c r="D401" s="1" t="s">
        <v>92</v>
      </c>
      <c r="E401" s="1" t="s">
        <v>1015</v>
      </c>
      <c r="F401" s="1" t="s">
        <v>1016</v>
      </c>
      <c r="G401" s="1">
        <v>119286.0</v>
      </c>
      <c r="H401" s="1">
        <v>548.0</v>
      </c>
      <c r="I401" s="1" t="s">
        <v>16</v>
      </c>
      <c r="J401" s="1">
        <v>8.5E7</v>
      </c>
      <c r="K401" s="1">
        <v>2005.0</v>
      </c>
      <c r="L401" s="1">
        <v>7.3</v>
      </c>
      <c r="O401" s="3"/>
      <c r="S401" s="4"/>
    </row>
    <row r="402" ht="14.25" customHeight="1">
      <c r="A402" s="1" t="s">
        <v>174</v>
      </c>
      <c r="B402" s="1">
        <v>104.0</v>
      </c>
      <c r="C402" s="1">
        <v>6.2494975E7</v>
      </c>
      <c r="D402" s="1" t="s">
        <v>146</v>
      </c>
      <c r="E402" s="1" t="s">
        <v>1017</v>
      </c>
      <c r="F402" s="1" t="s">
        <v>1018</v>
      </c>
      <c r="G402" s="1">
        <v>179500.0</v>
      </c>
      <c r="H402" s="1">
        <v>378.0</v>
      </c>
      <c r="I402" s="1" t="s">
        <v>16</v>
      </c>
      <c r="J402" s="1">
        <v>8.5E7</v>
      </c>
      <c r="K402" s="1">
        <v>2006.0</v>
      </c>
      <c r="L402" s="1">
        <v>6.0</v>
      </c>
      <c r="O402" s="3"/>
      <c r="S402" s="4"/>
    </row>
    <row r="403" ht="14.25" customHeight="1">
      <c r="A403" s="1" t="s">
        <v>1019</v>
      </c>
      <c r="B403" s="1">
        <v>97.0</v>
      </c>
      <c r="C403" s="1">
        <v>4.6440491E7</v>
      </c>
      <c r="D403" s="1" t="s">
        <v>118</v>
      </c>
      <c r="E403" s="1" t="s">
        <v>194</v>
      </c>
      <c r="F403" s="1" t="s">
        <v>1020</v>
      </c>
      <c r="G403" s="1">
        <v>35446.0</v>
      </c>
      <c r="H403" s="1">
        <v>78.0</v>
      </c>
      <c r="I403" s="1" t="s">
        <v>16</v>
      </c>
      <c r="J403" s="1">
        <v>1.0E8</v>
      </c>
      <c r="K403" s="1">
        <v>2011.0</v>
      </c>
      <c r="L403" s="1">
        <v>7.1</v>
      </c>
      <c r="O403" s="3"/>
      <c r="S403" s="4"/>
    </row>
    <row r="404" ht="14.25" customHeight="1">
      <c r="A404" s="1" t="s">
        <v>1021</v>
      </c>
      <c r="B404" s="1">
        <v>178.0</v>
      </c>
      <c r="C404" s="1">
        <v>4.4606335E7</v>
      </c>
      <c r="D404" s="1" t="s">
        <v>292</v>
      </c>
      <c r="E404" s="1" t="s">
        <v>326</v>
      </c>
      <c r="F404" s="1" t="s">
        <v>1022</v>
      </c>
      <c r="G404" s="1">
        <v>169023.0</v>
      </c>
      <c r="H404" s="1">
        <v>703.0</v>
      </c>
      <c r="I404" s="1" t="s">
        <v>16</v>
      </c>
      <c r="J404" s="1">
        <v>9.0E7</v>
      </c>
      <c r="K404" s="1">
        <v>1998.0</v>
      </c>
      <c r="L404" s="1">
        <v>7.1</v>
      </c>
      <c r="O404" s="3"/>
      <c r="S404" s="4"/>
    </row>
    <row r="405" ht="14.25" customHeight="1">
      <c r="A405" s="1" t="s">
        <v>1023</v>
      </c>
      <c r="B405" s="1">
        <v>108.0</v>
      </c>
      <c r="C405" s="1">
        <v>4.0048332E7</v>
      </c>
      <c r="D405" s="1" t="s">
        <v>392</v>
      </c>
      <c r="E405" s="1" t="s">
        <v>1024</v>
      </c>
      <c r="F405" s="1" t="s">
        <v>1025</v>
      </c>
      <c r="G405" s="1">
        <v>61417.0</v>
      </c>
      <c r="H405" s="1">
        <v>339.0</v>
      </c>
      <c r="I405" s="1" t="s">
        <v>16</v>
      </c>
      <c r="J405" s="1">
        <v>8.5E7</v>
      </c>
      <c r="K405" s="1">
        <v>2002.0</v>
      </c>
      <c r="L405" s="1">
        <v>5.5</v>
      </c>
      <c r="O405" s="3"/>
      <c r="S405" s="4"/>
    </row>
    <row r="406" ht="14.25" customHeight="1">
      <c r="A406" s="1" t="s">
        <v>1026</v>
      </c>
      <c r="B406" s="1">
        <v>106.0</v>
      </c>
      <c r="C406" s="1">
        <v>6.493367E7</v>
      </c>
      <c r="D406" s="1" t="s">
        <v>1027</v>
      </c>
      <c r="E406" s="1" t="s">
        <v>1028</v>
      </c>
      <c r="F406" s="1" t="s">
        <v>1029</v>
      </c>
      <c r="G406" s="1">
        <v>70838.0</v>
      </c>
      <c r="H406" s="1">
        <v>208.0</v>
      </c>
      <c r="I406" s="1" t="s">
        <v>16</v>
      </c>
      <c r="J406" s="1">
        <v>8.5E7</v>
      </c>
      <c r="K406" s="1">
        <v>2012.0</v>
      </c>
      <c r="L406" s="1">
        <v>5.6</v>
      </c>
      <c r="O406" s="3"/>
      <c r="S406" s="4"/>
    </row>
    <row r="407" ht="14.25" customHeight="1">
      <c r="A407" s="1" t="s">
        <v>1030</v>
      </c>
      <c r="B407" s="1">
        <v>112.0</v>
      </c>
      <c r="C407" s="1">
        <v>3.149427E7</v>
      </c>
      <c r="D407" s="1" t="s">
        <v>1031</v>
      </c>
      <c r="E407" s="1" t="s">
        <v>1032</v>
      </c>
      <c r="F407" s="1" t="s">
        <v>1033</v>
      </c>
      <c r="G407" s="1">
        <v>273921.0</v>
      </c>
      <c r="H407" s="1">
        <v>522.0</v>
      </c>
      <c r="I407" s="1" t="s">
        <v>16</v>
      </c>
      <c r="J407" s="1">
        <v>6.0E7</v>
      </c>
      <c r="K407" s="1">
        <v>2010.0</v>
      </c>
      <c r="L407" s="1">
        <v>7.5</v>
      </c>
      <c r="O407" s="3"/>
      <c r="S407" s="4"/>
    </row>
    <row r="408" ht="14.25" customHeight="1">
      <c r="A408" s="1" t="s">
        <v>1034</v>
      </c>
      <c r="B408" s="1">
        <v>135.0</v>
      </c>
      <c r="C408" s="1">
        <v>3.111126E7</v>
      </c>
      <c r="D408" s="1" t="s">
        <v>99</v>
      </c>
      <c r="E408" s="1" t="s">
        <v>122</v>
      </c>
      <c r="F408" s="1" t="s">
        <v>1035</v>
      </c>
      <c r="G408" s="1">
        <v>77029.0</v>
      </c>
      <c r="H408" s="1">
        <v>466.0</v>
      </c>
      <c r="I408" s="1" t="s">
        <v>16</v>
      </c>
      <c r="J408" s="1">
        <v>6.0E7</v>
      </c>
      <c r="K408" s="1">
        <v>2003.0</v>
      </c>
      <c r="L408" s="1">
        <v>5.4</v>
      </c>
      <c r="O408" s="3"/>
      <c r="S408" s="4"/>
    </row>
    <row r="409" ht="14.25" customHeight="1">
      <c r="A409" s="1" t="s">
        <v>1036</v>
      </c>
      <c r="B409" s="1">
        <v>109.0</v>
      </c>
      <c r="C409" s="1">
        <v>1.23307945E8</v>
      </c>
      <c r="D409" s="1" t="s">
        <v>1037</v>
      </c>
      <c r="E409" s="1" t="s">
        <v>1038</v>
      </c>
      <c r="F409" s="1" t="s">
        <v>1039</v>
      </c>
      <c r="G409" s="1">
        <v>39391.0</v>
      </c>
      <c r="H409" s="1">
        <v>171.0</v>
      </c>
      <c r="I409" s="1" t="s">
        <v>16</v>
      </c>
      <c r="J409" s="1">
        <v>6.5E7</v>
      </c>
      <c r="K409" s="1">
        <v>2000.0</v>
      </c>
      <c r="L409" s="1">
        <v>4.3</v>
      </c>
      <c r="O409" s="3"/>
      <c r="S409" s="4"/>
    </row>
    <row r="410" ht="14.25" customHeight="1">
      <c r="A410" s="1" t="s">
        <v>657</v>
      </c>
      <c r="B410" s="1">
        <v>86.0</v>
      </c>
      <c r="C410" s="1">
        <v>1.53288182E8</v>
      </c>
      <c r="D410" s="1" t="s">
        <v>1040</v>
      </c>
      <c r="E410" s="1" t="s">
        <v>1041</v>
      </c>
      <c r="F410" s="1" t="s">
        <v>1042</v>
      </c>
      <c r="G410" s="1">
        <v>71424.0</v>
      </c>
      <c r="H410" s="1">
        <v>521.0</v>
      </c>
      <c r="I410" s="1" t="s">
        <v>16</v>
      </c>
      <c r="J410" s="1">
        <v>8.4E7</v>
      </c>
      <c r="K410" s="1">
        <v>2002.0</v>
      </c>
      <c r="L410" s="1">
        <v>4.9</v>
      </c>
      <c r="O410" s="3"/>
      <c r="S410" s="4"/>
    </row>
    <row r="411" ht="14.25" customHeight="1">
      <c r="A411" s="1" t="s">
        <v>1043</v>
      </c>
      <c r="B411" s="1">
        <v>95.0</v>
      </c>
      <c r="C411" s="1">
        <v>1.3401683E7</v>
      </c>
      <c r="D411" s="1" t="s">
        <v>278</v>
      </c>
      <c r="E411" s="1" t="s">
        <v>1044</v>
      </c>
      <c r="F411" s="1" t="s">
        <v>1045</v>
      </c>
      <c r="G411" s="1">
        <v>203458.0</v>
      </c>
      <c r="H411" s="1">
        <v>588.0</v>
      </c>
      <c r="I411" s="1" t="s">
        <v>16</v>
      </c>
      <c r="J411" s="1">
        <v>3.5E7</v>
      </c>
      <c r="K411" s="1">
        <v>2012.0</v>
      </c>
      <c r="L411" s="1">
        <v>7.1</v>
      </c>
      <c r="O411" s="3"/>
      <c r="S411" s="4"/>
    </row>
    <row r="412" ht="14.25" customHeight="1">
      <c r="A412" s="1" t="s">
        <v>677</v>
      </c>
      <c r="B412" s="1">
        <v>107.0</v>
      </c>
      <c r="C412" s="1">
        <v>1.37340146E8</v>
      </c>
      <c r="D412" s="1" t="s">
        <v>1046</v>
      </c>
      <c r="E412" s="1" t="s">
        <v>923</v>
      </c>
      <c r="F412" s="1" t="s">
        <v>1047</v>
      </c>
      <c r="G412" s="1">
        <v>246492.0</v>
      </c>
      <c r="H412" s="1">
        <v>685.0</v>
      </c>
      <c r="I412" s="1" t="s">
        <v>16</v>
      </c>
      <c r="J412" s="1">
        <v>7.0E7</v>
      </c>
      <c r="K412" s="1">
        <v>2006.0</v>
      </c>
      <c r="L412" s="1">
        <v>6.4</v>
      </c>
      <c r="O412" s="3"/>
      <c r="S412" s="4"/>
    </row>
    <row r="413" ht="14.25" customHeight="1">
      <c r="A413" s="1" t="s">
        <v>631</v>
      </c>
      <c r="B413" s="1">
        <v>82.0</v>
      </c>
      <c r="C413" s="1">
        <v>4.3575716E7</v>
      </c>
      <c r="D413" s="1" t="s">
        <v>1048</v>
      </c>
      <c r="E413" s="1" t="s">
        <v>268</v>
      </c>
      <c r="F413" s="1" t="s">
        <v>1049</v>
      </c>
      <c r="G413" s="1">
        <v>10233.0</v>
      </c>
      <c r="H413" s="1">
        <v>63.0</v>
      </c>
      <c r="I413" s="1" t="s">
        <v>16</v>
      </c>
      <c r="J413" s="1">
        <v>8.5E7</v>
      </c>
      <c r="K413" s="1">
        <v>2010.0</v>
      </c>
      <c r="L413" s="1">
        <v>4.3</v>
      </c>
      <c r="O413" s="3"/>
      <c r="S413" s="4"/>
    </row>
    <row r="414" ht="14.25" customHeight="1">
      <c r="A414" s="1" t="s">
        <v>225</v>
      </c>
      <c r="B414" s="1">
        <v>88.0</v>
      </c>
      <c r="C414" s="1">
        <v>8.0170146E7</v>
      </c>
      <c r="D414" s="1" t="s">
        <v>99</v>
      </c>
      <c r="E414" s="1" t="s">
        <v>1050</v>
      </c>
      <c r="F414" s="1" t="s">
        <v>1051</v>
      </c>
      <c r="G414" s="1">
        <v>243053.0</v>
      </c>
      <c r="H414" s="1">
        <v>488.0</v>
      </c>
      <c r="I414" s="1" t="s">
        <v>16</v>
      </c>
      <c r="J414" s="1">
        <v>8.5E7</v>
      </c>
      <c r="K414" s="1">
        <v>2008.0</v>
      </c>
      <c r="L414" s="1">
        <v>6.1</v>
      </c>
      <c r="O414" s="3"/>
      <c r="S414" s="4"/>
    </row>
    <row r="415" ht="14.25" customHeight="1">
      <c r="A415" s="1" t="s">
        <v>164</v>
      </c>
      <c r="B415" s="1">
        <v>120.0</v>
      </c>
      <c r="C415" s="1">
        <v>7.575467E7</v>
      </c>
      <c r="D415" s="1" t="s">
        <v>1052</v>
      </c>
      <c r="E415" s="1" t="s">
        <v>1053</v>
      </c>
      <c r="F415" s="1" t="s">
        <v>1054</v>
      </c>
      <c r="G415" s="1">
        <v>208422.0</v>
      </c>
      <c r="H415" s="1">
        <v>342.0</v>
      </c>
      <c r="I415" s="1" t="s">
        <v>16</v>
      </c>
      <c r="J415" s="1">
        <v>8.5E7</v>
      </c>
      <c r="K415" s="1">
        <v>2008.0</v>
      </c>
      <c r="L415" s="1">
        <v>7.0</v>
      </c>
      <c r="O415" s="3"/>
      <c r="S415" s="4"/>
    </row>
    <row r="416" ht="14.25" customHeight="1">
      <c r="A416" s="1" t="s">
        <v>291</v>
      </c>
      <c r="B416" s="1">
        <v>162.0</v>
      </c>
      <c r="C416" s="1">
        <v>3.3048353E7</v>
      </c>
      <c r="D416" s="1" t="s">
        <v>1055</v>
      </c>
      <c r="E416" s="1" t="s">
        <v>96</v>
      </c>
      <c r="F416" s="1" t="s">
        <v>1056</v>
      </c>
      <c r="G416" s="1">
        <v>301279.0</v>
      </c>
      <c r="H416" s="1">
        <v>589.0</v>
      </c>
      <c r="I416" s="1" t="s">
        <v>16</v>
      </c>
      <c r="J416" s="1">
        <v>6.5E7</v>
      </c>
      <c r="K416" s="1">
        <v>2007.0</v>
      </c>
      <c r="L416" s="1">
        <v>7.7</v>
      </c>
      <c r="O416" s="3"/>
      <c r="S416" s="4"/>
    </row>
    <row r="417" ht="14.25" customHeight="1">
      <c r="A417" s="1" t="s">
        <v>634</v>
      </c>
      <c r="B417" s="1">
        <v>123.0</v>
      </c>
      <c r="C417" s="1">
        <v>3.4543701E7</v>
      </c>
      <c r="D417" s="1" t="s">
        <v>686</v>
      </c>
      <c r="E417" s="1" t="s">
        <v>1057</v>
      </c>
      <c r="F417" s="1" t="s">
        <v>1058</v>
      </c>
      <c r="G417" s="1">
        <v>100001.0</v>
      </c>
      <c r="H417" s="1">
        <v>289.0</v>
      </c>
      <c r="I417" s="1" t="s">
        <v>16</v>
      </c>
      <c r="J417" s="1">
        <v>8.2E7</v>
      </c>
      <c r="K417" s="1">
        <v>2000.0</v>
      </c>
      <c r="L417" s="1">
        <v>5.9</v>
      </c>
      <c r="O417" s="3"/>
      <c r="S417" s="4"/>
    </row>
    <row r="418" ht="14.25" customHeight="1">
      <c r="A418" s="1" t="s">
        <v>221</v>
      </c>
      <c r="B418" s="1">
        <v>101.0</v>
      </c>
      <c r="C418" s="1">
        <v>2.4258958E8</v>
      </c>
      <c r="D418" s="1" t="s">
        <v>1059</v>
      </c>
      <c r="E418" s="1" t="s">
        <v>600</v>
      </c>
      <c r="F418" s="1" t="s">
        <v>1060</v>
      </c>
      <c r="G418" s="1">
        <v>296904.0</v>
      </c>
      <c r="H418" s="1">
        <v>604.0</v>
      </c>
      <c r="I418" s="1" t="s">
        <v>16</v>
      </c>
      <c r="J418" s="1">
        <v>8.1E7</v>
      </c>
      <c r="K418" s="1">
        <v>2003.0</v>
      </c>
      <c r="L418" s="1">
        <v>6.7</v>
      </c>
      <c r="O418" s="3"/>
      <c r="S418" s="4"/>
    </row>
    <row r="419" ht="14.25" customHeight="1">
      <c r="A419" s="1" t="s">
        <v>1061</v>
      </c>
      <c r="B419" s="1">
        <v>113.0</v>
      </c>
      <c r="C419" s="1">
        <v>1.02981571E8</v>
      </c>
      <c r="D419" s="1" t="s">
        <v>22</v>
      </c>
      <c r="E419" s="1" t="s">
        <v>147</v>
      </c>
      <c r="F419" s="1" t="s">
        <v>1062</v>
      </c>
      <c r="G419" s="1">
        <v>270226.0</v>
      </c>
      <c r="H419" s="1">
        <v>741.0</v>
      </c>
      <c r="I419" s="1" t="s">
        <v>16</v>
      </c>
      <c r="J419" s="1">
        <v>8.0E7</v>
      </c>
      <c r="K419" s="1">
        <v>2010.0</v>
      </c>
      <c r="L419" s="1">
        <v>6.5</v>
      </c>
      <c r="O419" s="3"/>
      <c r="S419" s="4"/>
    </row>
    <row r="420" ht="14.25" customHeight="1">
      <c r="A420" s="1" t="s">
        <v>950</v>
      </c>
      <c r="B420" s="1">
        <v>110.0</v>
      </c>
      <c r="C420" s="1">
        <v>1.80965237E8</v>
      </c>
      <c r="D420" s="1" t="s">
        <v>22</v>
      </c>
      <c r="E420" s="1" t="s">
        <v>226</v>
      </c>
      <c r="F420" s="1" t="s">
        <v>1063</v>
      </c>
      <c r="G420" s="1">
        <v>300542.0</v>
      </c>
      <c r="H420" s="1">
        <v>378.0</v>
      </c>
      <c r="I420" s="1" t="s">
        <v>16</v>
      </c>
      <c r="J420" s="1">
        <v>8.0E7</v>
      </c>
      <c r="K420" s="1">
        <v>1996.0</v>
      </c>
      <c r="L420" s="1">
        <v>7.1</v>
      </c>
      <c r="O420" s="3"/>
      <c r="S420" s="4"/>
    </row>
    <row r="421" ht="14.25" customHeight="1">
      <c r="A421" s="1" t="s">
        <v>972</v>
      </c>
      <c r="B421" s="1">
        <v>142.0</v>
      </c>
      <c r="C421" s="1">
        <v>4.07999255E8</v>
      </c>
      <c r="D421" s="1" t="s">
        <v>617</v>
      </c>
      <c r="E421" s="1" t="s">
        <v>152</v>
      </c>
      <c r="F421" s="1" t="s">
        <v>1064</v>
      </c>
      <c r="G421" s="1">
        <v>701607.0</v>
      </c>
      <c r="H421" s="1">
        <v>1959.0</v>
      </c>
      <c r="I421" s="1" t="s">
        <v>16</v>
      </c>
      <c r="J421" s="1">
        <v>7.8E7</v>
      </c>
      <c r="K421" s="1">
        <v>2012.0</v>
      </c>
      <c r="L421" s="1">
        <v>7.3</v>
      </c>
      <c r="O421" s="3"/>
      <c r="S421" s="4"/>
    </row>
    <row r="422" ht="14.25" customHeight="1">
      <c r="A422" s="1" t="s">
        <v>1065</v>
      </c>
      <c r="B422" s="1">
        <v>102.0</v>
      </c>
      <c r="C422" s="1">
        <v>2.54455986E8</v>
      </c>
      <c r="D422" s="1" t="s">
        <v>828</v>
      </c>
      <c r="E422" s="1" t="s">
        <v>282</v>
      </c>
      <c r="F422" s="1" t="s">
        <v>1066</v>
      </c>
      <c r="G422" s="1">
        <v>375879.0</v>
      </c>
      <c r="H422" s="1">
        <v>402.0</v>
      </c>
      <c r="I422" s="1" t="s">
        <v>16</v>
      </c>
      <c r="J422" s="1">
        <v>8.0E7</v>
      </c>
      <c r="K422" s="1">
        <v>2011.0</v>
      </c>
      <c r="L422" s="1">
        <v>6.5</v>
      </c>
      <c r="O422" s="3"/>
      <c r="S422" s="4"/>
    </row>
    <row r="423" ht="14.25" customHeight="1">
      <c r="A423" s="1" t="s">
        <v>111</v>
      </c>
      <c r="B423" s="1">
        <v>126.0</v>
      </c>
      <c r="C423" s="1">
        <v>1.62831698E8</v>
      </c>
      <c r="D423" s="1" t="s">
        <v>553</v>
      </c>
      <c r="E423" s="1" t="s">
        <v>554</v>
      </c>
      <c r="F423" s="1" t="s">
        <v>1067</v>
      </c>
      <c r="G423" s="1">
        <v>215255.0</v>
      </c>
      <c r="H423" s="1">
        <v>610.0</v>
      </c>
      <c r="I423" s="1" t="s">
        <v>16</v>
      </c>
      <c r="J423" s="1">
        <v>8.0E7</v>
      </c>
      <c r="K423" s="1">
        <v>1992.0</v>
      </c>
      <c r="L423" s="1">
        <v>7.0</v>
      </c>
      <c r="O423" s="3"/>
      <c r="S423" s="4"/>
    </row>
    <row r="424" ht="14.25" customHeight="1">
      <c r="A424" s="1" t="s">
        <v>494</v>
      </c>
      <c r="B424" s="1">
        <v>83.0</v>
      </c>
      <c r="C424" s="1">
        <v>1.5501934E8</v>
      </c>
      <c r="D424" s="1" t="s">
        <v>200</v>
      </c>
      <c r="E424" s="1" t="s">
        <v>415</v>
      </c>
      <c r="F424" s="1" t="s">
        <v>1068</v>
      </c>
      <c r="G424" s="1">
        <v>127345.0</v>
      </c>
      <c r="H424" s="1">
        <v>250.0</v>
      </c>
      <c r="I424" s="1" t="s">
        <v>16</v>
      </c>
      <c r="J424" s="1">
        <v>8.0E7</v>
      </c>
      <c r="K424" s="1">
        <v>2006.0</v>
      </c>
      <c r="L424" s="1">
        <v>6.8</v>
      </c>
      <c r="O424" s="3"/>
      <c r="S424" s="4"/>
    </row>
    <row r="425" ht="14.25" customHeight="1">
      <c r="A425" s="1" t="s">
        <v>274</v>
      </c>
      <c r="B425" s="1">
        <v>85.0</v>
      </c>
      <c r="C425" s="1">
        <v>1.45771527E8</v>
      </c>
      <c r="D425" s="1" t="s">
        <v>1069</v>
      </c>
      <c r="E425" s="1" t="s">
        <v>1070</v>
      </c>
      <c r="F425" s="1" t="s">
        <v>1071</v>
      </c>
      <c r="G425" s="1">
        <v>117212.0</v>
      </c>
      <c r="H425" s="1">
        <v>367.0</v>
      </c>
      <c r="I425" s="1" t="s">
        <v>16</v>
      </c>
      <c r="J425" s="1">
        <v>8.0E7</v>
      </c>
      <c r="K425" s="1">
        <v>2002.0</v>
      </c>
      <c r="L425" s="1">
        <v>7.2</v>
      </c>
      <c r="O425" s="3"/>
      <c r="S425" s="4"/>
    </row>
    <row r="426" ht="14.25" customHeight="1">
      <c r="A426" s="1" t="s">
        <v>1072</v>
      </c>
      <c r="B426" s="1">
        <v>120.0</v>
      </c>
      <c r="C426" s="1">
        <v>1.40459099E8</v>
      </c>
      <c r="D426" s="1" t="s">
        <v>1073</v>
      </c>
      <c r="E426" s="1" t="s">
        <v>600</v>
      </c>
      <c r="F426" s="1" t="s">
        <v>1074</v>
      </c>
      <c r="G426" s="1">
        <v>135601.0</v>
      </c>
      <c r="H426" s="1">
        <v>493.0</v>
      </c>
      <c r="I426" s="1" t="s">
        <v>16</v>
      </c>
      <c r="J426" s="1">
        <v>7.5E7</v>
      </c>
      <c r="K426" s="1">
        <v>1998.0</v>
      </c>
      <c r="L426" s="1">
        <v>6.1</v>
      </c>
      <c r="O426" s="3"/>
      <c r="S426" s="4"/>
    </row>
    <row r="427" ht="14.25" customHeight="1">
      <c r="A427" s="1" t="s">
        <v>426</v>
      </c>
      <c r="B427" s="1">
        <v>116.0</v>
      </c>
      <c r="C427" s="1">
        <v>5.3215979E7</v>
      </c>
      <c r="D427" s="1" t="s">
        <v>180</v>
      </c>
      <c r="E427" s="1" t="s">
        <v>415</v>
      </c>
      <c r="F427" s="1" t="s">
        <v>1075</v>
      </c>
      <c r="G427" s="1">
        <v>125036.0</v>
      </c>
      <c r="H427" s="1">
        <v>205.0</v>
      </c>
      <c r="I427" s="1" t="s">
        <v>16</v>
      </c>
      <c r="J427" s="1">
        <v>8.4E7</v>
      </c>
      <c r="K427" s="1">
        <v>2013.0</v>
      </c>
      <c r="L427" s="1">
        <v>6.7</v>
      </c>
      <c r="O427" s="3"/>
      <c r="S427" s="4"/>
    </row>
    <row r="428" ht="14.25" customHeight="1">
      <c r="A428" s="1" t="s">
        <v>1036</v>
      </c>
      <c r="B428" s="1">
        <v>113.0</v>
      </c>
      <c r="C428" s="1">
        <v>1.58115031E8</v>
      </c>
      <c r="D428" s="1" t="s">
        <v>1076</v>
      </c>
      <c r="E428" s="1" t="s">
        <v>923</v>
      </c>
      <c r="F428" s="1" t="s">
        <v>1077</v>
      </c>
      <c r="G428" s="1">
        <v>130070.0</v>
      </c>
      <c r="H428" s="1">
        <v>316.0</v>
      </c>
      <c r="I428" s="1" t="s">
        <v>16</v>
      </c>
      <c r="J428" s="1">
        <v>8.2E7</v>
      </c>
      <c r="K428" s="1">
        <v>2005.0</v>
      </c>
      <c r="L428" s="1">
        <v>6.4</v>
      </c>
      <c r="O428" s="3"/>
      <c r="S428" s="4"/>
    </row>
    <row r="429" ht="14.25" customHeight="1">
      <c r="A429" s="1" t="s">
        <v>255</v>
      </c>
      <c r="B429" s="1">
        <v>87.0</v>
      </c>
      <c r="C429" s="1">
        <v>1.33103929E8</v>
      </c>
      <c r="D429" s="1" t="s">
        <v>917</v>
      </c>
      <c r="E429" s="1" t="s">
        <v>204</v>
      </c>
      <c r="F429" s="1" t="s">
        <v>1078</v>
      </c>
      <c r="G429" s="1">
        <v>22838.0</v>
      </c>
      <c r="H429" s="1">
        <v>56.0</v>
      </c>
      <c r="I429" s="1" t="s">
        <v>16</v>
      </c>
      <c r="J429" s="1">
        <v>7.5E7</v>
      </c>
      <c r="K429" s="1">
        <v>2011.0</v>
      </c>
      <c r="L429" s="1">
        <v>4.4</v>
      </c>
      <c r="O429" s="3"/>
      <c r="S429" s="4"/>
    </row>
    <row r="430" ht="14.25" customHeight="1">
      <c r="A430" s="1" t="s">
        <v>922</v>
      </c>
      <c r="B430" s="1">
        <v>101.0</v>
      </c>
      <c r="C430" s="1">
        <v>1.33668525E8</v>
      </c>
      <c r="D430" s="1" t="s">
        <v>828</v>
      </c>
      <c r="E430" s="1" t="s">
        <v>119</v>
      </c>
      <c r="F430" s="1" t="s">
        <v>1079</v>
      </c>
      <c r="G430" s="1">
        <v>107817.0</v>
      </c>
      <c r="H430" s="1">
        <v>255.0</v>
      </c>
      <c r="I430" s="1" t="s">
        <v>16</v>
      </c>
      <c r="J430" s="1">
        <v>8.0E7</v>
      </c>
      <c r="K430" s="1">
        <v>2013.0</v>
      </c>
      <c r="L430" s="1">
        <v>5.4</v>
      </c>
      <c r="O430" s="3"/>
      <c r="S430" s="4"/>
    </row>
    <row r="431" ht="14.25" customHeight="1">
      <c r="A431" s="1" t="s">
        <v>1036</v>
      </c>
      <c r="B431" s="1">
        <v>110.0</v>
      </c>
      <c r="C431" s="1">
        <v>1.30313314E8</v>
      </c>
      <c r="D431" s="1" t="s">
        <v>678</v>
      </c>
      <c r="E431" s="1" t="s">
        <v>899</v>
      </c>
      <c r="F431" s="1" t="s">
        <v>1080</v>
      </c>
      <c r="G431" s="1">
        <v>168172.0</v>
      </c>
      <c r="H431" s="1">
        <v>380.0</v>
      </c>
      <c r="I431" s="1" t="s">
        <v>16</v>
      </c>
      <c r="J431" s="1">
        <v>8.0E7</v>
      </c>
      <c r="K431" s="1">
        <v>2008.0</v>
      </c>
      <c r="L431" s="1">
        <v>6.5</v>
      </c>
      <c r="O431" s="3"/>
      <c r="S431" s="4"/>
    </row>
    <row r="432" ht="14.25" customHeight="1">
      <c r="A432" s="1" t="s">
        <v>996</v>
      </c>
      <c r="B432" s="1">
        <v>128.0</v>
      </c>
      <c r="C432" s="1">
        <v>1.2459096E8</v>
      </c>
      <c r="D432" s="1" t="s">
        <v>593</v>
      </c>
      <c r="E432" s="1" t="s">
        <v>252</v>
      </c>
      <c r="F432" s="1" t="s">
        <v>1081</v>
      </c>
      <c r="G432" s="1">
        <v>91092.0</v>
      </c>
      <c r="H432" s="1">
        <v>402.0</v>
      </c>
      <c r="I432" s="1" t="s">
        <v>16</v>
      </c>
      <c r="J432" s="1">
        <v>8.0E7</v>
      </c>
      <c r="K432" s="1">
        <v>2003.0</v>
      </c>
      <c r="L432" s="1">
        <v>6.7</v>
      </c>
      <c r="O432" s="3"/>
      <c r="S432" s="4"/>
    </row>
    <row r="433" ht="14.25" customHeight="1">
      <c r="A433" s="1" t="s">
        <v>208</v>
      </c>
      <c r="B433" s="1">
        <v>138.0</v>
      </c>
      <c r="C433" s="1">
        <v>1.27968405E8</v>
      </c>
      <c r="D433" s="1" t="s">
        <v>362</v>
      </c>
      <c r="E433" s="1" t="s">
        <v>93</v>
      </c>
      <c r="F433" s="1" t="s">
        <v>1082</v>
      </c>
      <c r="G433" s="1">
        <v>786092.0</v>
      </c>
      <c r="H433" s="1">
        <v>964.0</v>
      </c>
      <c r="I433" s="1" t="s">
        <v>16</v>
      </c>
      <c r="J433" s="1">
        <v>8.0E7</v>
      </c>
      <c r="K433" s="1">
        <v>2010.0</v>
      </c>
      <c r="L433" s="1">
        <v>8.1</v>
      </c>
      <c r="O433" s="3"/>
      <c r="S433" s="4"/>
    </row>
    <row r="434" ht="14.25" customHeight="1">
      <c r="A434" s="1" t="s">
        <v>1083</v>
      </c>
      <c r="B434" s="1">
        <v>88.0</v>
      </c>
      <c r="C434" s="1">
        <v>1.20136047E8</v>
      </c>
      <c r="D434" s="1" t="s">
        <v>593</v>
      </c>
      <c r="E434" s="1" t="s">
        <v>206</v>
      </c>
      <c r="F434" s="1" t="s">
        <v>1084</v>
      </c>
      <c r="G434" s="1">
        <v>48500.0</v>
      </c>
      <c r="H434" s="1">
        <v>124.0</v>
      </c>
      <c r="I434" s="1" t="s">
        <v>16</v>
      </c>
      <c r="J434" s="1">
        <v>8.0E7</v>
      </c>
      <c r="K434" s="1">
        <v>2008.0</v>
      </c>
      <c r="L434" s="1">
        <v>5.6</v>
      </c>
      <c r="O434" s="3"/>
      <c r="S434" s="4"/>
    </row>
    <row r="435" ht="14.25" customHeight="1">
      <c r="A435" s="1" t="s">
        <v>752</v>
      </c>
      <c r="B435" s="1">
        <v>91.0</v>
      </c>
      <c r="C435" s="1">
        <v>1.28200012E8</v>
      </c>
      <c r="D435" s="1" t="s">
        <v>267</v>
      </c>
      <c r="E435" s="1" t="s">
        <v>194</v>
      </c>
      <c r="F435" s="1" t="s">
        <v>1085</v>
      </c>
      <c r="G435" s="1">
        <v>103022.0</v>
      </c>
      <c r="H435" s="1">
        <v>269.0</v>
      </c>
      <c r="I435" s="1" t="s">
        <v>16</v>
      </c>
      <c r="J435" s="1">
        <v>7.5E7</v>
      </c>
      <c r="K435" s="1">
        <v>2005.0</v>
      </c>
      <c r="L435" s="1">
        <v>6.3</v>
      </c>
      <c r="O435" s="3"/>
      <c r="S435" s="4"/>
    </row>
    <row r="436" ht="14.25" customHeight="1">
      <c r="A436" s="1" t="s">
        <v>559</v>
      </c>
      <c r="B436" s="1">
        <v>138.0</v>
      </c>
      <c r="C436" s="1">
        <v>1.12225777E8</v>
      </c>
      <c r="D436" s="1" t="s">
        <v>587</v>
      </c>
      <c r="E436" s="1" t="s">
        <v>301</v>
      </c>
      <c r="F436" s="1" t="s">
        <v>1086</v>
      </c>
      <c r="G436" s="1">
        <v>283967.0</v>
      </c>
      <c r="H436" s="1">
        <v>535.0</v>
      </c>
      <c r="I436" s="1" t="s">
        <v>16</v>
      </c>
      <c r="J436" s="1">
        <v>8.0E7</v>
      </c>
      <c r="K436" s="1">
        <v>1997.0</v>
      </c>
      <c r="L436" s="1">
        <v>7.3</v>
      </c>
      <c r="O436" s="3"/>
      <c r="S436" s="4"/>
    </row>
    <row r="437" ht="14.25" customHeight="1">
      <c r="A437" s="1" t="s">
        <v>1087</v>
      </c>
      <c r="B437" s="1">
        <v>99.0</v>
      </c>
      <c r="C437" s="1">
        <v>1.09993847E8</v>
      </c>
      <c r="D437" s="1" t="s">
        <v>1088</v>
      </c>
      <c r="E437" s="1" t="s">
        <v>923</v>
      </c>
      <c r="F437" s="1" t="s">
        <v>1089</v>
      </c>
      <c r="G437" s="1">
        <v>72326.0</v>
      </c>
      <c r="H437" s="1">
        <v>116.0</v>
      </c>
      <c r="I437" s="1" t="s">
        <v>16</v>
      </c>
      <c r="J437" s="1">
        <v>8.0E7</v>
      </c>
      <c r="K437" s="1">
        <v>2008.0</v>
      </c>
      <c r="L437" s="1">
        <v>6.1</v>
      </c>
      <c r="O437" s="3"/>
      <c r="S437" s="4"/>
    </row>
    <row r="438" ht="14.25" customHeight="1">
      <c r="A438" s="1" t="s">
        <v>21</v>
      </c>
      <c r="B438" s="1">
        <v>117.0</v>
      </c>
      <c r="C438" s="1">
        <v>1.04054514E8</v>
      </c>
      <c r="D438" s="1" t="s">
        <v>901</v>
      </c>
      <c r="E438" s="1" t="s">
        <v>140</v>
      </c>
      <c r="F438" s="1" t="s">
        <v>1090</v>
      </c>
      <c r="G438" s="1">
        <v>200359.0</v>
      </c>
      <c r="H438" s="1">
        <v>1009.0</v>
      </c>
      <c r="I438" s="1" t="s">
        <v>16</v>
      </c>
      <c r="J438" s="1">
        <v>8.0E7</v>
      </c>
      <c r="K438" s="1">
        <v>2002.0</v>
      </c>
      <c r="L438" s="1">
        <v>7.7</v>
      </c>
      <c r="O438" s="3"/>
      <c r="S438" s="4"/>
    </row>
    <row r="439" ht="14.25" customHeight="1">
      <c r="A439" s="1" t="s">
        <v>922</v>
      </c>
      <c r="B439" s="1">
        <v>117.0</v>
      </c>
      <c r="C439" s="1">
        <v>1.03028109E8</v>
      </c>
      <c r="D439" s="1" t="s">
        <v>699</v>
      </c>
      <c r="E439" s="1" t="s">
        <v>923</v>
      </c>
      <c r="F439" s="1" t="s">
        <v>1091</v>
      </c>
      <c r="G439" s="1">
        <v>172878.0</v>
      </c>
      <c r="H439" s="1">
        <v>203.0</v>
      </c>
      <c r="I439" s="1" t="s">
        <v>16</v>
      </c>
      <c r="J439" s="1">
        <v>8.0E7</v>
      </c>
      <c r="K439" s="1">
        <v>2011.0</v>
      </c>
      <c r="L439" s="1">
        <v>6.4</v>
      </c>
      <c r="O439" s="3"/>
      <c r="S439" s="4"/>
    </row>
    <row r="440" ht="14.25" customHeight="1">
      <c r="A440" s="1" t="s">
        <v>743</v>
      </c>
      <c r="B440" s="1">
        <v>123.0</v>
      </c>
      <c r="C440" s="1">
        <v>1.01087161E8</v>
      </c>
      <c r="D440" s="1" t="s">
        <v>146</v>
      </c>
      <c r="E440" s="1" t="s">
        <v>119</v>
      </c>
      <c r="F440" s="1" t="s">
        <v>1092</v>
      </c>
      <c r="G440" s="1">
        <v>225282.0</v>
      </c>
      <c r="H440" s="1">
        <v>339.0</v>
      </c>
      <c r="I440" s="1" t="s">
        <v>16</v>
      </c>
      <c r="J440" s="1">
        <v>7.5E7</v>
      </c>
      <c r="K440" s="1">
        <v>1997.0</v>
      </c>
      <c r="L440" s="1">
        <v>6.8</v>
      </c>
      <c r="O440" s="3"/>
      <c r="S440" s="4"/>
    </row>
    <row r="441" ht="14.25" customHeight="1">
      <c r="A441" s="1" t="s">
        <v>1093</v>
      </c>
      <c r="B441" s="1">
        <v>118.0</v>
      </c>
      <c r="C441" s="1">
        <v>1.01111837E8</v>
      </c>
      <c r="D441" s="1" t="s">
        <v>485</v>
      </c>
      <c r="E441" s="1" t="s">
        <v>798</v>
      </c>
      <c r="F441" s="1" t="s">
        <v>1094</v>
      </c>
      <c r="G441" s="1">
        <v>150764.0</v>
      </c>
      <c r="H441" s="1">
        <v>318.0</v>
      </c>
      <c r="I441" s="1" t="s">
        <v>16</v>
      </c>
      <c r="J441" s="1">
        <v>8.0E7</v>
      </c>
      <c r="K441" s="1">
        <v>2008.0</v>
      </c>
      <c r="L441" s="1">
        <v>6.6</v>
      </c>
      <c r="O441" s="3"/>
      <c r="S441" s="4"/>
    </row>
    <row r="442" ht="14.25" customHeight="1">
      <c r="A442" s="1" t="s">
        <v>1095</v>
      </c>
      <c r="B442" s="1">
        <v>154.0</v>
      </c>
      <c r="C442" s="1">
        <v>9.5632614E7</v>
      </c>
      <c r="D442" s="1" t="s">
        <v>1096</v>
      </c>
      <c r="E442" s="1" t="s">
        <v>390</v>
      </c>
      <c r="F442" s="1" t="s">
        <v>1097</v>
      </c>
      <c r="G442" s="1">
        <v>118483.0</v>
      </c>
      <c r="H442" s="1">
        <v>674.0</v>
      </c>
      <c r="I442" s="1" t="s">
        <v>16</v>
      </c>
      <c r="J442" s="1">
        <v>7.9E7</v>
      </c>
      <c r="K442" s="1">
        <v>2003.0</v>
      </c>
      <c r="L442" s="1">
        <v>7.2</v>
      </c>
      <c r="O442" s="3"/>
      <c r="S442" s="4"/>
    </row>
    <row r="443" ht="14.25" customHeight="1">
      <c r="A443" s="1" t="s">
        <v>1098</v>
      </c>
      <c r="B443" s="1">
        <v>118.0</v>
      </c>
      <c r="C443" s="1">
        <v>9.4822707E7</v>
      </c>
      <c r="D443" s="1" t="s">
        <v>304</v>
      </c>
      <c r="E443" s="1" t="s">
        <v>717</v>
      </c>
      <c r="F443" s="1" t="s">
        <v>1099</v>
      </c>
      <c r="G443" s="1">
        <v>227072.0</v>
      </c>
      <c r="H443" s="1">
        <v>560.0</v>
      </c>
      <c r="I443" s="1" t="s">
        <v>16</v>
      </c>
      <c r="J443" s="1">
        <v>8.0E7</v>
      </c>
      <c r="K443" s="1">
        <v>2010.0</v>
      </c>
      <c r="L443" s="1">
        <v>6.9</v>
      </c>
      <c r="O443" s="3"/>
      <c r="S443" s="4"/>
    </row>
    <row r="444" ht="14.25" customHeight="1">
      <c r="A444" s="1" t="s">
        <v>1100</v>
      </c>
      <c r="B444" s="1">
        <v>90.0</v>
      </c>
      <c r="C444" s="1">
        <v>9.2969824E7</v>
      </c>
      <c r="D444" s="1" t="s">
        <v>1101</v>
      </c>
      <c r="E444" s="1" t="s">
        <v>346</v>
      </c>
      <c r="F444" s="1" t="s">
        <v>1102</v>
      </c>
      <c r="G444" s="1">
        <v>63625.0</v>
      </c>
      <c r="H444" s="1">
        <v>64.0</v>
      </c>
      <c r="I444" s="1" t="s">
        <v>16</v>
      </c>
      <c r="J444" s="1">
        <v>8.0E7</v>
      </c>
      <c r="K444" s="1">
        <v>1997.0</v>
      </c>
      <c r="L444" s="1">
        <v>5.2</v>
      </c>
      <c r="O444" s="3"/>
      <c r="S444" s="4"/>
    </row>
    <row r="445" ht="14.25" customHeight="1">
      <c r="A445" s="1" t="s">
        <v>669</v>
      </c>
      <c r="B445" s="1">
        <v>113.0</v>
      </c>
      <c r="C445" s="1">
        <v>9.1188905E7</v>
      </c>
      <c r="D445" s="1" t="s">
        <v>1103</v>
      </c>
      <c r="E445" s="1" t="s">
        <v>100</v>
      </c>
      <c r="F445" s="1" t="s">
        <v>1104</v>
      </c>
      <c r="G445" s="1">
        <v>58184.0</v>
      </c>
      <c r="H445" s="1">
        <v>805.0</v>
      </c>
      <c r="I445" s="1" t="s">
        <v>16</v>
      </c>
      <c r="J445" s="1">
        <v>8.0E7</v>
      </c>
      <c r="K445" s="1">
        <v>1999.0</v>
      </c>
      <c r="L445" s="1">
        <v>4.9</v>
      </c>
      <c r="O445" s="3"/>
      <c r="S445" s="4"/>
    </row>
    <row r="446" ht="14.25" customHeight="1">
      <c r="A446" s="1" t="s">
        <v>1105</v>
      </c>
      <c r="B446" s="1">
        <v>88.0</v>
      </c>
      <c r="C446" s="1">
        <v>9.0443603E7</v>
      </c>
      <c r="D446" s="1" t="s">
        <v>1106</v>
      </c>
      <c r="E446" s="1" t="s">
        <v>899</v>
      </c>
      <c r="F446" s="1" t="s">
        <v>1107</v>
      </c>
      <c r="G446" s="1">
        <v>112167.0</v>
      </c>
      <c r="H446" s="1">
        <v>123.0</v>
      </c>
      <c r="I446" s="1" t="s">
        <v>16</v>
      </c>
      <c r="J446" s="1">
        <v>8.0E7</v>
      </c>
      <c r="K446" s="1">
        <v>1996.0</v>
      </c>
      <c r="L446" s="1">
        <v>6.3</v>
      </c>
      <c r="O446" s="3"/>
      <c r="S446" s="4"/>
    </row>
    <row r="447" ht="14.25" customHeight="1">
      <c r="A447" s="1" t="s">
        <v>345</v>
      </c>
      <c r="B447" s="1">
        <v>93.0</v>
      </c>
      <c r="C447" s="1">
        <v>8.2226474E7</v>
      </c>
      <c r="D447" s="1" t="s">
        <v>1108</v>
      </c>
      <c r="E447" s="1" t="s">
        <v>1109</v>
      </c>
      <c r="F447" s="1" t="s">
        <v>1110</v>
      </c>
      <c r="G447" s="1">
        <v>65499.0</v>
      </c>
      <c r="H447" s="1">
        <v>424.0</v>
      </c>
      <c r="I447" s="1" t="s">
        <v>16</v>
      </c>
      <c r="J447" s="1">
        <v>6.5E7</v>
      </c>
      <c r="K447" s="1">
        <v>2006.0</v>
      </c>
      <c r="L447" s="1">
        <v>5.6</v>
      </c>
      <c r="O447" s="3"/>
      <c r="S447" s="4"/>
    </row>
    <row r="448" ht="14.25" customHeight="1">
      <c r="A448" s="1" t="s">
        <v>1111</v>
      </c>
      <c r="B448" s="1">
        <v>104.0</v>
      </c>
      <c r="C448" s="1">
        <v>7.9363785E7</v>
      </c>
      <c r="D448" s="1" t="s">
        <v>1112</v>
      </c>
      <c r="E448" s="1" t="s">
        <v>252</v>
      </c>
      <c r="F448" s="1" t="s">
        <v>1113</v>
      </c>
      <c r="G448" s="1">
        <v>139423.0</v>
      </c>
      <c r="H448" s="1">
        <v>698.0</v>
      </c>
      <c r="I448" s="1" t="s">
        <v>16</v>
      </c>
      <c r="J448" s="1">
        <v>8.0E7</v>
      </c>
      <c r="K448" s="1">
        <v>2008.0</v>
      </c>
      <c r="L448" s="1">
        <v>5.5</v>
      </c>
      <c r="O448" s="3"/>
      <c r="S448" s="4"/>
    </row>
    <row r="449" ht="14.25" customHeight="1">
      <c r="A449" s="1" t="s">
        <v>446</v>
      </c>
      <c r="B449" s="1">
        <v>135.0</v>
      </c>
      <c r="C449" s="1">
        <v>7.6081498E7</v>
      </c>
      <c r="D449" s="1" t="s">
        <v>1114</v>
      </c>
      <c r="E449" s="1" t="s">
        <v>1028</v>
      </c>
      <c r="F449" s="1" t="s">
        <v>1115</v>
      </c>
      <c r="G449" s="1">
        <v>76099.0</v>
      </c>
      <c r="H449" s="1">
        <v>162.0</v>
      </c>
      <c r="I449" s="1" t="s">
        <v>16</v>
      </c>
      <c r="J449" s="1">
        <v>7.5E7</v>
      </c>
      <c r="K449" s="1">
        <v>1997.0</v>
      </c>
      <c r="L449" s="1">
        <v>6.7</v>
      </c>
      <c r="O449" s="3"/>
      <c r="S449" s="4"/>
    </row>
    <row r="450" ht="14.25" customHeight="1">
      <c r="A450" s="1" t="s">
        <v>218</v>
      </c>
      <c r="B450" s="1">
        <v>134.0</v>
      </c>
      <c r="C450" s="1">
        <v>8.5707116E7</v>
      </c>
      <c r="D450" s="1" t="s">
        <v>611</v>
      </c>
      <c r="E450" s="1" t="s">
        <v>293</v>
      </c>
      <c r="F450" s="1" t="s">
        <v>1116</v>
      </c>
      <c r="G450" s="1">
        <v>303185.0</v>
      </c>
      <c r="H450" s="1">
        <v>701.0</v>
      </c>
      <c r="I450" s="1" t="s">
        <v>16</v>
      </c>
      <c r="J450" s="1">
        <v>6.8E7</v>
      </c>
      <c r="K450" s="1">
        <v>2014.0</v>
      </c>
      <c r="L450" s="1">
        <v>7.6</v>
      </c>
      <c r="O450" s="3"/>
      <c r="S450" s="4"/>
    </row>
    <row r="451" ht="14.25" customHeight="1">
      <c r="A451" s="1" t="s">
        <v>1117</v>
      </c>
      <c r="B451" s="1">
        <v>98.0</v>
      </c>
      <c r="C451" s="1">
        <v>7.4329966E7</v>
      </c>
      <c r="D451" s="1" t="s">
        <v>1118</v>
      </c>
      <c r="E451" s="1" t="s">
        <v>169</v>
      </c>
      <c r="F451" s="1" t="s">
        <v>1119</v>
      </c>
      <c r="G451" s="1">
        <v>60910.0</v>
      </c>
      <c r="H451" s="1">
        <v>164.0</v>
      </c>
      <c r="I451" s="1" t="s">
        <v>16</v>
      </c>
      <c r="J451" s="1">
        <v>7.0E7</v>
      </c>
      <c r="K451" s="1">
        <v>1998.0</v>
      </c>
      <c r="L451" s="1">
        <v>5.7</v>
      </c>
      <c r="O451" s="3"/>
      <c r="S451" s="4"/>
    </row>
    <row r="452" ht="14.25" customHeight="1">
      <c r="A452" s="1" t="s">
        <v>1120</v>
      </c>
      <c r="B452" s="1">
        <v>80.0</v>
      </c>
      <c r="C452" s="1">
        <v>1.00169068E8</v>
      </c>
      <c r="D452" s="1" t="s">
        <v>200</v>
      </c>
      <c r="E452" s="1" t="s">
        <v>309</v>
      </c>
      <c r="F452" s="1" t="s">
        <v>1121</v>
      </c>
      <c r="G452" s="1">
        <v>16385.0</v>
      </c>
      <c r="H452" s="1">
        <v>100.0</v>
      </c>
      <c r="I452" s="1" t="s">
        <v>16</v>
      </c>
      <c r="J452" s="1">
        <v>8.0E7</v>
      </c>
      <c r="K452" s="1">
        <v>2010.0</v>
      </c>
      <c r="L452" s="1">
        <v>4.6</v>
      </c>
      <c r="O452" s="3"/>
      <c r="S452" s="4"/>
    </row>
    <row r="453" ht="14.25" customHeight="1">
      <c r="A453" s="1" t="s">
        <v>1122</v>
      </c>
      <c r="B453" s="1">
        <v>83.0</v>
      </c>
      <c r="C453" s="1">
        <v>7.321531E7</v>
      </c>
      <c r="D453" s="1" t="s">
        <v>1123</v>
      </c>
      <c r="E453" s="1" t="s">
        <v>486</v>
      </c>
      <c r="F453" s="1" t="s">
        <v>1124</v>
      </c>
      <c r="G453" s="1">
        <v>44143.0</v>
      </c>
      <c r="H453" s="1">
        <v>216.0</v>
      </c>
      <c r="I453" s="1" t="s">
        <v>16</v>
      </c>
      <c r="J453" s="1">
        <v>8.0E7</v>
      </c>
      <c r="K453" s="1">
        <v>2002.0</v>
      </c>
      <c r="L453" s="1">
        <v>7.0</v>
      </c>
      <c r="O453" s="3"/>
      <c r="S453" s="4"/>
    </row>
    <row r="454" ht="14.25" customHeight="1">
      <c r="A454" s="1" t="s">
        <v>677</v>
      </c>
      <c r="B454" s="1">
        <v>102.0</v>
      </c>
      <c r="C454" s="1">
        <v>8.0360866E7</v>
      </c>
      <c r="D454" s="1" t="s">
        <v>1125</v>
      </c>
      <c r="E454" s="1" t="s">
        <v>798</v>
      </c>
      <c r="F454" s="1" t="s">
        <v>1126</v>
      </c>
      <c r="G454" s="1">
        <v>44662.0</v>
      </c>
      <c r="H454" s="1">
        <v>127.0</v>
      </c>
      <c r="I454" s="1" t="s">
        <v>16</v>
      </c>
      <c r="J454" s="1">
        <v>8.0E7</v>
      </c>
      <c r="K454" s="1">
        <v>2011.0</v>
      </c>
      <c r="L454" s="1">
        <v>5.2</v>
      </c>
      <c r="O454" s="3"/>
      <c r="S454" s="4"/>
    </row>
    <row r="455" ht="14.25" customHeight="1">
      <c r="A455" s="1" t="s">
        <v>1127</v>
      </c>
      <c r="B455" s="1">
        <v>130.0</v>
      </c>
      <c r="C455" s="1">
        <v>6.910291E7</v>
      </c>
      <c r="D455" s="1" t="s">
        <v>1128</v>
      </c>
      <c r="E455" s="1" t="s">
        <v>249</v>
      </c>
      <c r="F455" s="1" t="s">
        <v>1129</v>
      </c>
      <c r="G455" s="1">
        <v>58402.0</v>
      </c>
      <c r="H455" s="1">
        <v>370.0</v>
      </c>
      <c r="I455" s="1" t="s">
        <v>16</v>
      </c>
      <c r="J455" s="1">
        <v>8.0E7</v>
      </c>
      <c r="K455" s="1">
        <v>1998.0</v>
      </c>
      <c r="L455" s="1">
        <v>5.1</v>
      </c>
      <c r="O455" s="3"/>
      <c r="S455" s="4"/>
    </row>
    <row r="456" ht="14.25" customHeight="1">
      <c r="A456" s="1" t="s">
        <v>1130</v>
      </c>
      <c r="B456" s="1">
        <v>129.0</v>
      </c>
      <c r="C456" s="1">
        <v>6.5948711E7</v>
      </c>
      <c r="D456" s="1" t="s">
        <v>932</v>
      </c>
      <c r="E456" s="1" t="s">
        <v>717</v>
      </c>
      <c r="F456" s="1" t="s">
        <v>1131</v>
      </c>
      <c r="G456" s="1">
        <v>86422.0</v>
      </c>
      <c r="H456" s="1">
        <v>363.0</v>
      </c>
      <c r="I456" s="1" t="s">
        <v>16</v>
      </c>
      <c r="J456" s="1">
        <v>8.0E7</v>
      </c>
      <c r="K456" s="1">
        <v>2004.0</v>
      </c>
      <c r="L456" s="1">
        <v>6.6</v>
      </c>
      <c r="O456" s="3"/>
      <c r="S456" s="4"/>
    </row>
    <row r="457" ht="14.25" customHeight="1">
      <c r="A457" s="1" t="s">
        <v>985</v>
      </c>
      <c r="B457" s="1">
        <v>89.0</v>
      </c>
      <c r="C457" s="1">
        <v>1.69692572E8</v>
      </c>
      <c r="D457" s="1" t="s">
        <v>337</v>
      </c>
      <c r="E457" s="1" t="s">
        <v>119</v>
      </c>
      <c r="F457" s="1" t="s">
        <v>1132</v>
      </c>
      <c r="G457" s="1">
        <v>56501.0</v>
      </c>
      <c r="H457" s="1">
        <v>97.0</v>
      </c>
      <c r="I457" s="1" t="s">
        <v>16</v>
      </c>
      <c r="J457" s="1">
        <v>8.0E7</v>
      </c>
      <c r="K457" s="1">
        <v>2015.0</v>
      </c>
      <c r="L457" s="1">
        <v>6.7</v>
      </c>
      <c r="O457" s="3"/>
      <c r="S457" s="4"/>
    </row>
    <row r="458" ht="14.25" customHeight="1">
      <c r="A458" s="1" t="s">
        <v>1133</v>
      </c>
      <c r="B458" s="1">
        <v>74.0</v>
      </c>
      <c r="C458" s="1">
        <v>6.0507228E7</v>
      </c>
      <c r="D458" s="1" t="s">
        <v>1134</v>
      </c>
      <c r="E458" s="1" t="s">
        <v>1135</v>
      </c>
      <c r="F458" s="1" t="s">
        <v>1136</v>
      </c>
      <c r="G458" s="1">
        <v>27543.0</v>
      </c>
      <c r="H458" s="1">
        <v>186.0</v>
      </c>
      <c r="I458" s="1" t="s">
        <v>16</v>
      </c>
      <c r="J458" s="1">
        <v>8.0E7</v>
      </c>
      <c r="K458" s="1">
        <v>1999.0</v>
      </c>
      <c r="L458" s="1">
        <v>7.3</v>
      </c>
      <c r="O458" s="3"/>
      <c r="S458" s="4"/>
    </row>
    <row r="459" ht="14.25" customHeight="1">
      <c r="A459" s="1" t="s">
        <v>394</v>
      </c>
      <c r="B459" s="1">
        <v>96.0</v>
      </c>
      <c r="C459" s="1">
        <v>5.6684819E7</v>
      </c>
      <c r="D459" s="1" t="s">
        <v>30</v>
      </c>
      <c r="E459" s="1" t="s">
        <v>82</v>
      </c>
      <c r="F459" s="1" t="s">
        <v>1137</v>
      </c>
      <c r="G459" s="1">
        <v>103787.0</v>
      </c>
      <c r="H459" s="1">
        <v>615.0</v>
      </c>
      <c r="I459" s="1" t="s">
        <v>16</v>
      </c>
      <c r="J459" s="1">
        <v>8.0E7</v>
      </c>
      <c r="K459" s="1">
        <v>2002.0</v>
      </c>
      <c r="L459" s="1">
        <v>5.9</v>
      </c>
      <c r="O459" s="3"/>
      <c r="S459" s="4"/>
    </row>
    <row r="460" ht="14.25" customHeight="1">
      <c r="A460" s="1" t="s">
        <v>796</v>
      </c>
      <c r="B460" s="1">
        <v>114.0</v>
      </c>
      <c r="C460" s="1">
        <v>5.0628009E7</v>
      </c>
      <c r="D460" s="1" t="s">
        <v>1138</v>
      </c>
      <c r="E460" s="1" t="s">
        <v>1139</v>
      </c>
      <c r="F460" s="1" t="s">
        <v>1140</v>
      </c>
      <c r="G460" s="1">
        <v>22955.0</v>
      </c>
      <c r="H460" s="1">
        <v>88.0</v>
      </c>
      <c r="I460" s="1" t="s">
        <v>16</v>
      </c>
      <c r="J460" s="1">
        <v>9.0E7</v>
      </c>
      <c r="K460" s="1">
        <v>1998.0</v>
      </c>
      <c r="L460" s="1">
        <v>5.6</v>
      </c>
      <c r="O460" s="3"/>
      <c r="S460" s="4"/>
    </row>
    <row r="461" ht="14.25" customHeight="1">
      <c r="A461" s="1" t="s">
        <v>702</v>
      </c>
      <c r="B461" s="1">
        <v>99.0</v>
      </c>
      <c r="C461" s="1">
        <v>6.9772969E7</v>
      </c>
      <c r="D461" s="1" t="s">
        <v>146</v>
      </c>
      <c r="E461" s="1" t="s">
        <v>115</v>
      </c>
      <c r="F461" s="1" t="s">
        <v>1141</v>
      </c>
      <c r="G461" s="1">
        <v>155532.0</v>
      </c>
      <c r="H461" s="1">
        <v>543.0</v>
      </c>
      <c r="I461" s="1" t="s">
        <v>16</v>
      </c>
      <c r="J461" s="1">
        <v>8.0E7</v>
      </c>
      <c r="K461" s="1">
        <v>2001.0</v>
      </c>
      <c r="L461" s="1">
        <v>6.5</v>
      </c>
      <c r="O461" s="3"/>
      <c r="S461" s="4"/>
    </row>
    <row r="462" ht="14.25" customHeight="1">
      <c r="A462" s="1" t="s">
        <v>136</v>
      </c>
      <c r="B462" s="1">
        <v>129.0</v>
      </c>
      <c r="C462" s="1">
        <v>4.5356386E7</v>
      </c>
      <c r="D462" s="1" t="s">
        <v>59</v>
      </c>
      <c r="E462" s="1" t="s">
        <v>1142</v>
      </c>
      <c r="F462" s="1" t="s">
        <v>1143</v>
      </c>
      <c r="G462" s="1">
        <v>71574.0</v>
      </c>
      <c r="H462" s="1">
        <v>244.0</v>
      </c>
      <c r="I462" s="1" t="s">
        <v>1144</v>
      </c>
      <c r="J462" s="1">
        <v>7.5E7</v>
      </c>
      <c r="K462" s="1">
        <v>2005.0</v>
      </c>
      <c r="L462" s="1">
        <v>5.9</v>
      </c>
      <c r="O462" s="3"/>
      <c r="S462" s="4"/>
    </row>
    <row r="463" ht="14.25" customHeight="1">
      <c r="A463" s="1" t="s">
        <v>1145</v>
      </c>
      <c r="B463" s="1">
        <v>113.0</v>
      </c>
      <c r="C463" s="1">
        <v>5.5350897E7</v>
      </c>
      <c r="D463" s="1" t="s">
        <v>292</v>
      </c>
      <c r="E463" s="1" t="s">
        <v>346</v>
      </c>
      <c r="F463" s="1" t="s">
        <v>1146</v>
      </c>
      <c r="G463" s="1">
        <v>83560.0</v>
      </c>
      <c r="H463" s="1">
        <v>619.0</v>
      </c>
      <c r="I463" s="1" t="s">
        <v>16</v>
      </c>
      <c r="J463" s="1">
        <v>8.5E7</v>
      </c>
      <c r="K463" s="1">
        <v>1998.0</v>
      </c>
      <c r="L463" s="1">
        <v>7.0</v>
      </c>
      <c r="O463" s="3"/>
      <c r="S463" s="4"/>
    </row>
    <row r="464" ht="14.25" customHeight="1">
      <c r="A464" s="1" t="s">
        <v>1147</v>
      </c>
      <c r="B464" s="1">
        <v>90.0</v>
      </c>
      <c r="C464" s="1">
        <v>3.9442871E7</v>
      </c>
      <c r="D464" s="1" t="s">
        <v>1148</v>
      </c>
      <c r="E464" s="1" t="s">
        <v>923</v>
      </c>
      <c r="F464" s="1" t="s">
        <v>1149</v>
      </c>
      <c r="G464" s="1">
        <v>80639.0</v>
      </c>
      <c r="H464" s="1">
        <v>237.0</v>
      </c>
      <c r="I464" s="1" t="s">
        <v>16</v>
      </c>
      <c r="J464" s="1">
        <v>8.0E7</v>
      </c>
      <c r="K464" s="1">
        <v>2000.0</v>
      </c>
      <c r="L464" s="1">
        <v>5.3</v>
      </c>
      <c r="O464" s="3"/>
      <c r="S464" s="4"/>
    </row>
    <row r="465" ht="14.25" customHeight="1">
      <c r="A465" s="1" t="s">
        <v>1150</v>
      </c>
      <c r="B465" s="1">
        <v>118.0</v>
      </c>
      <c r="C465" s="1">
        <v>3.7899638E7</v>
      </c>
      <c r="D465" s="1" t="s">
        <v>1151</v>
      </c>
      <c r="E465" s="1" t="s">
        <v>486</v>
      </c>
      <c r="F465" s="1" t="s">
        <v>1152</v>
      </c>
      <c r="G465" s="1">
        <v>98472.0</v>
      </c>
      <c r="H465" s="1">
        <v>492.0</v>
      </c>
      <c r="I465" s="1" t="s">
        <v>16</v>
      </c>
      <c r="J465" s="1">
        <v>8.8E7</v>
      </c>
      <c r="K465" s="1">
        <v>2005.0</v>
      </c>
      <c r="L465" s="1">
        <v>5.9</v>
      </c>
      <c r="O465" s="3"/>
      <c r="S465" s="4"/>
    </row>
    <row r="466" ht="14.25" customHeight="1">
      <c r="A466" s="1" t="s">
        <v>111</v>
      </c>
      <c r="B466" s="1">
        <v>106.0</v>
      </c>
      <c r="C466" s="1">
        <v>3.7754208E7</v>
      </c>
      <c r="D466" s="1" t="s">
        <v>797</v>
      </c>
      <c r="E466" s="1" t="s">
        <v>603</v>
      </c>
      <c r="F466" s="1" t="s">
        <v>1153</v>
      </c>
      <c r="G466" s="1">
        <v>172217.0</v>
      </c>
      <c r="H466" s="1">
        <v>405.0</v>
      </c>
      <c r="I466" s="1" t="s">
        <v>16</v>
      </c>
      <c r="J466" s="1">
        <v>7.0E7</v>
      </c>
      <c r="K466" s="1">
        <v>1996.0</v>
      </c>
      <c r="L466" s="1">
        <v>6.3</v>
      </c>
      <c r="O466" s="3"/>
      <c r="S466" s="4"/>
    </row>
    <row r="467" ht="14.25" customHeight="1">
      <c r="A467" s="1" t="s">
        <v>277</v>
      </c>
      <c r="B467" s="1">
        <v>89.0</v>
      </c>
      <c r="C467" s="1">
        <v>3.8542418E7</v>
      </c>
      <c r="D467" s="1" t="s">
        <v>1154</v>
      </c>
      <c r="E467" s="1" t="s">
        <v>415</v>
      </c>
      <c r="F467" s="1" t="s">
        <v>1155</v>
      </c>
      <c r="G467" s="1">
        <v>151424.0</v>
      </c>
      <c r="H467" s="1">
        <v>252.0</v>
      </c>
      <c r="I467" s="1" t="s">
        <v>16</v>
      </c>
      <c r="J467" s="1">
        <v>8.0E7</v>
      </c>
      <c r="K467" s="1">
        <v>2009.0</v>
      </c>
      <c r="L467" s="1">
        <v>6.3</v>
      </c>
      <c r="O467" s="3"/>
      <c r="S467" s="4"/>
    </row>
    <row r="468" ht="14.25" customHeight="1">
      <c r="A468" s="1" t="s">
        <v>620</v>
      </c>
      <c r="B468" s="1">
        <v>145.0</v>
      </c>
      <c r="C468" s="1">
        <v>3.4566746E7</v>
      </c>
      <c r="D468" s="1" t="s">
        <v>1156</v>
      </c>
      <c r="E468" s="1" t="s">
        <v>1157</v>
      </c>
      <c r="F468" s="1" t="s">
        <v>1158</v>
      </c>
      <c r="G468" s="1">
        <v>45231.0</v>
      </c>
      <c r="H468" s="1">
        <v>315.0</v>
      </c>
      <c r="I468" s="1" t="s">
        <v>16</v>
      </c>
      <c r="J468" s="1">
        <v>8.0E7</v>
      </c>
      <c r="K468" s="1">
        <v>2000.0</v>
      </c>
      <c r="L468" s="1">
        <v>7.3</v>
      </c>
      <c r="O468" s="3"/>
      <c r="S468" s="4"/>
    </row>
    <row r="469" ht="14.25" customHeight="1">
      <c r="A469" s="1" t="s">
        <v>214</v>
      </c>
      <c r="B469" s="1">
        <v>114.0</v>
      </c>
      <c r="C469" s="1">
        <v>3.2885565E7</v>
      </c>
      <c r="D469" s="1" t="s">
        <v>304</v>
      </c>
      <c r="E469" s="1" t="s">
        <v>1061</v>
      </c>
      <c r="F469" s="1" t="s">
        <v>1159</v>
      </c>
      <c r="G469" s="1">
        <v>53132.0</v>
      </c>
      <c r="H469" s="1">
        <v>101.0</v>
      </c>
      <c r="I469" s="1" t="s">
        <v>16</v>
      </c>
      <c r="J469" s="1">
        <v>8.0E7</v>
      </c>
      <c r="K469" s="1">
        <v>1996.0</v>
      </c>
      <c r="L469" s="1">
        <v>5.8</v>
      </c>
      <c r="O469" s="3"/>
      <c r="S469" s="4"/>
    </row>
    <row r="470" ht="14.25" customHeight="1">
      <c r="A470" s="1" t="s">
        <v>1160</v>
      </c>
      <c r="B470" s="1">
        <v>87.0</v>
      </c>
      <c r="C470" s="1">
        <v>3.6073232E7</v>
      </c>
      <c r="D470" s="1" t="s">
        <v>1161</v>
      </c>
      <c r="E470" s="1" t="s">
        <v>1162</v>
      </c>
      <c r="F470" s="1" t="s">
        <v>1163</v>
      </c>
      <c r="G470" s="1">
        <v>8913.0</v>
      </c>
      <c r="H470" s="1">
        <v>66.0</v>
      </c>
      <c r="I470" s="1" t="s">
        <v>16</v>
      </c>
      <c r="J470" s="1">
        <v>8.0E7</v>
      </c>
      <c r="K470" s="1">
        <v>2013.0</v>
      </c>
      <c r="L470" s="1">
        <v>5.2</v>
      </c>
      <c r="O470" s="3"/>
      <c r="S470" s="4"/>
    </row>
    <row r="471" ht="14.25" customHeight="1">
      <c r="A471" s="1" t="s">
        <v>1164</v>
      </c>
      <c r="B471" s="1">
        <v>119.0</v>
      </c>
      <c r="C471" s="1">
        <v>2.1471685E7</v>
      </c>
      <c r="D471" s="1" t="s">
        <v>30</v>
      </c>
      <c r="E471" s="1" t="s">
        <v>1165</v>
      </c>
      <c r="F471" s="1" t="s">
        <v>1166</v>
      </c>
      <c r="G471" s="1">
        <v>65464.0</v>
      </c>
      <c r="H471" s="1">
        <v>1308.0</v>
      </c>
      <c r="I471" s="1" t="s">
        <v>16</v>
      </c>
      <c r="J471" s="1">
        <v>4.4E7</v>
      </c>
      <c r="K471" s="1">
        <v>2000.0</v>
      </c>
      <c r="L471" s="1">
        <v>2.4</v>
      </c>
      <c r="O471" s="3"/>
      <c r="S471" s="4"/>
    </row>
    <row r="472" ht="14.25" customHeight="1">
      <c r="A472" s="1" t="s">
        <v>1167</v>
      </c>
      <c r="B472" s="1">
        <v>91.0</v>
      </c>
      <c r="C472" s="1">
        <v>2.095082E7</v>
      </c>
      <c r="D472" s="1" t="s">
        <v>495</v>
      </c>
      <c r="E472" s="1" t="s">
        <v>1168</v>
      </c>
      <c r="F472" s="1" t="s">
        <v>1169</v>
      </c>
      <c r="G472" s="1">
        <v>24183.0</v>
      </c>
      <c r="H472" s="1">
        <v>160.0</v>
      </c>
      <c r="I472" s="1" t="s">
        <v>16</v>
      </c>
      <c r="J472" s="1">
        <v>8.0E7</v>
      </c>
      <c r="K472" s="1">
        <v>2003.0</v>
      </c>
      <c r="L472" s="1">
        <v>5.7</v>
      </c>
      <c r="O472" s="3"/>
      <c r="S472" s="4"/>
    </row>
    <row r="473" ht="14.25" customHeight="1">
      <c r="A473" s="1" t="s">
        <v>67</v>
      </c>
      <c r="B473" s="1">
        <v>118.0</v>
      </c>
      <c r="C473" s="1">
        <v>1.9673424E7</v>
      </c>
      <c r="D473" s="1" t="s">
        <v>1170</v>
      </c>
      <c r="E473" s="1" t="s">
        <v>1171</v>
      </c>
      <c r="F473" s="1" t="s">
        <v>1172</v>
      </c>
      <c r="G473" s="1">
        <v>37446.0</v>
      </c>
      <c r="H473" s="1">
        <v>232.0</v>
      </c>
      <c r="I473" s="1" t="s">
        <v>16</v>
      </c>
      <c r="J473" s="1">
        <v>8.0E7</v>
      </c>
      <c r="K473" s="1">
        <v>2009.0</v>
      </c>
      <c r="L473" s="1">
        <v>5.8</v>
      </c>
      <c r="O473" s="3"/>
      <c r="S473" s="4"/>
    </row>
    <row r="474" ht="14.25" customHeight="1">
      <c r="A474" s="1" t="s">
        <v>446</v>
      </c>
      <c r="B474" s="1">
        <v>116.0</v>
      </c>
      <c r="C474" s="1">
        <v>1.9480739E7</v>
      </c>
      <c r="D474" s="1" t="s">
        <v>30</v>
      </c>
      <c r="E474" s="1" t="s">
        <v>289</v>
      </c>
      <c r="F474" s="1" t="s">
        <v>1173</v>
      </c>
      <c r="G474" s="1">
        <v>53057.0</v>
      </c>
      <c r="H474" s="1">
        <v>457.0</v>
      </c>
      <c r="I474" s="1" t="s">
        <v>16</v>
      </c>
      <c r="J474" s="1">
        <v>8.0E7</v>
      </c>
      <c r="K474" s="1">
        <v>2003.0</v>
      </c>
      <c r="L474" s="1">
        <v>5.6</v>
      </c>
      <c r="O474" s="3"/>
      <c r="S474" s="4"/>
    </row>
    <row r="475" ht="14.25" customHeight="1">
      <c r="A475" s="1" t="s">
        <v>1174</v>
      </c>
      <c r="B475" s="1">
        <v>177.0</v>
      </c>
      <c r="C475" s="1">
        <v>1.7593391E7</v>
      </c>
      <c r="D475" s="1" t="s">
        <v>248</v>
      </c>
      <c r="E475" s="1" t="s">
        <v>1175</v>
      </c>
      <c r="F475" s="1" t="s">
        <v>1176</v>
      </c>
      <c r="G475" s="1">
        <v>56403.0</v>
      </c>
      <c r="H475" s="1">
        <v>376.0</v>
      </c>
      <c r="I475" s="1" t="s">
        <v>16</v>
      </c>
      <c r="J475" s="1">
        <v>8.0E7</v>
      </c>
      <c r="K475" s="1">
        <v>1997.0</v>
      </c>
      <c r="L475" s="1">
        <v>6.0</v>
      </c>
      <c r="O475" s="3"/>
      <c r="S475" s="4"/>
    </row>
    <row r="476" ht="14.25" customHeight="1">
      <c r="A476" s="1" t="s">
        <v>359</v>
      </c>
      <c r="B476" s="1">
        <v>97.0</v>
      </c>
      <c r="C476" s="1">
        <v>1.8318E7</v>
      </c>
      <c r="D476" s="1" t="s">
        <v>1027</v>
      </c>
      <c r="E476" s="1" t="s">
        <v>1177</v>
      </c>
      <c r="F476" s="1" t="s">
        <v>1178</v>
      </c>
      <c r="G476" s="1">
        <v>24868.0</v>
      </c>
      <c r="H476" s="1">
        <v>216.0</v>
      </c>
      <c r="I476" s="1" t="s">
        <v>16</v>
      </c>
      <c r="J476" s="1">
        <v>8.0E7</v>
      </c>
      <c r="K476" s="1">
        <v>1998.0</v>
      </c>
      <c r="L476" s="1">
        <v>5.8</v>
      </c>
      <c r="O476" s="3"/>
      <c r="S476" s="4"/>
    </row>
    <row r="477" ht="14.25" customHeight="1">
      <c r="A477" s="1" t="s">
        <v>453</v>
      </c>
      <c r="B477" s="1">
        <v>106.0</v>
      </c>
      <c r="C477" s="1">
        <v>2.735609E7</v>
      </c>
      <c r="D477" s="1" t="s">
        <v>18</v>
      </c>
      <c r="E477" s="1" t="s">
        <v>584</v>
      </c>
      <c r="F477" s="1" t="s">
        <v>1179</v>
      </c>
      <c r="G477" s="1">
        <v>58752.0</v>
      </c>
      <c r="H477" s="1">
        <v>117.0</v>
      </c>
      <c r="I477" s="1" t="s">
        <v>16</v>
      </c>
      <c r="J477" s="1">
        <v>9.0E7</v>
      </c>
      <c r="K477" s="1">
        <v>2015.0</v>
      </c>
      <c r="L477" s="1">
        <v>6.0</v>
      </c>
      <c r="O477" s="3"/>
      <c r="S477" s="4"/>
    </row>
    <row r="478" ht="14.25" customHeight="1">
      <c r="A478" s="1" t="s">
        <v>1180</v>
      </c>
      <c r="B478" s="1">
        <v>106.0</v>
      </c>
      <c r="C478" s="1">
        <v>1.7473245E7</v>
      </c>
      <c r="D478" s="1" t="s">
        <v>1154</v>
      </c>
      <c r="E478" s="1" t="s">
        <v>1181</v>
      </c>
      <c r="F478" s="1" t="s">
        <v>1182</v>
      </c>
      <c r="G478" s="1">
        <v>47612.0</v>
      </c>
      <c r="H478" s="1">
        <v>348.0</v>
      </c>
      <c r="I478" s="1" t="s">
        <v>16</v>
      </c>
      <c r="J478" s="1">
        <v>7.0E7</v>
      </c>
      <c r="K478" s="1">
        <v>2000.0</v>
      </c>
      <c r="L478" s="1">
        <v>5.7</v>
      </c>
      <c r="O478" s="3"/>
      <c r="S478" s="4"/>
    </row>
    <row r="479" ht="14.25" customHeight="1">
      <c r="A479" s="1" t="s">
        <v>830</v>
      </c>
      <c r="B479" s="1">
        <v>94.0</v>
      </c>
      <c r="C479" s="1">
        <v>1.513133E7</v>
      </c>
      <c r="D479" s="1" t="s">
        <v>270</v>
      </c>
      <c r="E479" s="1" t="s">
        <v>1183</v>
      </c>
      <c r="F479" s="1" t="s">
        <v>1184</v>
      </c>
      <c r="G479" s="1">
        <v>25843.0</v>
      </c>
      <c r="H479" s="1">
        <v>64.0</v>
      </c>
      <c r="I479" s="1" t="s">
        <v>16</v>
      </c>
      <c r="J479" s="1">
        <v>8.6E7</v>
      </c>
      <c r="K479" s="1">
        <v>2006.0</v>
      </c>
      <c r="L479" s="1">
        <v>6.0</v>
      </c>
      <c r="O479" s="3"/>
      <c r="S479" s="4"/>
    </row>
    <row r="480" ht="14.25" customHeight="1">
      <c r="A480" s="1" t="s">
        <v>1185</v>
      </c>
      <c r="B480" s="1">
        <v>104.0</v>
      </c>
      <c r="C480" s="1">
        <v>1.9406406E7</v>
      </c>
      <c r="D480" s="1" t="s">
        <v>1186</v>
      </c>
      <c r="E480" s="1" t="s">
        <v>1187</v>
      </c>
      <c r="F480" s="1" t="s">
        <v>1188</v>
      </c>
      <c r="G480" s="1">
        <v>7630.0</v>
      </c>
      <c r="H480" s="1">
        <v>42.0</v>
      </c>
      <c r="I480" s="1" t="s">
        <v>1189</v>
      </c>
      <c r="J480" s="1">
        <v>4.0E7</v>
      </c>
      <c r="K480" s="1">
        <v>2009.0</v>
      </c>
      <c r="L480" s="1">
        <v>7.8</v>
      </c>
      <c r="O480" s="3"/>
      <c r="S480" s="4"/>
    </row>
    <row r="481" ht="14.25" customHeight="1">
      <c r="A481" s="1" t="s">
        <v>758</v>
      </c>
      <c r="B481" s="1">
        <v>102.0</v>
      </c>
      <c r="C481" s="1">
        <v>1891821.0</v>
      </c>
      <c r="D481" s="1" t="s">
        <v>149</v>
      </c>
      <c r="E481" s="1" t="s">
        <v>1190</v>
      </c>
      <c r="F481" s="1" t="s">
        <v>1191</v>
      </c>
      <c r="G481" s="1">
        <v>16474.0</v>
      </c>
      <c r="H481" s="1">
        <v>301.0</v>
      </c>
      <c r="I481" s="1" t="s">
        <v>16</v>
      </c>
      <c r="J481" s="1">
        <v>5.2E7</v>
      </c>
      <c r="K481" s="1">
        <v>2005.0</v>
      </c>
      <c r="L481" s="1">
        <v>4.2</v>
      </c>
      <c r="O481" s="3"/>
      <c r="S481" s="4"/>
    </row>
    <row r="482" ht="14.25" customHeight="1">
      <c r="A482" s="1" t="s">
        <v>983</v>
      </c>
      <c r="B482" s="1">
        <v>105.0</v>
      </c>
      <c r="C482" s="1">
        <v>2.3219748E7</v>
      </c>
      <c r="D482" s="1" t="s">
        <v>1192</v>
      </c>
      <c r="E482" s="1" t="s">
        <v>1193</v>
      </c>
      <c r="F482" s="1" t="s">
        <v>1194</v>
      </c>
      <c r="G482" s="1">
        <v>84508.0</v>
      </c>
      <c r="H482" s="1">
        <v>308.0</v>
      </c>
      <c r="I482" s="1" t="s">
        <v>16</v>
      </c>
      <c r="J482" s="1">
        <v>8.0E7</v>
      </c>
      <c r="K482" s="1">
        <v>2014.0</v>
      </c>
      <c r="L482" s="1">
        <v>5.6</v>
      </c>
      <c r="O482" s="3"/>
      <c r="S482" s="4"/>
    </row>
    <row r="483" ht="14.25" customHeight="1">
      <c r="A483" s="1" t="s">
        <v>361</v>
      </c>
      <c r="B483" s="1">
        <v>135.0</v>
      </c>
      <c r="C483" s="1">
        <v>1.70708996E8</v>
      </c>
      <c r="D483" s="1" t="s">
        <v>646</v>
      </c>
      <c r="E483" s="1" t="s">
        <v>1177</v>
      </c>
      <c r="F483" s="1" t="s">
        <v>1195</v>
      </c>
      <c r="G483" s="1">
        <v>610568.0</v>
      </c>
      <c r="H483" s="1">
        <v>1171.0</v>
      </c>
      <c r="I483" s="1" t="s">
        <v>16</v>
      </c>
      <c r="J483" s="1">
        <v>5.8E7</v>
      </c>
      <c r="K483" s="1">
        <v>2001.0</v>
      </c>
      <c r="L483" s="1">
        <v>8.2</v>
      </c>
      <c r="O483" s="3"/>
      <c r="S483" s="4"/>
    </row>
    <row r="484" ht="14.25" customHeight="1">
      <c r="A484" s="1" t="s">
        <v>1004</v>
      </c>
      <c r="B484" s="1">
        <v>73.0</v>
      </c>
      <c r="C484" s="1">
        <v>4.22783777E8</v>
      </c>
      <c r="D484" s="1" t="s">
        <v>1196</v>
      </c>
      <c r="E484" s="1" t="s">
        <v>383</v>
      </c>
      <c r="F484" s="1" t="s">
        <v>1197</v>
      </c>
      <c r="G484" s="1">
        <v>644348.0</v>
      </c>
      <c r="H484" s="1">
        <v>656.0</v>
      </c>
      <c r="I484" s="1" t="s">
        <v>16</v>
      </c>
      <c r="J484" s="1">
        <v>4.5E7</v>
      </c>
      <c r="K484" s="1">
        <v>1994.0</v>
      </c>
      <c r="L484" s="1">
        <v>8.5</v>
      </c>
      <c r="O484" s="3"/>
      <c r="S484" s="4"/>
    </row>
    <row r="485" ht="14.25" customHeight="1">
      <c r="A485" s="1" t="s">
        <v>631</v>
      </c>
      <c r="B485" s="1">
        <v>94.0</v>
      </c>
      <c r="C485" s="1">
        <v>1.03812241E8</v>
      </c>
      <c r="D485" s="1" t="s">
        <v>70</v>
      </c>
      <c r="E485" s="1" t="s">
        <v>753</v>
      </c>
      <c r="F485" s="1" t="s">
        <v>1198</v>
      </c>
      <c r="G485" s="1">
        <v>67296.0</v>
      </c>
      <c r="H485" s="1">
        <v>133.0</v>
      </c>
      <c r="I485" s="1" t="s">
        <v>16</v>
      </c>
      <c r="J485" s="1">
        <v>7.9E7</v>
      </c>
      <c r="K485" s="1">
        <v>2012.0</v>
      </c>
      <c r="L485" s="1">
        <v>5.8</v>
      </c>
      <c r="O485" s="3"/>
      <c r="S485" s="4"/>
    </row>
    <row r="486" ht="14.25" customHeight="1">
      <c r="A486" s="1" t="s">
        <v>1199</v>
      </c>
      <c r="B486" s="1">
        <v>95.0</v>
      </c>
      <c r="C486" s="1">
        <v>1.19793567E8</v>
      </c>
      <c r="D486" s="1" t="s">
        <v>1200</v>
      </c>
      <c r="E486" s="1" t="s">
        <v>890</v>
      </c>
      <c r="F486" s="1" t="s">
        <v>1201</v>
      </c>
      <c r="G486" s="1">
        <v>64387.0</v>
      </c>
      <c r="H486" s="1">
        <v>85.0</v>
      </c>
      <c r="I486" s="1" t="s">
        <v>16</v>
      </c>
      <c r="J486" s="1">
        <v>7.8E7</v>
      </c>
      <c r="K486" s="1">
        <v>2013.0</v>
      </c>
      <c r="L486" s="1">
        <v>6.5</v>
      </c>
      <c r="O486" s="3"/>
      <c r="S486" s="4"/>
    </row>
    <row r="487" ht="14.25" customHeight="1">
      <c r="A487" s="1" t="s">
        <v>113</v>
      </c>
      <c r="B487" s="1">
        <v>124.0</v>
      </c>
      <c r="C487" s="1">
        <v>9.2930005E7</v>
      </c>
      <c r="D487" s="1" t="s">
        <v>901</v>
      </c>
      <c r="E487" s="1" t="s">
        <v>390</v>
      </c>
      <c r="F487" s="1" t="s">
        <v>1202</v>
      </c>
      <c r="G487" s="1">
        <v>204063.0</v>
      </c>
      <c r="H487" s="1">
        <v>764.0</v>
      </c>
      <c r="I487" s="1" t="s">
        <v>16</v>
      </c>
      <c r="J487" s="1">
        <v>7.8E7</v>
      </c>
      <c r="K487" s="1">
        <v>2002.0</v>
      </c>
      <c r="L487" s="1">
        <v>7.2</v>
      </c>
      <c r="O487" s="3"/>
      <c r="S487" s="4"/>
    </row>
    <row r="488" ht="14.25" customHeight="1">
      <c r="A488" s="1" t="s">
        <v>379</v>
      </c>
      <c r="B488" s="1">
        <v>136.0</v>
      </c>
      <c r="C488" s="1">
        <v>6.7286731E7</v>
      </c>
      <c r="D488" s="1" t="s">
        <v>59</v>
      </c>
      <c r="E488" s="1" t="s">
        <v>35</v>
      </c>
      <c r="F488" s="1" t="s">
        <v>1203</v>
      </c>
      <c r="G488" s="1">
        <v>67856.0</v>
      </c>
      <c r="H488" s="1">
        <v>345.0</v>
      </c>
      <c r="I488" s="1" t="s">
        <v>16</v>
      </c>
      <c r="J488" s="1">
        <v>1.0E8</v>
      </c>
      <c r="K488" s="1">
        <v>2004.0</v>
      </c>
      <c r="L488" s="1">
        <v>6.7</v>
      </c>
      <c r="O488" s="3"/>
      <c r="S488" s="4"/>
    </row>
    <row r="489" ht="14.25" customHeight="1">
      <c r="A489" s="1" t="s">
        <v>922</v>
      </c>
      <c r="B489" s="1">
        <v>91.0</v>
      </c>
      <c r="C489" s="1">
        <v>7.4158157E7</v>
      </c>
      <c r="D489" s="1" t="s">
        <v>828</v>
      </c>
      <c r="E489" s="1" t="s">
        <v>1002</v>
      </c>
      <c r="F489" s="1" t="s">
        <v>1204</v>
      </c>
      <c r="G489" s="1">
        <v>60370.0</v>
      </c>
      <c r="H489" s="1">
        <v>264.0</v>
      </c>
      <c r="I489" s="1" t="s">
        <v>16</v>
      </c>
      <c r="J489" s="1">
        <v>7.9E7</v>
      </c>
      <c r="K489" s="1">
        <v>2011.0</v>
      </c>
      <c r="L489" s="1">
        <v>3.4</v>
      </c>
      <c r="O489" s="3"/>
      <c r="S489" s="4"/>
    </row>
    <row r="490" ht="14.25" customHeight="1">
      <c r="A490" s="1" t="s">
        <v>1205</v>
      </c>
      <c r="B490" s="1">
        <v>107.0</v>
      </c>
      <c r="C490" s="1">
        <v>1.27083765E8</v>
      </c>
      <c r="D490" s="1" t="s">
        <v>146</v>
      </c>
      <c r="E490" s="1" t="s">
        <v>289</v>
      </c>
      <c r="F490" s="1" t="s">
        <v>1206</v>
      </c>
      <c r="G490" s="1">
        <v>191912.0</v>
      </c>
      <c r="H490" s="1">
        <v>370.0</v>
      </c>
      <c r="I490" s="1" t="s">
        <v>16</v>
      </c>
      <c r="J490" s="1">
        <v>7.6E7</v>
      </c>
      <c r="K490" s="1">
        <v>2003.0</v>
      </c>
      <c r="L490" s="1">
        <v>5.9</v>
      </c>
      <c r="O490" s="3"/>
      <c r="S490" s="4"/>
    </row>
    <row r="491" ht="14.25" customHeight="1">
      <c r="A491" s="1" t="s">
        <v>488</v>
      </c>
      <c r="B491" s="1">
        <v>108.0</v>
      </c>
      <c r="C491" s="1">
        <v>1339152.0</v>
      </c>
      <c r="D491" s="1" t="s">
        <v>1207</v>
      </c>
      <c r="E491" s="1" t="s">
        <v>130</v>
      </c>
      <c r="F491" s="1" t="s">
        <v>1208</v>
      </c>
      <c r="G491" s="1">
        <v>28276.0</v>
      </c>
      <c r="H491" s="1">
        <v>64.0</v>
      </c>
      <c r="I491" s="1" t="s">
        <v>16</v>
      </c>
      <c r="J491" s="1">
        <v>8.12E7</v>
      </c>
      <c r="K491" s="1">
        <v>2015.0</v>
      </c>
      <c r="L491" s="1">
        <v>7.8</v>
      </c>
      <c r="O491" s="3"/>
      <c r="S491" s="4"/>
    </row>
    <row r="492" ht="14.25" customHeight="1">
      <c r="A492" s="1" t="s">
        <v>1209</v>
      </c>
      <c r="B492" s="1">
        <v>99.0</v>
      </c>
      <c r="C492" s="1">
        <v>1.5071514E7</v>
      </c>
      <c r="D492" s="1" t="s">
        <v>1210</v>
      </c>
      <c r="E492" s="1" t="s">
        <v>1109</v>
      </c>
      <c r="F492" s="1" t="s">
        <v>1211</v>
      </c>
      <c r="G492" s="1">
        <v>65037.0</v>
      </c>
      <c r="H492" s="1">
        <v>273.0</v>
      </c>
      <c r="I492" s="1" t="s">
        <v>16</v>
      </c>
      <c r="J492" s="1">
        <v>8.0E7</v>
      </c>
      <c r="K492" s="1">
        <v>2007.0</v>
      </c>
      <c r="L492" s="1">
        <v>5.9</v>
      </c>
      <c r="O492" s="3"/>
      <c r="S492" s="4"/>
    </row>
    <row r="493" ht="14.25" customHeight="1">
      <c r="A493" s="1" t="s">
        <v>1212</v>
      </c>
      <c r="B493" s="1">
        <v>92.0</v>
      </c>
      <c r="C493" s="1">
        <v>2.600061E7</v>
      </c>
      <c r="D493" s="1" t="s">
        <v>118</v>
      </c>
      <c r="E493" s="1" t="s">
        <v>725</v>
      </c>
      <c r="F493" s="1" t="s">
        <v>1213</v>
      </c>
      <c r="G493" s="1">
        <v>16611.0</v>
      </c>
      <c r="H493" s="1">
        <v>197.0</v>
      </c>
      <c r="I493" s="1" t="s">
        <v>16</v>
      </c>
      <c r="J493" s="1">
        <v>7.6E7</v>
      </c>
      <c r="K493" s="1">
        <v>2000.0</v>
      </c>
      <c r="L493" s="1">
        <v>4.1</v>
      </c>
      <c r="O493" s="3"/>
      <c r="S493" s="4"/>
    </row>
    <row r="494" ht="14.25" customHeight="1">
      <c r="A494" s="1" t="s">
        <v>1214</v>
      </c>
      <c r="B494" s="1">
        <v>87.0</v>
      </c>
      <c r="C494" s="1">
        <v>3.2350554E8</v>
      </c>
      <c r="D494" s="1" t="s">
        <v>1215</v>
      </c>
      <c r="E494" s="1" t="s">
        <v>1216</v>
      </c>
      <c r="F494" s="1" t="s">
        <v>1217</v>
      </c>
      <c r="G494" s="1">
        <v>24407.0</v>
      </c>
      <c r="H494" s="1">
        <v>155.0</v>
      </c>
      <c r="I494" s="1" t="s">
        <v>16</v>
      </c>
      <c r="J494" s="1">
        <v>7.5E7</v>
      </c>
      <c r="K494" s="1">
        <v>2016.0</v>
      </c>
      <c r="L494" s="1">
        <v>6.8</v>
      </c>
      <c r="O494" s="3"/>
      <c r="S494" s="4"/>
    </row>
    <row r="495" ht="14.25" customHeight="1">
      <c r="A495" s="1" t="s">
        <v>1218</v>
      </c>
      <c r="B495" s="1">
        <v>110.0</v>
      </c>
      <c r="C495" s="1">
        <v>6.64626E7</v>
      </c>
      <c r="D495" s="1" t="s">
        <v>13</v>
      </c>
      <c r="E495" s="1" t="s">
        <v>1219</v>
      </c>
      <c r="F495" s="1" t="s">
        <v>1220</v>
      </c>
      <c r="G495" s="1">
        <v>141533.0</v>
      </c>
      <c r="H495" s="1">
        <v>786.0</v>
      </c>
      <c r="I495" s="1" t="s">
        <v>16</v>
      </c>
      <c r="J495" s="1">
        <v>7.8E7</v>
      </c>
      <c r="K495" s="1">
        <v>2003.0</v>
      </c>
      <c r="L495" s="1">
        <v>5.8</v>
      </c>
      <c r="O495" s="3"/>
      <c r="S495" s="4"/>
    </row>
    <row r="496" ht="14.25" customHeight="1">
      <c r="A496" s="1" t="s">
        <v>1221</v>
      </c>
      <c r="B496" s="1">
        <v>98.0</v>
      </c>
      <c r="C496" s="1">
        <v>3.68049635E8</v>
      </c>
      <c r="D496" s="1" t="s">
        <v>889</v>
      </c>
      <c r="E496" s="1" t="s">
        <v>1222</v>
      </c>
      <c r="F496" s="1" t="s">
        <v>1223</v>
      </c>
      <c r="G496" s="1">
        <v>286877.0</v>
      </c>
      <c r="H496" s="1">
        <v>284.0</v>
      </c>
      <c r="I496" s="1" t="s">
        <v>16</v>
      </c>
      <c r="J496" s="1">
        <v>7.6E7</v>
      </c>
      <c r="K496" s="1">
        <v>2013.0</v>
      </c>
      <c r="L496" s="1">
        <v>7.5</v>
      </c>
      <c r="O496" s="3"/>
      <c r="S496" s="4"/>
    </row>
    <row r="497" ht="14.25" customHeight="1">
      <c r="A497" s="1" t="s">
        <v>183</v>
      </c>
      <c r="B497" s="1">
        <v>154.0</v>
      </c>
      <c r="C497" s="1">
        <v>3.06124059E8</v>
      </c>
      <c r="D497" s="1" t="s">
        <v>30</v>
      </c>
      <c r="E497" s="1" t="s">
        <v>71</v>
      </c>
      <c r="F497" s="1" t="s">
        <v>1224</v>
      </c>
      <c r="G497" s="1">
        <v>430055.0</v>
      </c>
      <c r="H497" s="1">
        <v>856.0</v>
      </c>
      <c r="I497" s="1" t="s">
        <v>16</v>
      </c>
      <c r="J497" s="1">
        <v>7.5E7</v>
      </c>
      <c r="K497" s="1">
        <v>1996.0</v>
      </c>
      <c r="L497" s="1">
        <v>6.9</v>
      </c>
      <c r="O497" s="3"/>
      <c r="S497" s="4"/>
    </row>
    <row r="498" ht="14.25" customHeight="1">
      <c r="A498" s="1" t="s">
        <v>168</v>
      </c>
      <c r="B498" s="1">
        <v>129.0</v>
      </c>
      <c r="C498" s="1">
        <v>2.29074524E8</v>
      </c>
      <c r="D498" s="1" t="s">
        <v>30</v>
      </c>
      <c r="E498" s="1" t="s">
        <v>1225</v>
      </c>
      <c r="F498" s="1" t="s">
        <v>1226</v>
      </c>
      <c r="G498" s="1">
        <v>278362.0</v>
      </c>
      <c r="H498" s="1">
        <v>552.0</v>
      </c>
      <c r="I498" s="1" t="s">
        <v>16</v>
      </c>
      <c r="J498" s="1">
        <v>7.3E7</v>
      </c>
      <c r="K498" s="1">
        <v>1997.0</v>
      </c>
      <c r="L498" s="1">
        <v>6.5</v>
      </c>
      <c r="O498" s="3"/>
      <c r="S498" s="4"/>
    </row>
    <row r="499" ht="14.25" customHeight="1">
      <c r="A499" s="1" t="s">
        <v>341</v>
      </c>
      <c r="B499" s="1">
        <v>86.0</v>
      </c>
      <c r="C499" s="1">
        <v>1.93136719E8</v>
      </c>
      <c r="D499" s="1" t="s">
        <v>200</v>
      </c>
      <c r="E499" s="1" t="s">
        <v>406</v>
      </c>
      <c r="F499" s="1" t="s">
        <v>1227</v>
      </c>
      <c r="G499" s="1">
        <v>266636.0</v>
      </c>
      <c r="H499" s="1">
        <v>385.0</v>
      </c>
      <c r="I499" s="1" t="s">
        <v>16</v>
      </c>
      <c r="J499" s="1">
        <v>7.5E7</v>
      </c>
      <c r="K499" s="1">
        <v>2005.0</v>
      </c>
      <c r="L499" s="1">
        <v>6.9</v>
      </c>
      <c r="O499" s="3"/>
      <c r="S499" s="4"/>
    </row>
    <row r="500" ht="14.25" customHeight="1">
      <c r="A500" s="1" t="s">
        <v>510</v>
      </c>
      <c r="B500" s="1">
        <v>109.0</v>
      </c>
      <c r="C500" s="1">
        <v>3.5286428E7</v>
      </c>
      <c r="D500" s="1" t="s">
        <v>1112</v>
      </c>
      <c r="E500" s="1" t="s">
        <v>165</v>
      </c>
      <c r="F500" s="1" t="s">
        <v>1228</v>
      </c>
      <c r="G500" s="1">
        <v>361767.0</v>
      </c>
      <c r="H500" s="1">
        <v>1206.0</v>
      </c>
      <c r="I500" s="1" t="s">
        <v>16</v>
      </c>
      <c r="J500" s="1">
        <v>7.6E7</v>
      </c>
      <c r="K500" s="1">
        <v>2006.0</v>
      </c>
      <c r="L500" s="1">
        <v>7.9</v>
      </c>
      <c r="O500" s="3"/>
      <c r="S500" s="4"/>
    </row>
    <row r="501" ht="14.25" customHeight="1">
      <c r="A501" s="1" t="s">
        <v>51</v>
      </c>
      <c r="B501" s="1">
        <v>104.0</v>
      </c>
      <c r="C501" s="1">
        <v>1.57299717E8</v>
      </c>
      <c r="D501" s="1" t="s">
        <v>30</v>
      </c>
      <c r="E501" s="1" t="s">
        <v>115</v>
      </c>
      <c r="F501" s="1" t="s">
        <v>1229</v>
      </c>
      <c r="G501" s="1">
        <v>452928.0</v>
      </c>
      <c r="H501" s="1">
        <v>1401.0</v>
      </c>
      <c r="I501" s="1" t="s">
        <v>16</v>
      </c>
      <c r="J501" s="1">
        <v>7.5E7</v>
      </c>
      <c r="K501" s="1">
        <v>2000.0</v>
      </c>
      <c r="L501" s="1">
        <v>7.4</v>
      </c>
      <c r="O501" s="3"/>
      <c r="S501" s="4"/>
    </row>
    <row r="502" ht="14.25" customHeight="1">
      <c r="A502" s="1" t="s">
        <v>1230</v>
      </c>
      <c r="B502" s="1">
        <v>110.0</v>
      </c>
      <c r="C502" s="1">
        <v>1.34568845E8</v>
      </c>
      <c r="D502" s="1" t="s">
        <v>1231</v>
      </c>
      <c r="E502" s="1" t="s">
        <v>245</v>
      </c>
      <c r="F502" s="1" t="s">
        <v>1232</v>
      </c>
      <c r="G502" s="1">
        <v>299852.0</v>
      </c>
      <c r="H502" s="1">
        <v>713.0</v>
      </c>
      <c r="I502" s="1" t="s">
        <v>16</v>
      </c>
      <c r="J502" s="1">
        <v>7.5E7</v>
      </c>
      <c r="K502" s="1">
        <v>2008.0</v>
      </c>
      <c r="L502" s="1">
        <v>6.7</v>
      </c>
      <c r="O502" s="3"/>
      <c r="S502" s="4"/>
    </row>
    <row r="503" ht="14.25" customHeight="1">
      <c r="A503" s="1" t="s">
        <v>121</v>
      </c>
      <c r="B503" s="1">
        <v>136.0</v>
      </c>
      <c r="C503" s="1">
        <v>1.34006721E8</v>
      </c>
      <c r="D503" s="1" t="s">
        <v>22</v>
      </c>
      <c r="E503" s="1" t="s">
        <v>301</v>
      </c>
      <c r="F503" s="1" t="s">
        <v>1233</v>
      </c>
      <c r="G503" s="1">
        <v>259492.0</v>
      </c>
      <c r="H503" s="1">
        <v>415.0</v>
      </c>
      <c r="I503" s="1" t="s">
        <v>16</v>
      </c>
      <c r="J503" s="1">
        <v>7.5E7</v>
      </c>
      <c r="K503" s="1">
        <v>1996.0</v>
      </c>
      <c r="L503" s="1">
        <v>7.4</v>
      </c>
      <c r="O503" s="3"/>
      <c r="S503" s="4"/>
    </row>
    <row r="504" ht="14.25" customHeight="1">
      <c r="A504" s="1" t="s">
        <v>532</v>
      </c>
      <c r="B504" s="1">
        <v>115.0</v>
      </c>
      <c r="C504" s="1">
        <v>1.95329763E8</v>
      </c>
      <c r="D504" s="1" t="s">
        <v>437</v>
      </c>
      <c r="E504" s="1" t="s">
        <v>892</v>
      </c>
      <c r="F504" s="1" t="s">
        <v>1234</v>
      </c>
      <c r="G504" s="1">
        <v>194249.0</v>
      </c>
      <c r="H504" s="1">
        <v>253.0</v>
      </c>
      <c r="I504" s="1" t="s">
        <v>16</v>
      </c>
      <c r="J504" s="1">
        <v>8.0E7</v>
      </c>
      <c r="K504" s="1">
        <v>2006.0</v>
      </c>
      <c r="L504" s="1">
        <v>6.9</v>
      </c>
      <c r="O504" s="3"/>
      <c r="S504" s="4"/>
    </row>
    <row r="505" ht="14.25" customHeight="1">
      <c r="A505" s="1" t="s">
        <v>1036</v>
      </c>
      <c r="B505" s="1">
        <v>99.0</v>
      </c>
      <c r="C505" s="1">
        <v>1.20776832E8</v>
      </c>
      <c r="D505" s="1" t="s">
        <v>699</v>
      </c>
      <c r="E505" s="1" t="s">
        <v>923</v>
      </c>
      <c r="F505" s="1" t="s">
        <v>1235</v>
      </c>
      <c r="G505" s="1">
        <v>266103.0</v>
      </c>
      <c r="H505" s="1">
        <v>456.0</v>
      </c>
      <c r="I505" s="1" t="s">
        <v>16</v>
      </c>
      <c r="J505" s="1">
        <v>7.5E7</v>
      </c>
      <c r="K505" s="1">
        <v>2004.0</v>
      </c>
      <c r="L505" s="1">
        <v>6.8</v>
      </c>
      <c r="O505" s="3"/>
      <c r="S505" s="4"/>
    </row>
    <row r="506" ht="14.25" customHeight="1">
      <c r="A506" s="1" t="s">
        <v>1087</v>
      </c>
      <c r="B506" s="1">
        <v>117.0</v>
      </c>
      <c r="C506" s="1">
        <v>1.18823091E8</v>
      </c>
      <c r="D506" s="1" t="s">
        <v>1236</v>
      </c>
      <c r="E506" s="1" t="s">
        <v>1237</v>
      </c>
      <c r="F506" s="1" t="s">
        <v>1238</v>
      </c>
      <c r="G506" s="1">
        <v>98693.0</v>
      </c>
      <c r="H506" s="1">
        <v>401.0</v>
      </c>
      <c r="I506" s="1" t="s">
        <v>16</v>
      </c>
      <c r="J506" s="1">
        <v>7.5E7</v>
      </c>
      <c r="K506" s="1">
        <v>2007.0</v>
      </c>
      <c r="L506" s="1">
        <v>6.7</v>
      </c>
      <c r="O506" s="3"/>
      <c r="S506" s="4"/>
    </row>
    <row r="507" ht="14.25" customHeight="1">
      <c r="A507" s="1" t="s">
        <v>875</v>
      </c>
      <c r="B507" s="1">
        <v>125.0</v>
      </c>
      <c r="C507" s="1">
        <v>4.1814863E7</v>
      </c>
      <c r="D507" s="1" t="s">
        <v>1239</v>
      </c>
      <c r="E507" s="1" t="s">
        <v>465</v>
      </c>
      <c r="F507" s="1" t="s">
        <v>1240</v>
      </c>
      <c r="G507" s="1">
        <v>28635.0</v>
      </c>
      <c r="H507" s="1">
        <v>308.0</v>
      </c>
      <c r="I507" s="1" t="s">
        <v>16</v>
      </c>
      <c r="J507" s="1">
        <v>5.0E7</v>
      </c>
      <c r="K507" s="1">
        <v>2004.0</v>
      </c>
      <c r="L507" s="1">
        <v>5.1</v>
      </c>
      <c r="O507" s="3"/>
      <c r="S507" s="4"/>
    </row>
    <row r="508" ht="14.25" customHeight="1">
      <c r="A508" s="1" t="s">
        <v>1241</v>
      </c>
      <c r="B508" s="1">
        <v>110.0</v>
      </c>
      <c r="C508" s="1">
        <v>9.7360069E7</v>
      </c>
      <c r="D508" s="1" t="s">
        <v>1242</v>
      </c>
      <c r="E508" s="1" t="s">
        <v>383</v>
      </c>
      <c r="F508" s="1" t="s">
        <v>1243</v>
      </c>
      <c r="G508" s="1">
        <v>36491.0</v>
      </c>
      <c r="H508" s="1">
        <v>231.0</v>
      </c>
      <c r="I508" s="1" t="s">
        <v>16</v>
      </c>
      <c r="J508" s="1">
        <v>7.5E7</v>
      </c>
      <c r="K508" s="1">
        <v>1999.0</v>
      </c>
      <c r="L508" s="1">
        <v>4.1</v>
      </c>
      <c r="O508" s="3"/>
      <c r="S508" s="4"/>
    </row>
    <row r="509" ht="14.25" customHeight="1">
      <c r="A509" s="1" t="s">
        <v>472</v>
      </c>
      <c r="B509" s="1">
        <v>125.0</v>
      </c>
      <c r="C509" s="1">
        <v>1.17698894E8</v>
      </c>
      <c r="D509" s="1" t="s">
        <v>938</v>
      </c>
      <c r="E509" s="1" t="s">
        <v>600</v>
      </c>
      <c r="F509" s="1" t="s">
        <v>1244</v>
      </c>
      <c r="G509" s="1">
        <v>447979.0</v>
      </c>
      <c r="H509" s="1">
        <v>629.0</v>
      </c>
      <c r="I509" s="1" t="s">
        <v>16</v>
      </c>
      <c r="J509" s="1">
        <v>7.5E7</v>
      </c>
      <c r="K509" s="1">
        <v>2013.0</v>
      </c>
      <c r="L509" s="1">
        <v>7.3</v>
      </c>
      <c r="O509" s="3"/>
      <c r="S509" s="4"/>
    </row>
    <row r="510" ht="14.25" customHeight="1">
      <c r="A510" s="1" t="s">
        <v>922</v>
      </c>
      <c r="B510" s="1">
        <v>102.0</v>
      </c>
      <c r="C510" s="1">
        <v>1.62001186E8</v>
      </c>
      <c r="D510" s="1" t="s">
        <v>828</v>
      </c>
      <c r="E510" s="1" t="s">
        <v>119</v>
      </c>
      <c r="F510" s="1" t="s">
        <v>1245</v>
      </c>
      <c r="G510" s="1">
        <v>181443.0</v>
      </c>
      <c r="H510" s="1">
        <v>311.0</v>
      </c>
      <c r="I510" s="1" t="s">
        <v>16</v>
      </c>
      <c r="J510" s="1">
        <v>8.0E7</v>
      </c>
      <c r="K510" s="1">
        <v>2010.0</v>
      </c>
      <c r="L510" s="1">
        <v>6.0</v>
      </c>
      <c r="O510" s="3"/>
      <c r="S510" s="4"/>
    </row>
    <row r="511" ht="14.25" customHeight="1">
      <c r="A511" s="1" t="s">
        <v>168</v>
      </c>
      <c r="B511" s="1">
        <v>128.0</v>
      </c>
      <c r="C511" s="1">
        <v>7.7032279E7</v>
      </c>
      <c r="D511" s="1" t="s">
        <v>1059</v>
      </c>
      <c r="E511" s="1" t="s">
        <v>140</v>
      </c>
      <c r="F511" s="1" t="s">
        <v>1246</v>
      </c>
      <c r="G511" s="1">
        <v>303864.0</v>
      </c>
      <c r="H511" s="1">
        <v>596.0</v>
      </c>
      <c r="I511" s="1" t="s">
        <v>16</v>
      </c>
      <c r="J511" s="1">
        <v>6.0E7</v>
      </c>
      <c r="K511" s="1">
        <v>2004.0</v>
      </c>
      <c r="L511" s="1">
        <v>7.3</v>
      </c>
      <c r="O511" s="3"/>
      <c r="S511" s="4"/>
    </row>
    <row r="512" ht="14.25" customHeight="1">
      <c r="A512" s="1" t="s">
        <v>942</v>
      </c>
      <c r="B512" s="1">
        <v>100.0</v>
      </c>
      <c r="C512" s="1">
        <v>7.3023275E7</v>
      </c>
      <c r="D512" s="1" t="s">
        <v>1247</v>
      </c>
      <c r="E512" s="1" t="s">
        <v>951</v>
      </c>
      <c r="F512" s="1" t="s">
        <v>1248</v>
      </c>
      <c r="G512" s="1">
        <v>16271.0</v>
      </c>
      <c r="H512" s="1">
        <v>57.0</v>
      </c>
      <c r="I512" s="1" t="s">
        <v>16</v>
      </c>
      <c r="J512" s="1">
        <v>3.5E7</v>
      </c>
      <c r="K512" s="1">
        <v>2009.0</v>
      </c>
      <c r="L512" s="1">
        <v>5.4</v>
      </c>
      <c r="O512" s="3"/>
      <c r="S512" s="4"/>
    </row>
    <row r="513" ht="14.25" customHeight="1">
      <c r="A513" s="1" t="s">
        <v>136</v>
      </c>
      <c r="B513" s="1">
        <v>124.0</v>
      </c>
      <c r="C513" s="1">
        <v>6.847336E7</v>
      </c>
      <c r="D513" s="1" t="s">
        <v>304</v>
      </c>
      <c r="E513" s="1" t="s">
        <v>1249</v>
      </c>
      <c r="F513" s="1" t="s">
        <v>1250</v>
      </c>
      <c r="G513" s="1">
        <v>49536.0</v>
      </c>
      <c r="H513" s="1">
        <v>379.0</v>
      </c>
      <c r="I513" s="1" t="s">
        <v>16</v>
      </c>
      <c r="J513" s="1">
        <v>7.5E7</v>
      </c>
      <c r="K513" s="1">
        <v>2000.0</v>
      </c>
      <c r="L513" s="1">
        <v>5.9</v>
      </c>
      <c r="O513" s="3"/>
      <c r="S513" s="4"/>
    </row>
    <row r="514" ht="14.25" customHeight="1">
      <c r="A514" s="1" t="s">
        <v>1251</v>
      </c>
      <c r="B514" s="1">
        <v>102.0</v>
      </c>
      <c r="C514" s="1">
        <v>6.6636385E7</v>
      </c>
      <c r="D514" s="1" t="s">
        <v>1252</v>
      </c>
      <c r="E514" s="1" t="s">
        <v>390</v>
      </c>
      <c r="F514" s="1" t="s">
        <v>1253</v>
      </c>
      <c r="G514" s="1">
        <v>88451.0</v>
      </c>
      <c r="H514" s="1">
        <v>289.0</v>
      </c>
      <c r="I514" s="1" t="s">
        <v>16</v>
      </c>
      <c r="J514" s="1">
        <v>7.5E7</v>
      </c>
      <c r="K514" s="1">
        <v>2007.0</v>
      </c>
      <c r="L514" s="1">
        <v>7.1</v>
      </c>
      <c r="O514" s="3"/>
      <c r="S514" s="4"/>
    </row>
    <row r="515" ht="14.25" customHeight="1">
      <c r="A515" s="1" t="s">
        <v>836</v>
      </c>
      <c r="B515" s="1">
        <v>90.0</v>
      </c>
      <c r="C515" s="1">
        <v>1.60762022E8</v>
      </c>
      <c r="D515" s="1" t="s">
        <v>200</v>
      </c>
      <c r="E515" s="1" t="s">
        <v>725</v>
      </c>
      <c r="F515" s="1" t="s">
        <v>1254</v>
      </c>
      <c r="G515" s="1">
        <v>132415.0</v>
      </c>
      <c r="H515" s="1">
        <v>288.0</v>
      </c>
      <c r="I515" s="1" t="s">
        <v>16</v>
      </c>
      <c r="J515" s="1">
        <v>7.5E7</v>
      </c>
      <c r="K515" s="1">
        <v>2004.0</v>
      </c>
      <c r="L515" s="1">
        <v>6.0</v>
      </c>
      <c r="O515" s="3"/>
      <c r="S515" s="4"/>
    </row>
    <row r="516" ht="14.25" customHeight="1">
      <c r="A516" s="1" t="s">
        <v>467</v>
      </c>
      <c r="B516" s="1">
        <v>130.0</v>
      </c>
      <c r="C516" s="1">
        <v>1.03338338E8</v>
      </c>
      <c r="D516" s="1" t="s">
        <v>1255</v>
      </c>
      <c r="E516" s="1" t="s">
        <v>1256</v>
      </c>
      <c r="F516" s="1" t="s">
        <v>1257</v>
      </c>
      <c r="G516" s="1">
        <v>55901.0</v>
      </c>
      <c r="H516" s="1">
        <v>503.0</v>
      </c>
      <c r="I516" s="1" t="s">
        <v>16</v>
      </c>
      <c r="J516" s="1">
        <v>7.0E7</v>
      </c>
      <c r="K516" s="1">
        <v>2006.0</v>
      </c>
      <c r="L516" s="1">
        <v>6.5</v>
      </c>
      <c r="O516" s="3"/>
      <c r="S516" s="4"/>
    </row>
    <row r="517" ht="14.25" customHeight="1">
      <c r="A517" s="1" t="s">
        <v>1258</v>
      </c>
      <c r="B517" s="1">
        <v>118.0</v>
      </c>
      <c r="C517" s="1">
        <v>5.5808744E7</v>
      </c>
      <c r="D517" s="1" t="s">
        <v>1259</v>
      </c>
      <c r="E517" s="1" t="s">
        <v>632</v>
      </c>
      <c r="F517" s="1" t="s">
        <v>1260</v>
      </c>
      <c r="G517" s="1">
        <v>59435.0</v>
      </c>
      <c r="H517" s="1">
        <v>323.0</v>
      </c>
      <c r="I517" s="1" t="s">
        <v>16</v>
      </c>
      <c r="J517" s="1">
        <v>5.3E7</v>
      </c>
      <c r="K517" s="1">
        <v>2005.0</v>
      </c>
      <c r="L517" s="1">
        <v>5.7</v>
      </c>
      <c r="O517" s="3"/>
      <c r="S517" s="4"/>
    </row>
    <row r="518" ht="14.25" customHeight="1">
      <c r="A518" s="1" t="s">
        <v>168</v>
      </c>
      <c r="B518" s="1">
        <v>163.0</v>
      </c>
      <c r="C518" s="1">
        <v>4.737909E7</v>
      </c>
      <c r="D518" s="1" t="s">
        <v>1156</v>
      </c>
      <c r="E518" s="1" t="s">
        <v>1261</v>
      </c>
      <c r="F518" s="1" t="s">
        <v>1262</v>
      </c>
      <c r="G518" s="1">
        <v>176936.0</v>
      </c>
      <c r="H518" s="1">
        <v>824.0</v>
      </c>
      <c r="I518" s="1" t="s">
        <v>16</v>
      </c>
      <c r="J518" s="1">
        <v>7.0E7</v>
      </c>
      <c r="K518" s="1">
        <v>2005.0</v>
      </c>
      <c r="L518" s="1">
        <v>7.6</v>
      </c>
      <c r="O518" s="3"/>
      <c r="S518" s="4"/>
    </row>
    <row r="519" ht="14.25" customHeight="1">
      <c r="A519" s="1" t="s">
        <v>1263</v>
      </c>
      <c r="B519" s="1">
        <v>142.0</v>
      </c>
      <c r="C519" s="1">
        <v>4.3426961E7</v>
      </c>
      <c r="D519" s="1" t="s">
        <v>800</v>
      </c>
      <c r="E519" s="1" t="s">
        <v>415</v>
      </c>
      <c r="F519" s="1" t="s">
        <v>1264</v>
      </c>
      <c r="G519" s="1">
        <v>93494.0</v>
      </c>
      <c r="H519" s="1">
        <v>394.0</v>
      </c>
      <c r="I519" s="1" t="s">
        <v>16</v>
      </c>
      <c r="J519" s="1">
        <v>7.0E7</v>
      </c>
      <c r="K519" s="1">
        <v>2003.0</v>
      </c>
      <c r="L519" s="1">
        <v>6.6</v>
      </c>
      <c r="O519" s="3"/>
      <c r="S519" s="4"/>
    </row>
    <row r="520" ht="14.25" customHeight="1">
      <c r="A520" s="1" t="s">
        <v>1265</v>
      </c>
      <c r="B520" s="1">
        <v>100.0</v>
      </c>
      <c r="C520" s="1">
        <v>4.7000485E7</v>
      </c>
      <c r="D520" s="1" t="s">
        <v>1266</v>
      </c>
      <c r="E520" s="1" t="s">
        <v>1267</v>
      </c>
      <c r="F520" s="1" t="s">
        <v>1268</v>
      </c>
      <c r="G520" s="1">
        <v>72867.0</v>
      </c>
      <c r="H520" s="1">
        <v>120.0</v>
      </c>
      <c r="I520" s="1" t="s">
        <v>16</v>
      </c>
      <c r="J520" s="1">
        <v>7.5E7</v>
      </c>
      <c r="K520" s="1">
        <v>2010.0</v>
      </c>
      <c r="L520" s="1">
        <v>5.4</v>
      </c>
      <c r="O520" s="3"/>
      <c r="S520" s="4"/>
    </row>
    <row r="521" ht="14.25" customHeight="1">
      <c r="A521" s="1" t="s">
        <v>538</v>
      </c>
      <c r="B521" s="1">
        <v>116.0</v>
      </c>
      <c r="C521" s="1">
        <v>4.5434443E7</v>
      </c>
      <c r="D521" s="1" t="s">
        <v>678</v>
      </c>
      <c r="E521" s="1" t="s">
        <v>49</v>
      </c>
      <c r="F521" s="1" t="s">
        <v>1269</v>
      </c>
      <c r="G521" s="1">
        <v>175960.0</v>
      </c>
      <c r="H521" s="1">
        <v>360.0</v>
      </c>
      <c r="I521" s="1" t="s">
        <v>16</v>
      </c>
      <c r="J521" s="1">
        <v>7.5E7</v>
      </c>
      <c r="K521" s="1">
        <v>2015.0</v>
      </c>
      <c r="L521" s="1">
        <v>7.3</v>
      </c>
      <c r="O521" s="3"/>
      <c r="S521" s="4"/>
    </row>
    <row r="522" ht="14.25" customHeight="1">
      <c r="A522" s="1" t="s">
        <v>592</v>
      </c>
      <c r="B522" s="1">
        <v>131.0</v>
      </c>
      <c r="C522" s="1">
        <v>4.2044321E7</v>
      </c>
      <c r="D522" s="1" t="s">
        <v>593</v>
      </c>
      <c r="E522" s="1" t="s">
        <v>923</v>
      </c>
      <c r="F522" s="1" t="s">
        <v>1270</v>
      </c>
      <c r="G522" s="1">
        <v>65668.0</v>
      </c>
      <c r="H522" s="1">
        <v>342.0</v>
      </c>
      <c r="I522" s="1" t="s">
        <v>16</v>
      </c>
      <c r="J522" s="1">
        <v>8.0E7</v>
      </c>
      <c r="K522" s="1">
        <v>2004.0</v>
      </c>
      <c r="L522" s="1">
        <v>6.5</v>
      </c>
      <c r="O522" s="3"/>
      <c r="S522" s="4"/>
    </row>
    <row r="523" ht="14.25" customHeight="1">
      <c r="A523" s="1" t="s">
        <v>1271</v>
      </c>
      <c r="B523" s="1">
        <v>91.0</v>
      </c>
      <c r="C523" s="1">
        <v>7.366101E7</v>
      </c>
      <c r="D523" s="1" t="s">
        <v>1272</v>
      </c>
      <c r="E523" s="1" t="s">
        <v>119</v>
      </c>
      <c r="F523" s="1" t="s">
        <v>1273</v>
      </c>
      <c r="G523" s="1">
        <v>71137.0</v>
      </c>
      <c r="H523" s="1">
        <v>229.0</v>
      </c>
      <c r="I523" s="1" t="s">
        <v>16</v>
      </c>
      <c r="J523" s="1">
        <v>7.5E7</v>
      </c>
      <c r="K523" s="1">
        <v>2006.0</v>
      </c>
      <c r="L523" s="1">
        <v>6.6</v>
      </c>
      <c r="O523" s="3"/>
      <c r="S523" s="4"/>
    </row>
    <row r="524" ht="14.25" customHeight="1">
      <c r="A524" s="1" t="s">
        <v>1274</v>
      </c>
      <c r="B524" s="1">
        <v>123.0</v>
      </c>
      <c r="C524" s="1">
        <v>4.1523271E7</v>
      </c>
      <c r="D524" s="1" t="s">
        <v>1275</v>
      </c>
      <c r="E524" s="1" t="s">
        <v>415</v>
      </c>
      <c r="F524" s="1" t="s">
        <v>1276</v>
      </c>
      <c r="G524" s="1">
        <v>57038.0</v>
      </c>
      <c r="H524" s="1">
        <v>261.0</v>
      </c>
      <c r="I524" s="1" t="s">
        <v>16</v>
      </c>
      <c r="J524" s="1">
        <v>8.0E7</v>
      </c>
      <c r="K524" s="1">
        <v>2001.0</v>
      </c>
      <c r="L524" s="1">
        <v>6.6</v>
      </c>
      <c r="O524" s="3"/>
      <c r="S524" s="4"/>
    </row>
    <row r="525" ht="14.25" customHeight="1">
      <c r="A525" s="1" t="s">
        <v>1277</v>
      </c>
      <c r="B525" s="1">
        <v>134.0</v>
      </c>
      <c r="C525" s="1">
        <v>3.7600435E7</v>
      </c>
      <c r="D525" s="1" t="s">
        <v>1278</v>
      </c>
      <c r="E525" s="1" t="s">
        <v>1279</v>
      </c>
      <c r="F525" s="1" t="s">
        <v>1280</v>
      </c>
      <c r="G525" s="1">
        <v>55350.0</v>
      </c>
      <c r="H525" s="1">
        <v>180.0</v>
      </c>
      <c r="I525" s="1" t="s">
        <v>16</v>
      </c>
      <c r="J525" s="1">
        <v>5.5E7</v>
      </c>
      <c r="K525" s="1">
        <v>1995.0</v>
      </c>
      <c r="L525" s="1">
        <v>5.9</v>
      </c>
      <c r="O525" s="3"/>
      <c r="S525" s="4"/>
    </row>
    <row r="526" ht="14.25" customHeight="1">
      <c r="A526" s="1" t="s">
        <v>1281</v>
      </c>
      <c r="B526" s="1">
        <v>148.0</v>
      </c>
      <c r="C526" s="1">
        <v>3.9251128E7</v>
      </c>
      <c r="D526" s="1" t="s">
        <v>1282</v>
      </c>
      <c r="E526" s="1" t="s">
        <v>1283</v>
      </c>
      <c r="F526" s="1" t="s">
        <v>1284</v>
      </c>
      <c r="G526" s="1">
        <v>31080.0</v>
      </c>
      <c r="H526" s="1">
        <v>217.0</v>
      </c>
      <c r="I526" s="1" t="s">
        <v>16</v>
      </c>
      <c r="J526" s="1">
        <v>7.5E7</v>
      </c>
      <c r="K526" s="1">
        <v>1999.0</v>
      </c>
      <c r="L526" s="1">
        <v>6.7</v>
      </c>
      <c r="O526" s="3"/>
      <c r="S526" s="4"/>
    </row>
    <row r="527" ht="14.25" customHeight="1">
      <c r="A527" s="1" t="s">
        <v>1026</v>
      </c>
      <c r="B527" s="1">
        <v>110.0</v>
      </c>
      <c r="C527" s="1">
        <v>8.3503161E7</v>
      </c>
      <c r="D527" s="1" t="s">
        <v>1285</v>
      </c>
      <c r="E527" s="1" t="s">
        <v>49</v>
      </c>
      <c r="F527" s="1" t="s">
        <v>1286</v>
      </c>
      <c r="G527" s="1">
        <v>138190.0</v>
      </c>
      <c r="H527" s="1">
        <v>405.0</v>
      </c>
      <c r="I527" s="1" t="s">
        <v>16</v>
      </c>
      <c r="J527" s="1">
        <v>7.5E7</v>
      </c>
      <c r="K527" s="1">
        <v>2011.0</v>
      </c>
      <c r="L527" s="1">
        <v>6.1</v>
      </c>
      <c r="O527" s="3"/>
      <c r="S527" s="4"/>
    </row>
    <row r="528" ht="14.25" customHeight="1">
      <c r="A528" s="1" t="s">
        <v>1287</v>
      </c>
      <c r="B528" s="1">
        <v>113.0</v>
      </c>
      <c r="C528" s="1">
        <v>3.4636443E7</v>
      </c>
      <c r="D528" s="1" t="s">
        <v>998</v>
      </c>
      <c r="E528" s="1" t="s">
        <v>223</v>
      </c>
      <c r="F528" s="1" t="s">
        <v>1288</v>
      </c>
      <c r="G528" s="1">
        <v>93790.0</v>
      </c>
      <c r="H528" s="1">
        <v>288.0</v>
      </c>
      <c r="I528" s="1" t="s">
        <v>16</v>
      </c>
      <c r="J528" s="1">
        <v>5.2E7</v>
      </c>
      <c r="K528" s="1">
        <v>2005.0</v>
      </c>
      <c r="L528" s="1">
        <v>6.6</v>
      </c>
      <c r="O528" s="3"/>
      <c r="S528" s="4"/>
    </row>
    <row r="529" ht="14.25" customHeight="1">
      <c r="A529" s="1" t="s">
        <v>1289</v>
      </c>
      <c r="B529" s="1">
        <v>94.0</v>
      </c>
      <c r="C529" s="1">
        <v>2.2751979E7</v>
      </c>
      <c r="D529" s="1" t="s">
        <v>1290</v>
      </c>
      <c r="E529" s="1" t="s">
        <v>486</v>
      </c>
      <c r="F529" s="1" t="s">
        <v>1291</v>
      </c>
      <c r="G529" s="1">
        <v>52244.0</v>
      </c>
      <c r="H529" s="1">
        <v>377.0</v>
      </c>
      <c r="I529" s="1" t="s">
        <v>16</v>
      </c>
      <c r="J529" s="1">
        <v>7.5E7</v>
      </c>
      <c r="K529" s="1">
        <v>2000.0</v>
      </c>
      <c r="L529" s="1">
        <v>6.6</v>
      </c>
      <c r="O529" s="3"/>
      <c r="S529" s="4"/>
    </row>
    <row r="530" ht="14.25" customHeight="1">
      <c r="A530" s="1" t="s">
        <v>1292</v>
      </c>
      <c r="B530" s="1">
        <v>116.0</v>
      </c>
      <c r="C530" s="1">
        <v>3.0013346E7</v>
      </c>
      <c r="D530" s="1" t="s">
        <v>180</v>
      </c>
      <c r="E530" s="1" t="s">
        <v>169</v>
      </c>
      <c r="F530" s="1" t="s">
        <v>1293</v>
      </c>
      <c r="G530" s="1">
        <v>31293.0</v>
      </c>
      <c r="H530" s="1">
        <v>254.0</v>
      </c>
      <c r="I530" s="1" t="s">
        <v>16</v>
      </c>
      <c r="J530" s="1">
        <v>7.5E7</v>
      </c>
      <c r="K530" s="1">
        <v>2003.0</v>
      </c>
      <c r="L530" s="1">
        <v>5.3</v>
      </c>
      <c r="O530" s="3"/>
      <c r="S530" s="4"/>
    </row>
    <row r="531" ht="14.25" customHeight="1">
      <c r="A531" s="1" t="s">
        <v>983</v>
      </c>
      <c r="B531" s="1">
        <v>99.0</v>
      </c>
      <c r="C531" s="1">
        <v>1.4567883E7</v>
      </c>
      <c r="D531" s="1" t="s">
        <v>1294</v>
      </c>
      <c r="E531" s="1" t="s">
        <v>1295</v>
      </c>
      <c r="F531" s="1" t="s">
        <v>1296</v>
      </c>
      <c r="G531" s="1">
        <v>44248.0</v>
      </c>
      <c r="H531" s="1">
        <v>373.0</v>
      </c>
      <c r="I531" s="1" t="s">
        <v>16</v>
      </c>
      <c r="J531" s="1">
        <v>7.5E7</v>
      </c>
      <c r="K531" s="1">
        <v>1998.0</v>
      </c>
      <c r="L531" s="1">
        <v>6.0</v>
      </c>
      <c r="O531" s="3"/>
      <c r="S531" s="4"/>
    </row>
    <row r="532" ht="14.25" customHeight="1">
      <c r="A532" s="1" t="s">
        <v>1297</v>
      </c>
      <c r="B532" s="1">
        <v>93.0</v>
      </c>
      <c r="C532" s="1">
        <v>5409517.0</v>
      </c>
      <c r="D532" s="1" t="s">
        <v>1298</v>
      </c>
      <c r="E532" s="1" t="s">
        <v>1168</v>
      </c>
      <c r="F532" s="1" t="s">
        <v>1299</v>
      </c>
      <c r="G532" s="1">
        <v>14280.0</v>
      </c>
      <c r="H532" s="1">
        <v>171.0</v>
      </c>
      <c r="I532" s="1" t="s">
        <v>16</v>
      </c>
      <c r="J532" s="1">
        <v>7.5E7</v>
      </c>
      <c r="K532" s="1">
        <v>2001.0</v>
      </c>
      <c r="L532" s="1">
        <v>4.7</v>
      </c>
      <c r="O532" s="3"/>
      <c r="S532" s="4"/>
    </row>
    <row r="533" ht="14.25" customHeight="1">
      <c r="A533" s="1" t="s">
        <v>866</v>
      </c>
      <c r="B533" s="1">
        <v>113.0</v>
      </c>
      <c r="C533" s="1">
        <v>2.100918E7</v>
      </c>
      <c r="D533" s="1" t="s">
        <v>304</v>
      </c>
      <c r="E533" s="1" t="s">
        <v>870</v>
      </c>
      <c r="F533" s="1" t="s">
        <v>1300</v>
      </c>
      <c r="G533" s="1">
        <v>45815.0</v>
      </c>
      <c r="H533" s="1">
        <v>222.0</v>
      </c>
      <c r="I533" s="1" t="s">
        <v>16</v>
      </c>
      <c r="J533" s="1">
        <v>4.5E7</v>
      </c>
      <c r="K533" s="1">
        <v>2004.0</v>
      </c>
      <c r="L533" s="1">
        <v>6.1</v>
      </c>
      <c r="O533" s="3"/>
      <c r="S533" s="4"/>
    </row>
    <row r="534" ht="14.25" customHeight="1">
      <c r="A534" s="1" t="s">
        <v>387</v>
      </c>
      <c r="B534" s="1">
        <v>106.0</v>
      </c>
      <c r="C534" s="1">
        <v>9.4999143E7</v>
      </c>
      <c r="D534" s="1" t="s">
        <v>932</v>
      </c>
      <c r="E534" s="1" t="s">
        <v>188</v>
      </c>
      <c r="F534" s="1" t="s">
        <v>1301</v>
      </c>
      <c r="G534" s="1">
        <v>245152.0</v>
      </c>
      <c r="H534" s="1">
        <v>1344.0</v>
      </c>
      <c r="I534" s="1" t="s">
        <v>16</v>
      </c>
      <c r="J534" s="1">
        <v>7.5E7</v>
      </c>
      <c r="K534" s="1">
        <v>2000.0</v>
      </c>
      <c r="L534" s="1">
        <v>7.2</v>
      </c>
      <c r="O534" s="3"/>
      <c r="S534" s="4"/>
    </row>
    <row r="535" ht="14.25" customHeight="1">
      <c r="A535" s="1" t="s">
        <v>1302</v>
      </c>
      <c r="B535" s="1">
        <v>91.0</v>
      </c>
      <c r="C535" s="1">
        <v>3.3602956E8</v>
      </c>
      <c r="D535" s="1" t="s">
        <v>522</v>
      </c>
      <c r="E535" s="1" t="s">
        <v>1222</v>
      </c>
      <c r="F535" s="1" t="s">
        <v>1303</v>
      </c>
      <c r="G535" s="1">
        <v>142403.0</v>
      </c>
      <c r="H535" s="1">
        <v>275.0</v>
      </c>
      <c r="I535" s="1" t="s">
        <v>16</v>
      </c>
      <c r="J535" s="1">
        <v>7.4E7</v>
      </c>
      <c r="K535" s="1">
        <v>2015.0</v>
      </c>
      <c r="L535" s="1">
        <v>6.4</v>
      </c>
      <c r="O535" s="3"/>
      <c r="S535" s="4"/>
    </row>
    <row r="536" ht="14.25" customHeight="1">
      <c r="A536" s="1" t="s">
        <v>48</v>
      </c>
      <c r="B536" s="1">
        <v>128.0</v>
      </c>
      <c r="C536" s="1">
        <v>3.6381716E7</v>
      </c>
      <c r="D536" s="1" t="s">
        <v>1304</v>
      </c>
      <c r="E536" s="1" t="s">
        <v>256</v>
      </c>
      <c r="F536" s="1" t="s">
        <v>1305</v>
      </c>
      <c r="G536" s="1">
        <v>197584.0</v>
      </c>
      <c r="H536" s="1">
        <v>918.0</v>
      </c>
      <c r="I536" s="1" t="s">
        <v>16</v>
      </c>
      <c r="J536" s="1">
        <v>8.2E7</v>
      </c>
      <c r="K536" s="1">
        <v>2011.0</v>
      </c>
      <c r="L536" s="1">
        <v>6.1</v>
      </c>
      <c r="O536" s="3"/>
      <c r="S536" s="4"/>
    </row>
    <row r="537" ht="14.25" customHeight="1">
      <c r="A537" s="1" t="s">
        <v>950</v>
      </c>
      <c r="B537" s="1">
        <v>98.0</v>
      </c>
      <c r="C537" s="1">
        <v>5.5585389E7</v>
      </c>
      <c r="D537" s="1" t="s">
        <v>938</v>
      </c>
      <c r="E537" s="1" t="s">
        <v>301</v>
      </c>
      <c r="F537" s="1" t="s">
        <v>1306</v>
      </c>
      <c r="G537" s="1">
        <v>64121.0</v>
      </c>
      <c r="H537" s="1">
        <v>241.0</v>
      </c>
      <c r="I537" s="1" t="s">
        <v>16</v>
      </c>
      <c r="J537" s="1">
        <v>6.9E7</v>
      </c>
      <c r="K537" s="1">
        <v>1998.0</v>
      </c>
      <c r="L537" s="1">
        <v>5.9</v>
      </c>
      <c r="O537" s="3"/>
      <c r="S537" s="4"/>
    </row>
    <row r="538" ht="14.25" customHeight="1">
      <c r="A538" s="1" t="s">
        <v>1274</v>
      </c>
      <c r="B538" s="1">
        <v>134.0</v>
      </c>
      <c r="C538" s="1">
        <v>3.6976367E7</v>
      </c>
      <c r="D538" s="1" t="s">
        <v>932</v>
      </c>
      <c r="E538" s="1" t="s">
        <v>1307</v>
      </c>
      <c r="F538" s="1" t="s">
        <v>1308</v>
      </c>
      <c r="G538" s="1">
        <v>81611.0</v>
      </c>
      <c r="H538" s="1">
        <v>274.0</v>
      </c>
      <c r="I538" s="1" t="s">
        <v>16</v>
      </c>
      <c r="J538" s="1">
        <v>7.5E7</v>
      </c>
      <c r="K538" s="1">
        <v>1998.0</v>
      </c>
      <c r="L538" s="1">
        <v>6.0</v>
      </c>
      <c r="O538" s="3"/>
      <c r="S538" s="4"/>
    </row>
    <row r="539" ht="14.25" customHeight="1">
      <c r="A539" s="1" t="s">
        <v>1309</v>
      </c>
      <c r="B539" s="1">
        <v>97.0</v>
      </c>
      <c r="C539" s="1">
        <v>1.07225164E8</v>
      </c>
      <c r="D539" s="1" t="s">
        <v>1310</v>
      </c>
      <c r="E539" s="1" t="s">
        <v>64</v>
      </c>
      <c r="F539" s="1" t="s">
        <v>1311</v>
      </c>
      <c r="G539" s="1">
        <v>27130.0</v>
      </c>
      <c r="H539" s="1">
        <v>126.0</v>
      </c>
      <c r="I539" s="1" t="s">
        <v>16</v>
      </c>
      <c r="J539" s="1">
        <v>7.3E7</v>
      </c>
      <c r="K539" s="1">
        <v>2016.0</v>
      </c>
      <c r="L539" s="1">
        <v>6.3</v>
      </c>
      <c r="O539" s="3"/>
      <c r="S539" s="4"/>
    </row>
    <row r="540" ht="14.25" customHeight="1">
      <c r="A540" s="1" t="s">
        <v>1281</v>
      </c>
      <c r="B540" s="1">
        <v>112.0</v>
      </c>
      <c r="C540" s="1">
        <v>7.0224196E7</v>
      </c>
      <c r="D540" s="1" t="s">
        <v>1312</v>
      </c>
      <c r="E540" s="1" t="s">
        <v>285</v>
      </c>
      <c r="F540" s="1" t="s">
        <v>1313</v>
      </c>
      <c r="G540" s="1">
        <v>59352.0</v>
      </c>
      <c r="H540" s="1">
        <v>138.0</v>
      </c>
      <c r="I540" s="1" t="s">
        <v>16</v>
      </c>
      <c r="J540" s="1">
        <v>7.0E7</v>
      </c>
      <c r="K540" s="1">
        <v>2008.0</v>
      </c>
      <c r="L540" s="1">
        <v>5.6</v>
      </c>
      <c r="O540" s="3"/>
      <c r="S540" s="4"/>
    </row>
    <row r="541" ht="14.25" customHeight="1">
      <c r="A541" s="1" t="s">
        <v>1314</v>
      </c>
      <c r="B541" s="1">
        <v>153.0</v>
      </c>
      <c r="C541" s="1">
        <v>5.181419E7</v>
      </c>
      <c r="D541" s="1" t="s">
        <v>1059</v>
      </c>
      <c r="E541" s="1" t="s">
        <v>923</v>
      </c>
      <c r="F541" s="1" t="s">
        <v>1315</v>
      </c>
      <c r="G541" s="1">
        <v>100837.0</v>
      </c>
      <c r="H541" s="1">
        <v>301.0</v>
      </c>
      <c r="I541" s="1" t="s">
        <v>16</v>
      </c>
      <c r="J541" s="1">
        <v>7.5E7</v>
      </c>
      <c r="K541" s="1">
        <v>2009.0</v>
      </c>
      <c r="L541" s="1">
        <v>6.4</v>
      </c>
      <c r="O541" s="3"/>
      <c r="S541" s="4"/>
    </row>
    <row r="542" ht="14.25" customHeight="1">
      <c r="A542" s="1" t="s">
        <v>98</v>
      </c>
      <c r="B542" s="1">
        <v>110.0</v>
      </c>
      <c r="C542" s="1">
        <v>4.745645E7</v>
      </c>
      <c r="D542" s="1" t="s">
        <v>392</v>
      </c>
      <c r="E542" s="1" t="s">
        <v>320</v>
      </c>
      <c r="F542" s="1" t="s">
        <v>1316</v>
      </c>
      <c r="G542" s="1">
        <v>101386.0</v>
      </c>
      <c r="H542" s="1">
        <v>289.0</v>
      </c>
      <c r="I542" s="1" t="s">
        <v>16</v>
      </c>
      <c r="J542" s="1">
        <v>7.0E7</v>
      </c>
      <c r="K542" s="1">
        <v>2007.0</v>
      </c>
      <c r="L542" s="1">
        <v>7.1</v>
      </c>
      <c r="O542" s="3"/>
      <c r="S542" s="4"/>
    </row>
    <row r="543" ht="14.25" customHeight="1">
      <c r="A543" s="1" t="s">
        <v>727</v>
      </c>
      <c r="B543" s="1">
        <v>122.0</v>
      </c>
      <c r="C543" s="1">
        <v>1.48213377E8</v>
      </c>
      <c r="D543" s="1" t="s">
        <v>1317</v>
      </c>
      <c r="E543" s="1" t="s">
        <v>783</v>
      </c>
      <c r="F543" s="1" t="s">
        <v>1318</v>
      </c>
      <c r="G543" s="1">
        <v>130776.0</v>
      </c>
      <c r="H543" s="1">
        <v>437.0</v>
      </c>
      <c r="I543" s="1" t="s">
        <v>16</v>
      </c>
      <c r="J543" s="1">
        <v>7.3E7</v>
      </c>
      <c r="K543" s="1">
        <v>2006.0</v>
      </c>
      <c r="L543" s="1">
        <v>6.6</v>
      </c>
      <c r="O543" s="3"/>
      <c r="S543" s="4"/>
    </row>
    <row r="544" ht="14.25" customHeight="1">
      <c r="A544" s="1" t="s">
        <v>1319</v>
      </c>
      <c r="B544" s="1">
        <v>87.0</v>
      </c>
      <c r="C544" s="1">
        <v>1.12950721E8</v>
      </c>
      <c r="D544" s="1" t="s">
        <v>222</v>
      </c>
      <c r="E544" s="1" t="s">
        <v>1320</v>
      </c>
      <c r="F544" s="1" t="s">
        <v>1321</v>
      </c>
      <c r="G544" s="1">
        <v>33884.0</v>
      </c>
      <c r="H544" s="1">
        <v>79.0</v>
      </c>
      <c r="I544" s="1" t="s">
        <v>16</v>
      </c>
      <c r="J544" s="1">
        <v>7.2E7</v>
      </c>
      <c r="K544" s="1">
        <v>2001.0</v>
      </c>
      <c r="L544" s="1">
        <v>4.6</v>
      </c>
      <c r="O544" s="3"/>
      <c r="S544" s="4"/>
    </row>
    <row r="545" ht="14.25" customHeight="1">
      <c r="A545" s="1" t="s">
        <v>1322</v>
      </c>
      <c r="B545" s="1">
        <v>178.0</v>
      </c>
      <c r="C545" s="1">
        <v>7.56E7</v>
      </c>
      <c r="D545" s="1" t="s">
        <v>1323</v>
      </c>
      <c r="E545" s="1" t="s">
        <v>1324</v>
      </c>
      <c r="F545" s="1" t="s">
        <v>1325</v>
      </c>
      <c r="G545" s="1">
        <v>736638.0</v>
      </c>
      <c r="H545" s="1">
        <v>1065.0</v>
      </c>
      <c r="I545" s="1" t="s">
        <v>16</v>
      </c>
      <c r="J545" s="1">
        <v>7.2E7</v>
      </c>
      <c r="K545" s="1">
        <v>1995.0</v>
      </c>
      <c r="L545" s="1">
        <v>8.4</v>
      </c>
      <c r="O545" s="3"/>
      <c r="S545" s="4"/>
    </row>
    <row r="546" ht="14.25" customHeight="1">
      <c r="A546" s="1" t="s">
        <v>21</v>
      </c>
      <c r="B546" s="1">
        <v>125.0</v>
      </c>
      <c r="C546" s="1">
        <v>6.264754E7</v>
      </c>
      <c r="D546" s="1" t="s">
        <v>611</v>
      </c>
      <c r="E546" s="1" t="s">
        <v>162</v>
      </c>
      <c r="F546" s="1" t="s">
        <v>1326</v>
      </c>
      <c r="G546" s="1">
        <v>143525.0</v>
      </c>
      <c r="H546" s="1">
        <v>657.0</v>
      </c>
      <c r="I546" s="1" t="s">
        <v>16</v>
      </c>
      <c r="J546" s="1">
        <v>7.0E7</v>
      </c>
      <c r="K546" s="1">
        <v>2005.0</v>
      </c>
      <c r="L546" s="1">
        <v>7.1</v>
      </c>
      <c r="O546" s="3"/>
      <c r="S546" s="4"/>
    </row>
    <row r="547" ht="14.25" customHeight="1">
      <c r="A547" s="1" t="s">
        <v>1327</v>
      </c>
      <c r="B547" s="1">
        <v>87.0</v>
      </c>
      <c r="C547" s="1">
        <v>1.8313237E8</v>
      </c>
      <c r="D547" s="1" t="s">
        <v>1328</v>
      </c>
      <c r="E547" s="1" t="s">
        <v>1329</v>
      </c>
      <c r="F547" s="1" t="s">
        <v>1330</v>
      </c>
      <c r="G547" s="1">
        <v>259083.0</v>
      </c>
      <c r="H547" s="1">
        <v>763.0</v>
      </c>
      <c r="I547" s="1" t="s">
        <v>16</v>
      </c>
      <c r="J547" s="1">
        <v>7.5E7</v>
      </c>
      <c r="K547" s="1">
        <v>2007.0</v>
      </c>
      <c r="L547" s="1">
        <v>7.4</v>
      </c>
      <c r="O547" s="3"/>
      <c r="S547" s="4"/>
    </row>
    <row r="548" ht="14.25" customHeight="1">
      <c r="A548" s="1" t="s">
        <v>1331</v>
      </c>
      <c r="B548" s="1">
        <v>152.0</v>
      </c>
      <c r="C548" s="1">
        <v>2.7796042E7</v>
      </c>
      <c r="D548" s="1" t="s">
        <v>92</v>
      </c>
      <c r="E548" s="1" t="s">
        <v>1332</v>
      </c>
      <c r="F548" s="1" t="s">
        <v>1333</v>
      </c>
      <c r="G548" s="1">
        <v>45031.0</v>
      </c>
      <c r="H548" s="1">
        <v>376.0</v>
      </c>
      <c r="I548" s="1" t="s">
        <v>16</v>
      </c>
      <c r="J548" s="1">
        <v>7.2E7</v>
      </c>
      <c r="K548" s="1">
        <v>2001.0</v>
      </c>
      <c r="L548" s="1">
        <v>6.9</v>
      </c>
      <c r="O548" s="3"/>
      <c r="S548" s="4"/>
    </row>
    <row r="549" ht="14.25" customHeight="1">
      <c r="A549" s="1" t="s">
        <v>875</v>
      </c>
      <c r="B549" s="1">
        <v>116.0</v>
      </c>
      <c r="C549" s="1">
        <v>3.2616869E7</v>
      </c>
      <c r="D549" s="1" t="s">
        <v>1334</v>
      </c>
      <c r="E549" s="1" t="s">
        <v>1061</v>
      </c>
      <c r="F549" s="1" t="s">
        <v>1335</v>
      </c>
      <c r="G549" s="1">
        <v>34435.0</v>
      </c>
      <c r="H549" s="1">
        <v>346.0</v>
      </c>
      <c r="I549" s="1" t="s">
        <v>16</v>
      </c>
      <c r="J549" s="1">
        <v>7.2E7</v>
      </c>
      <c r="K549" s="1">
        <v>2001.0</v>
      </c>
      <c r="L549" s="1">
        <v>4.5</v>
      </c>
      <c r="O549" s="3"/>
      <c r="S549" s="4"/>
    </row>
    <row r="550" ht="14.25" customHeight="1">
      <c r="A550" s="1" t="s">
        <v>1008</v>
      </c>
      <c r="B550" s="1">
        <v>109.0</v>
      </c>
      <c r="C550" s="1">
        <v>1.894763E7</v>
      </c>
      <c r="D550" s="1" t="s">
        <v>1336</v>
      </c>
      <c r="E550" s="1" t="s">
        <v>1337</v>
      </c>
      <c r="F550" s="1" t="s">
        <v>1338</v>
      </c>
      <c r="G550" s="1">
        <v>11798.0</v>
      </c>
      <c r="H550" s="1">
        <v>124.0</v>
      </c>
      <c r="I550" s="1" t="s">
        <v>16</v>
      </c>
      <c r="J550" s="1">
        <v>5.966E7</v>
      </c>
      <c r="K550" s="1">
        <v>2004.0</v>
      </c>
      <c r="L550" s="1">
        <v>7.1</v>
      </c>
      <c r="O550" s="3"/>
      <c r="S550" s="4"/>
    </row>
    <row r="551" ht="14.25" customHeight="1">
      <c r="A551" s="1" t="s">
        <v>387</v>
      </c>
      <c r="B551" s="1">
        <v>108.0</v>
      </c>
      <c r="C551" s="1">
        <v>1.14195633E8</v>
      </c>
      <c r="D551" s="1" t="s">
        <v>1339</v>
      </c>
      <c r="E551" s="1" t="s">
        <v>103</v>
      </c>
      <c r="F551" s="1" t="s">
        <v>1340</v>
      </c>
      <c r="G551" s="1">
        <v>193770.0</v>
      </c>
      <c r="H551" s="1">
        <v>2003.0</v>
      </c>
      <c r="I551" s="1" t="s">
        <v>16</v>
      </c>
      <c r="J551" s="1">
        <v>6.0E7</v>
      </c>
      <c r="K551" s="1">
        <v>2004.0</v>
      </c>
      <c r="L551" s="1">
        <v>6.5</v>
      </c>
      <c r="O551" s="3"/>
      <c r="S551" s="4"/>
    </row>
    <row r="552" ht="14.25" customHeight="1">
      <c r="A552" s="1" t="s">
        <v>1341</v>
      </c>
      <c r="B552" s="1">
        <v>85.0</v>
      </c>
      <c r="C552" s="1">
        <v>1.44156464E8</v>
      </c>
      <c r="D552" s="1" t="s">
        <v>222</v>
      </c>
      <c r="E552" s="1" t="s">
        <v>184</v>
      </c>
      <c r="F552" s="1" t="s">
        <v>1342</v>
      </c>
      <c r="G552" s="1">
        <v>74343.0</v>
      </c>
      <c r="H552" s="1">
        <v>98.0</v>
      </c>
      <c r="I552" s="1" t="s">
        <v>16</v>
      </c>
      <c r="J552" s="1">
        <v>7.15E7</v>
      </c>
      <c r="K552" s="1">
        <v>1998.0</v>
      </c>
      <c r="L552" s="1">
        <v>5.3</v>
      </c>
      <c r="O552" s="3"/>
      <c r="S552" s="4"/>
    </row>
    <row r="553" ht="14.25" customHeight="1">
      <c r="A553" s="1" t="s">
        <v>387</v>
      </c>
      <c r="B553" s="1">
        <v>106.0</v>
      </c>
      <c r="C553" s="1">
        <v>2.2796569E8</v>
      </c>
      <c r="D553" s="1" t="s">
        <v>1112</v>
      </c>
      <c r="E553" s="1" t="s">
        <v>1343</v>
      </c>
      <c r="F553" s="1" t="s">
        <v>1344</v>
      </c>
      <c r="G553" s="1">
        <v>271592.0</v>
      </c>
      <c r="H553" s="1">
        <v>2335.0</v>
      </c>
      <c r="I553" s="1" t="s">
        <v>16</v>
      </c>
      <c r="J553" s="1">
        <v>7.2E7</v>
      </c>
      <c r="K553" s="1">
        <v>2002.0</v>
      </c>
      <c r="L553" s="1">
        <v>6.7</v>
      </c>
      <c r="O553" s="3"/>
      <c r="S553" s="4"/>
    </row>
    <row r="554" ht="14.25" customHeight="1">
      <c r="A554" s="1" t="s">
        <v>62</v>
      </c>
      <c r="B554" s="1">
        <v>93.0</v>
      </c>
      <c r="C554" s="1">
        <v>4.36471036E8</v>
      </c>
      <c r="D554" s="1" t="s">
        <v>1345</v>
      </c>
      <c r="E554" s="1" t="s">
        <v>1346</v>
      </c>
      <c r="F554" s="1" t="s">
        <v>1347</v>
      </c>
      <c r="G554" s="1">
        <v>314630.0</v>
      </c>
      <c r="H554" s="1">
        <v>483.0</v>
      </c>
      <c r="I554" s="1" t="s">
        <v>16</v>
      </c>
      <c r="J554" s="1">
        <v>1.5E8</v>
      </c>
      <c r="K554" s="1">
        <v>2004.0</v>
      </c>
      <c r="L554" s="1">
        <v>7.2</v>
      </c>
      <c r="O554" s="3"/>
      <c r="S554" s="4"/>
    </row>
    <row r="555" ht="14.25" customHeight="1">
      <c r="A555" s="1" t="s">
        <v>132</v>
      </c>
      <c r="B555" s="1">
        <v>117.0</v>
      </c>
      <c r="C555" s="1">
        <v>2.44052771E8</v>
      </c>
      <c r="D555" s="1" t="s">
        <v>133</v>
      </c>
      <c r="E555" s="1" t="s">
        <v>178</v>
      </c>
      <c r="F555" s="1" t="s">
        <v>1348</v>
      </c>
      <c r="G555" s="1">
        <v>263853.0</v>
      </c>
      <c r="H555" s="1">
        <v>584.0</v>
      </c>
      <c r="I555" s="1" t="s">
        <v>16</v>
      </c>
      <c r="J555" s="1">
        <v>1.2E8</v>
      </c>
      <c r="K555" s="1">
        <v>2006.0</v>
      </c>
      <c r="L555" s="1">
        <v>7.2</v>
      </c>
      <c r="O555" s="3"/>
      <c r="S555" s="4"/>
    </row>
    <row r="556" ht="14.25" customHeight="1">
      <c r="A556" s="1" t="s">
        <v>1349</v>
      </c>
      <c r="B556" s="1">
        <v>116.0</v>
      </c>
      <c r="C556" s="1">
        <v>1.5214959E8</v>
      </c>
      <c r="D556" s="1" t="s">
        <v>699</v>
      </c>
      <c r="E556" s="1" t="s">
        <v>1028</v>
      </c>
      <c r="F556" s="1" t="s">
        <v>1350</v>
      </c>
      <c r="G556" s="1">
        <v>74274.0</v>
      </c>
      <c r="H556" s="1">
        <v>255.0</v>
      </c>
      <c r="I556" s="1" t="s">
        <v>16</v>
      </c>
      <c r="J556" s="1">
        <v>7.0E7</v>
      </c>
      <c r="K556" s="1">
        <v>1999.0</v>
      </c>
      <c r="L556" s="1">
        <v>5.5</v>
      </c>
      <c r="O556" s="3"/>
      <c r="S556" s="4"/>
    </row>
    <row r="557" ht="14.25" customHeight="1">
      <c r="A557" s="1" t="s">
        <v>214</v>
      </c>
      <c r="B557" s="1">
        <v>132.0</v>
      </c>
      <c r="C557" s="1">
        <v>1.41204016E8</v>
      </c>
      <c r="D557" s="1" t="s">
        <v>22</v>
      </c>
      <c r="E557" s="1" t="s">
        <v>584</v>
      </c>
      <c r="F557" s="1" t="s">
        <v>1351</v>
      </c>
      <c r="G557" s="1">
        <v>142569.0</v>
      </c>
      <c r="H557" s="1">
        <v>737.0</v>
      </c>
      <c r="I557" s="1" t="s">
        <v>16</v>
      </c>
      <c r="J557" s="1">
        <v>7.0E7</v>
      </c>
      <c r="K557" s="1">
        <v>2002.0</v>
      </c>
      <c r="L557" s="1">
        <v>5.8</v>
      </c>
      <c r="O557" s="3"/>
      <c r="S557" s="4"/>
    </row>
    <row r="558" ht="14.25" customHeight="1">
      <c r="A558" s="1" t="s">
        <v>1352</v>
      </c>
      <c r="B558" s="1">
        <v>92.0</v>
      </c>
      <c r="C558" s="1">
        <v>1.62495848E8</v>
      </c>
      <c r="D558" s="1" t="s">
        <v>118</v>
      </c>
      <c r="E558" s="1" t="s">
        <v>1353</v>
      </c>
      <c r="F558" s="1" t="s">
        <v>1354</v>
      </c>
      <c r="G558" s="1">
        <v>34359.0</v>
      </c>
      <c r="H558" s="1">
        <v>133.0</v>
      </c>
      <c r="I558" s="1" t="s">
        <v>16</v>
      </c>
      <c r="J558" s="1">
        <v>7.4E7</v>
      </c>
      <c r="K558" s="1">
        <v>2015.0</v>
      </c>
      <c r="L558" s="1">
        <v>6.0</v>
      </c>
      <c r="O558" s="3"/>
      <c r="S558" s="4"/>
    </row>
    <row r="559" ht="14.25" customHeight="1">
      <c r="A559" s="1" t="s">
        <v>361</v>
      </c>
      <c r="B559" s="1">
        <v>139.0</v>
      </c>
      <c r="C559" s="1">
        <v>1.36448821E8</v>
      </c>
      <c r="D559" s="1" t="s">
        <v>640</v>
      </c>
      <c r="E559" s="1" t="s">
        <v>1355</v>
      </c>
      <c r="F559" s="1" t="s">
        <v>1356</v>
      </c>
      <c r="G559" s="1">
        <v>98989.0</v>
      </c>
      <c r="H559" s="1">
        <v>158.0</v>
      </c>
      <c r="I559" s="1" t="s">
        <v>16</v>
      </c>
      <c r="J559" s="1">
        <v>8.0E7</v>
      </c>
      <c r="K559" s="1">
        <v>1996.0</v>
      </c>
      <c r="L559" s="1">
        <v>6.6</v>
      </c>
      <c r="O559" s="3"/>
      <c r="S559" s="4"/>
    </row>
    <row r="560" ht="14.25" customHeight="1">
      <c r="A560" s="1" t="s">
        <v>734</v>
      </c>
      <c r="B560" s="1">
        <v>153.0</v>
      </c>
      <c r="C560" s="1">
        <v>1.20523073E8</v>
      </c>
      <c r="D560" s="1" t="s">
        <v>1357</v>
      </c>
      <c r="E560" s="1" t="s">
        <v>576</v>
      </c>
      <c r="F560" s="1" t="s">
        <v>1358</v>
      </c>
      <c r="G560" s="1">
        <v>885175.0</v>
      </c>
      <c r="H560" s="1">
        <v>1527.0</v>
      </c>
      <c r="I560" s="1" t="s">
        <v>16</v>
      </c>
      <c r="J560" s="1">
        <v>7.5E7</v>
      </c>
      <c r="K560" s="1">
        <v>2009.0</v>
      </c>
      <c r="L560" s="1">
        <v>8.3</v>
      </c>
      <c r="O560" s="3"/>
      <c r="S560" s="4"/>
    </row>
    <row r="561" ht="14.25" customHeight="1">
      <c r="A561" s="1" t="s">
        <v>168</v>
      </c>
      <c r="B561" s="1">
        <v>142.0</v>
      </c>
      <c r="C561" s="1">
        <v>1.196549E8</v>
      </c>
      <c r="D561" s="1" t="s">
        <v>335</v>
      </c>
      <c r="E561" s="1" t="s">
        <v>346</v>
      </c>
      <c r="F561" s="1" t="s">
        <v>1359</v>
      </c>
      <c r="G561" s="1">
        <v>182802.0</v>
      </c>
      <c r="H561" s="1">
        <v>363.0</v>
      </c>
      <c r="I561" s="1" t="s">
        <v>16</v>
      </c>
      <c r="J561" s="1">
        <v>7.0E7</v>
      </c>
      <c r="K561" s="1">
        <v>1991.0</v>
      </c>
      <c r="L561" s="1">
        <v>6.7</v>
      </c>
      <c r="O561" s="3"/>
      <c r="S561" s="4"/>
    </row>
    <row r="562" ht="14.25" customHeight="1">
      <c r="A562" s="1" t="s">
        <v>875</v>
      </c>
      <c r="B562" s="1">
        <v>124.0</v>
      </c>
      <c r="C562" s="1">
        <v>1.17541E8</v>
      </c>
      <c r="D562" s="1" t="s">
        <v>26</v>
      </c>
      <c r="E562" s="1" t="s">
        <v>415</v>
      </c>
      <c r="F562" s="1" t="s">
        <v>1360</v>
      </c>
      <c r="G562" s="1">
        <v>269858.0</v>
      </c>
      <c r="H562" s="1">
        <v>316.0</v>
      </c>
      <c r="I562" s="1" t="s">
        <v>16</v>
      </c>
      <c r="J562" s="1">
        <v>7.0E7</v>
      </c>
      <c r="K562" s="1">
        <v>1990.0</v>
      </c>
      <c r="L562" s="1">
        <v>7.1</v>
      </c>
      <c r="O562" s="3"/>
      <c r="S562" s="4"/>
    </row>
    <row r="563" ht="14.25" customHeight="1">
      <c r="A563" s="1" t="s">
        <v>1361</v>
      </c>
      <c r="B563" s="1">
        <v>117.0</v>
      </c>
      <c r="C563" s="1">
        <v>1.16643346E8</v>
      </c>
      <c r="D563" s="1" t="s">
        <v>1362</v>
      </c>
      <c r="E563" s="1" t="s">
        <v>550</v>
      </c>
      <c r="F563" s="1" t="s">
        <v>1363</v>
      </c>
      <c r="G563" s="1">
        <v>119807.0</v>
      </c>
      <c r="H563" s="1">
        <v>340.0</v>
      </c>
      <c r="I563" s="1" t="s">
        <v>16</v>
      </c>
      <c r="J563" s="1">
        <v>8.0E7</v>
      </c>
      <c r="K563" s="1">
        <v>2003.0</v>
      </c>
      <c r="L563" s="1">
        <v>6.0</v>
      </c>
      <c r="O563" s="3"/>
      <c r="S563" s="4"/>
    </row>
    <row r="564" ht="14.25" customHeight="1">
      <c r="A564" s="1" t="s">
        <v>1364</v>
      </c>
      <c r="B564" s="1">
        <v>141.0</v>
      </c>
      <c r="C564" s="1">
        <v>1.00614858E8</v>
      </c>
      <c r="D564" s="1" t="s">
        <v>1365</v>
      </c>
      <c r="E564" s="1" t="s">
        <v>226</v>
      </c>
      <c r="F564" s="1" t="s">
        <v>1366</v>
      </c>
      <c r="G564" s="1">
        <v>206776.0</v>
      </c>
      <c r="H564" s="1">
        <v>1248.0</v>
      </c>
      <c r="I564" s="1" t="s">
        <v>16</v>
      </c>
      <c r="J564" s="1">
        <v>6.8E7</v>
      </c>
      <c r="K564" s="1">
        <v>2001.0</v>
      </c>
      <c r="L564" s="1">
        <v>6.9</v>
      </c>
      <c r="O564" s="3"/>
      <c r="S564" s="4"/>
    </row>
    <row r="565" ht="14.25" customHeight="1">
      <c r="A565" s="1" t="s">
        <v>387</v>
      </c>
      <c r="B565" s="1">
        <v>110.0</v>
      </c>
      <c r="C565" s="1">
        <v>4.2272747E7</v>
      </c>
      <c r="D565" s="1" t="s">
        <v>1367</v>
      </c>
      <c r="E565" s="1" t="s">
        <v>103</v>
      </c>
      <c r="F565" s="1" t="s">
        <v>1368</v>
      </c>
      <c r="G565" s="1">
        <v>78635.0</v>
      </c>
      <c r="H565" s="1">
        <v>1040.0</v>
      </c>
      <c r="I565" s="1" t="s">
        <v>16</v>
      </c>
      <c r="J565" s="1">
        <v>7.0E7</v>
      </c>
      <c r="K565" s="1">
        <v>2006.0</v>
      </c>
      <c r="L565" s="1">
        <v>5.6</v>
      </c>
      <c r="O565" s="3"/>
      <c r="S565" s="4"/>
    </row>
    <row r="566" ht="14.25" customHeight="1">
      <c r="A566" s="1" t="s">
        <v>983</v>
      </c>
      <c r="B566" s="1">
        <v>109.0</v>
      </c>
      <c r="C566" s="1">
        <v>8.0281096E7</v>
      </c>
      <c r="D566" s="1" t="s">
        <v>934</v>
      </c>
      <c r="E566" s="1" t="s">
        <v>1369</v>
      </c>
      <c r="F566" s="1" t="s">
        <v>1370</v>
      </c>
      <c r="G566" s="1">
        <v>143628.0</v>
      </c>
      <c r="H566" s="1">
        <v>1283.0</v>
      </c>
      <c r="I566" s="1" t="s">
        <v>16</v>
      </c>
      <c r="J566" s="1">
        <v>6.0E7</v>
      </c>
      <c r="K566" s="1">
        <v>2004.0</v>
      </c>
      <c r="L566" s="1">
        <v>5.6</v>
      </c>
      <c r="O566" s="3"/>
      <c r="S566" s="4"/>
    </row>
    <row r="567" ht="14.25" customHeight="1">
      <c r="A567" s="1" t="s">
        <v>1341</v>
      </c>
      <c r="B567" s="1">
        <v>88.0</v>
      </c>
      <c r="C567" s="1">
        <v>2.19613391E8</v>
      </c>
      <c r="D567" s="1" t="s">
        <v>1371</v>
      </c>
      <c r="E567" s="1" t="s">
        <v>204</v>
      </c>
      <c r="F567" s="1" t="s">
        <v>1372</v>
      </c>
      <c r="G567" s="1">
        <v>31649.0</v>
      </c>
      <c r="H567" s="1">
        <v>98.0</v>
      </c>
      <c r="I567" s="1" t="s">
        <v>16</v>
      </c>
      <c r="J567" s="1">
        <v>7.5E7</v>
      </c>
      <c r="K567" s="1">
        <v>2009.0</v>
      </c>
      <c r="L567" s="1">
        <v>4.5</v>
      </c>
      <c r="O567" s="3"/>
      <c r="S567" s="4"/>
    </row>
    <row r="568" ht="14.25" customHeight="1">
      <c r="A568" s="1" t="s">
        <v>1373</v>
      </c>
      <c r="B568" s="1">
        <v>124.0</v>
      </c>
      <c r="C568" s="1">
        <v>7.8120196E7</v>
      </c>
      <c r="D568" s="1" t="s">
        <v>431</v>
      </c>
      <c r="E568" s="1" t="s">
        <v>256</v>
      </c>
      <c r="F568" s="1" t="s">
        <v>1374</v>
      </c>
      <c r="G568" s="1">
        <v>103241.0</v>
      </c>
      <c r="H568" s="1">
        <v>742.0</v>
      </c>
      <c r="I568" s="1" t="s">
        <v>16</v>
      </c>
      <c r="J568" s="1">
        <v>7.5E7</v>
      </c>
      <c r="K568" s="1">
        <v>2002.0</v>
      </c>
      <c r="L568" s="1">
        <v>7.1</v>
      </c>
      <c r="O568" s="3"/>
      <c r="S568" s="4"/>
    </row>
    <row r="569" ht="14.25" customHeight="1">
      <c r="A569" s="1" t="s">
        <v>1263</v>
      </c>
      <c r="B569" s="1">
        <v>119.0</v>
      </c>
      <c r="C569" s="1">
        <v>9.8895417E7</v>
      </c>
      <c r="D569" s="1" t="s">
        <v>26</v>
      </c>
      <c r="E569" s="1" t="s">
        <v>275</v>
      </c>
      <c r="F569" s="1" t="s">
        <v>1375</v>
      </c>
      <c r="G569" s="1">
        <v>203154.0</v>
      </c>
      <c r="H569" s="1">
        <v>698.0</v>
      </c>
      <c r="I569" s="1" t="s">
        <v>16</v>
      </c>
      <c r="J569" s="1">
        <v>7.0E7</v>
      </c>
      <c r="K569" s="1">
        <v>2013.0</v>
      </c>
      <c r="L569" s="1">
        <v>6.5</v>
      </c>
      <c r="O569" s="3"/>
      <c r="S569" s="4"/>
    </row>
    <row r="570" ht="14.25" customHeight="1">
      <c r="A570" s="1" t="s">
        <v>1376</v>
      </c>
      <c r="B570" s="1">
        <v>103.0</v>
      </c>
      <c r="C570" s="1">
        <v>7.0117571E7</v>
      </c>
      <c r="D570" s="1" t="s">
        <v>99</v>
      </c>
      <c r="E570" s="1" t="s">
        <v>1377</v>
      </c>
      <c r="F570" s="1" t="s">
        <v>1378</v>
      </c>
      <c r="G570" s="1">
        <v>56741.0</v>
      </c>
      <c r="H570" s="1">
        <v>515.0</v>
      </c>
      <c r="I570" s="1" t="s">
        <v>16</v>
      </c>
      <c r="J570" s="1">
        <v>5.8E7</v>
      </c>
      <c r="K570" s="1">
        <v>1998.0</v>
      </c>
      <c r="L570" s="1">
        <v>6.4</v>
      </c>
      <c r="O570" s="3"/>
      <c r="S570" s="4"/>
    </row>
    <row r="571" ht="14.25" customHeight="1">
      <c r="A571" s="1" t="s">
        <v>373</v>
      </c>
      <c r="B571" s="1">
        <v>116.0</v>
      </c>
      <c r="C571" s="1">
        <v>8.3552429E7</v>
      </c>
      <c r="D571" s="1" t="s">
        <v>278</v>
      </c>
      <c r="E571" s="1" t="s">
        <v>615</v>
      </c>
      <c r="F571" s="1" t="s">
        <v>1379</v>
      </c>
      <c r="G571" s="1">
        <v>154955.0</v>
      </c>
      <c r="H571" s="1">
        <v>800.0</v>
      </c>
      <c r="I571" s="1" t="s">
        <v>16</v>
      </c>
      <c r="J571" s="1">
        <v>7.0E7</v>
      </c>
      <c r="K571" s="1">
        <v>2011.0</v>
      </c>
      <c r="L571" s="1">
        <v>5.8</v>
      </c>
      <c r="O571" s="3"/>
      <c r="S571" s="4"/>
    </row>
    <row r="572" ht="14.25" customHeight="1">
      <c r="A572" s="1" t="s">
        <v>111</v>
      </c>
      <c r="B572" s="1">
        <v>125.0</v>
      </c>
      <c r="C572" s="1">
        <v>6.6257002E7</v>
      </c>
      <c r="D572" s="1" t="s">
        <v>565</v>
      </c>
      <c r="E572" s="1" t="s">
        <v>119</v>
      </c>
      <c r="F572" s="1" t="s">
        <v>1380</v>
      </c>
      <c r="G572" s="1">
        <v>350698.0</v>
      </c>
      <c r="H572" s="1">
        <v>816.0</v>
      </c>
      <c r="I572" s="1" t="s">
        <v>16</v>
      </c>
      <c r="J572" s="1">
        <v>7.0E7</v>
      </c>
      <c r="K572" s="1">
        <v>2003.0</v>
      </c>
      <c r="L572" s="1">
        <v>8.0</v>
      </c>
      <c r="O572" s="3"/>
      <c r="S572" s="4"/>
    </row>
    <row r="573" ht="14.25" customHeight="1">
      <c r="A573" s="1" t="s">
        <v>1251</v>
      </c>
      <c r="B573" s="1">
        <v>125.0</v>
      </c>
      <c r="C573" s="1">
        <v>6.5012E7</v>
      </c>
      <c r="D573" s="1" t="s">
        <v>1381</v>
      </c>
      <c r="E573" s="1" t="s">
        <v>1382</v>
      </c>
      <c r="F573" s="1" t="s">
        <v>1383</v>
      </c>
      <c r="G573" s="1">
        <v>43559.0</v>
      </c>
      <c r="H573" s="1">
        <v>137.0</v>
      </c>
      <c r="I573" s="1" t="s">
        <v>16</v>
      </c>
      <c r="J573" s="1">
        <v>7.0E7</v>
      </c>
      <c r="K573" s="1">
        <v>1994.0</v>
      </c>
      <c r="L573" s="1">
        <v>6.2</v>
      </c>
      <c r="O573" s="3"/>
      <c r="S573" s="4"/>
    </row>
    <row r="574" ht="14.25" customHeight="1">
      <c r="A574" s="1" t="s">
        <v>168</v>
      </c>
      <c r="B574" s="1">
        <v>146.0</v>
      </c>
      <c r="C574" s="1">
        <v>7.9883359E7</v>
      </c>
      <c r="D574" s="1" t="s">
        <v>1384</v>
      </c>
      <c r="E574" s="1" t="s">
        <v>1385</v>
      </c>
      <c r="F574" s="1" t="s">
        <v>1386</v>
      </c>
      <c r="G574" s="1">
        <v>116159.0</v>
      </c>
      <c r="H574" s="1">
        <v>488.0</v>
      </c>
      <c r="I574" s="1" t="s">
        <v>16</v>
      </c>
      <c r="J574" s="1">
        <v>6.6E7</v>
      </c>
      <c r="K574" s="1">
        <v>2011.0</v>
      </c>
      <c r="L574" s="1">
        <v>7.2</v>
      </c>
      <c r="O574" s="3"/>
      <c r="S574" s="4"/>
    </row>
    <row r="575" ht="14.25" customHeight="1">
      <c r="A575" s="1" t="s">
        <v>1387</v>
      </c>
      <c r="B575" s="1">
        <v>118.0</v>
      </c>
      <c r="C575" s="1">
        <v>7.803162E7</v>
      </c>
      <c r="D575" s="1" t="s">
        <v>1384</v>
      </c>
      <c r="E575" s="1" t="s">
        <v>899</v>
      </c>
      <c r="F575" s="1" t="s">
        <v>1388</v>
      </c>
      <c r="G575" s="1">
        <v>102248.0</v>
      </c>
      <c r="H575" s="1">
        <v>403.0</v>
      </c>
      <c r="I575" s="1" t="s">
        <v>16</v>
      </c>
      <c r="J575" s="1">
        <v>7.0E7</v>
      </c>
      <c r="K575" s="1">
        <v>2014.0</v>
      </c>
      <c r="L575" s="1">
        <v>6.1</v>
      </c>
      <c r="O575" s="3"/>
      <c r="S575" s="4"/>
    </row>
    <row r="576" ht="14.25" customHeight="1">
      <c r="A576" s="1" t="s">
        <v>12</v>
      </c>
      <c r="B576" s="1">
        <v>171.0</v>
      </c>
      <c r="C576" s="1">
        <v>5.4222E7</v>
      </c>
      <c r="D576" s="1" t="s">
        <v>617</v>
      </c>
      <c r="E576" s="1" t="s">
        <v>1389</v>
      </c>
      <c r="F576" s="1" t="s">
        <v>1390</v>
      </c>
      <c r="G576" s="1">
        <v>131217.0</v>
      </c>
      <c r="H576" s="1">
        <v>380.0</v>
      </c>
      <c r="I576" s="1" t="s">
        <v>16</v>
      </c>
      <c r="J576" s="1">
        <v>6.95E7</v>
      </c>
      <c r="K576" s="1">
        <v>1989.0</v>
      </c>
      <c r="L576" s="1">
        <v>7.6</v>
      </c>
      <c r="O576" s="3"/>
      <c r="S576" s="4"/>
    </row>
    <row r="577" ht="14.25" customHeight="1">
      <c r="A577" s="1" t="s">
        <v>324</v>
      </c>
      <c r="B577" s="1">
        <v>136.0</v>
      </c>
      <c r="C577" s="1">
        <v>5.2474616E7</v>
      </c>
      <c r="D577" s="1" t="s">
        <v>1391</v>
      </c>
      <c r="E577" s="1" t="s">
        <v>1392</v>
      </c>
      <c r="F577" s="1" t="s">
        <v>1393</v>
      </c>
      <c r="G577" s="1">
        <v>84118.0</v>
      </c>
      <c r="H577" s="1">
        <v>245.0</v>
      </c>
      <c r="I577" s="1" t="s">
        <v>16</v>
      </c>
      <c r="J577" s="1">
        <v>7.0E7</v>
      </c>
      <c r="K577" s="1">
        <v>2010.0</v>
      </c>
      <c r="L577" s="1">
        <v>6.3</v>
      </c>
      <c r="O577" s="3"/>
      <c r="S577" s="4"/>
    </row>
    <row r="578" ht="14.25" customHeight="1">
      <c r="A578" s="1" t="s">
        <v>1394</v>
      </c>
      <c r="B578" s="1">
        <v>92.0</v>
      </c>
      <c r="C578" s="1">
        <v>5.594283E7</v>
      </c>
      <c r="D578" s="1" t="s">
        <v>1395</v>
      </c>
      <c r="E578" s="1" t="s">
        <v>312</v>
      </c>
      <c r="F578" s="1" t="s">
        <v>1396</v>
      </c>
      <c r="G578" s="1">
        <v>138582.0</v>
      </c>
      <c r="H578" s="1">
        <v>423.0</v>
      </c>
      <c r="I578" s="1" t="s">
        <v>16</v>
      </c>
      <c r="J578" s="1">
        <v>7.0E7</v>
      </c>
      <c r="K578" s="1">
        <v>2014.0</v>
      </c>
      <c r="L578" s="1">
        <v>6.3</v>
      </c>
      <c r="O578" s="3"/>
      <c r="S578" s="4"/>
    </row>
    <row r="579" ht="14.25" customHeight="1">
      <c r="A579" s="1" t="s">
        <v>430</v>
      </c>
      <c r="B579" s="1">
        <v>116.0</v>
      </c>
      <c r="C579" s="1">
        <v>4.0932372E7</v>
      </c>
      <c r="D579" s="1" t="s">
        <v>26</v>
      </c>
      <c r="E579" s="1" t="s">
        <v>717</v>
      </c>
      <c r="F579" s="1" t="s">
        <v>1397</v>
      </c>
      <c r="G579" s="1">
        <v>58023.0</v>
      </c>
      <c r="H579" s="1">
        <v>281.0</v>
      </c>
      <c r="I579" s="1" t="s">
        <v>16</v>
      </c>
      <c r="J579" s="1">
        <v>7.0E7</v>
      </c>
      <c r="K579" s="1">
        <v>1998.0</v>
      </c>
      <c r="L579" s="1">
        <v>6.3</v>
      </c>
      <c r="O579" s="3"/>
      <c r="S579" s="4"/>
    </row>
    <row r="580" ht="14.25" customHeight="1">
      <c r="A580" s="1" t="s">
        <v>295</v>
      </c>
      <c r="B580" s="1">
        <v>127.0</v>
      </c>
      <c r="C580" s="1">
        <v>3.8345403E7</v>
      </c>
      <c r="D580" s="1" t="s">
        <v>1398</v>
      </c>
      <c r="E580" s="1" t="s">
        <v>49</v>
      </c>
      <c r="F580" s="1" t="s">
        <v>1399</v>
      </c>
      <c r="G580" s="1">
        <v>212085.0</v>
      </c>
      <c r="H580" s="1">
        <v>492.0</v>
      </c>
      <c r="I580" s="1" t="s">
        <v>16</v>
      </c>
      <c r="J580" s="1">
        <v>7.0E7</v>
      </c>
      <c r="K580" s="1">
        <v>2007.0</v>
      </c>
      <c r="L580" s="1">
        <v>7.7</v>
      </c>
      <c r="O580" s="3"/>
      <c r="S580" s="4"/>
    </row>
    <row r="581" ht="14.25" customHeight="1">
      <c r="A581" s="1" t="s">
        <v>1008</v>
      </c>
      <c r="B581" s="1">
        <v>136.0</v>
      </c>
      <c r="C581" s="1">
        <v>3.7901509E7</v>
      </c>
      <c r="D581" s="1" t="s">
        <v>1400</v>
      </c>
      <c r="E581" s="1" t="s">
        <v>293</v>
      </c>
      <c r="F581" s="1" t="s">
        <v>1401</v>
      </c>
      <c r="G581" s="1">
        <v>96385.0</v>
      </c>
      <c r="H581" s="1">
        <v>119.0</v>
      </c>
      <c r="I581" s="1" t="s">
        <v>16</v>
      </c>
      <c r="J581" s="1">
        <v>7.0E7</v>
      </c>
      <c r="K581" s="1">
        <v>1997.0</v>
      </c>
      <c r="L581" s="1">
        <v>7.0</v>
      </c>
      <c r="O581" s="3"/>
      <c r="S581" s="4"/>
    </row>
    <row r="582" ht="14.25" customHeight="1">
      <c r="A582" s="1" t="s">
        <v>361</v>
      </c>
      <c r="B582" s="1">
        <v>111.0</v>
      </c>
      <c r="C582" s="1">
        <v>4.8430355E7</v>
      </c>
      <c r="D582" s="1" t="s">
        <v>1059</v>
      </c>
      <c r="E582" s="1" t="s">
        <v>191</v>
      </c>
      <c r="F582" s="1" t="s">
        <v>1402</v>
      </c>
      <c r="G582" s="1">
        <v>43709.0</v>
      </c>
      <c r="H582" s="1">
        <v>141.0</v>
      </c>
      <c r="I582" s="1" t="s">
        <v>16</v>
      </c>
      <c r="J582" s="1">
        <v>7.0E7</v>
      </c>
      <c r="K582" s="1">
        <v>2011.0</v>
      </c>
      <c r="L582" s="1">
        <v>5.3</v>
      </c>
      <c r="O582" s="3"/>
      <c r="S582" s="4"/>
    </row>
    <row r="583" ht="14.25" customHeight="1">
      <c r="A583" s="1" t="s">
        <v>552</v>
      </c>
      <c r="B583" s="1">
        <v>116.0</v>
      </c>
      <c r="C583" s="1">
        <v>3.0157016E7</v>
      </c>
      <c r="D583" s="1" t="s">
        <v>454</v>
      </c>
      <c r="E583" s="1" t="s">
        <v>326</v>
      </c>
      <c r="F583" s="1" t="s">
        <v>1403</v>
      </c>
      <c r="G583" s="1">
        <v>39659.0</v>
      </c>
      <c r="H583" s="1">
        <v>189.0</v>
      </c>
      <c r="I583" s="1" t="s">
        <v>16</v>
      </c>
      <c r="J583" s="1">
        <v>7.0E7</v>
      </c>
      <c r="K583" s="1">
        <v>2002.0</v>
      </c>
      <c r="L583" s="1">
        <v>5.6</v>
      </c>
      <c r="O583" s="3"/>
      <c r="S583" s="4"/>
    </row>
    <row r="584" ht="14.25" customHeight="1">
      <c r="A584" s="1" t="s">
        <v>1404</v>
      </c>
      <c r="B584" s="1">
        <v>113.0</v>
      </c>
      <c r="C584" s="1">
        <v>2.803125E7</v>
      </c>
      <c r="D584" s="1" t="s">
        <v>1405</v>
      </c>
      <c r="E584" s="1" t="s">
        <v>632</v>
      </c>
      <c r="F584" s="1" t="s">
        <v>1406</v>
      </c>
      <c r="G584" s="1">
        <v>88146.0</v>
      </c>
      <c r="H584" s="1">
        <v>814.0</v>
      </c>
      <c r="I584" s="1" t="s">
        <v>16</v>
      </c>
      <c r="J584" s="1">
        <v>6.0E7</v>
      </c>
      <c r="K584" s="1">
        <v>2005.0</v>
      </c>
      <c r="L584" s="1">
        <v>5.2</v>
      </c>
      <c r="O584" s="3"/>
      <c r="S584" s="4"/>
    </row>
    <row r="585" ht="14.25" customHeight="1">
      <c r="A585" s="1" t="s">
        <v>1341</v>
      </c>
      <c r="B585" s="1">
        <v>97.0</v>
      </c>
      <c r="C585" s="1">
        <v>3.31056E7</v>
      </c>
      <c r="D585" s="1" t="s">
        <v>454</v>
      </c>
      <c r="E585" s="1" t="s">
        <v>1407</v>
      </c>
      <c r="F585" s="1" t="s">
        <v>1408</v>
      </c>
      <c r="G585" s="1">
        <v>41663.0</v>
      </c>
      <c r="H585" s="1">
        <v>141.0</v>
      </c>
      <c r="I585" s="1" t="s">
        <v>16</v>
      </c>
      <c r="J585" s="1">
        <v>7.0E7</v>
      </c>
      <c r="K585" s="1">
        <v>2002.0</v>
      </c>
      <c r="L585" s="1">
        <v>5.4</v>
      </c>
      <c r="O585" s="3"/>
      <c r="S585" s="4"/>
    </row>
    <row r="586" ht="14.25" customHeight="1">
      <c r="A586" s="1" t="s">
        <v>1409</v>
      </c>
      <c r="B586" s="1">
        <v>88.0</v>
      </c>
      <c r="C586" s="1">
        <v>6.2321039E7</v>
      </c>
      <c r="D586" s="1" t="s">
        <v>1410</v>
      </c>
      <c r="E586" s="1" t="s">
        <v>1411</v>
      </c>
      <c r="F586" s="1" t="s">
        <v>1412</v>
      </c>
      <c r="G586" s="1">
        <v>117096.0</v>
      </c>
      <c r="H586" s="1">
        <v>271.0</v>
      </c>
      <c r="I586" s="1" t="s">
        <v>16</v>
      </c>
      <c r="J586" s="1">
        <v>7.0E7</v>
      </c>
      <c r="K586" s="1">
        <v>2012.0</v>
      </c>
      <c r="L586" s="1">
        <v>6.4</v>
      </c>
      <c r="O586" s="3"/>
      <c r="S586" s="4"/>
    </row>
    <row r="587" ht="14.25" customHeight="1">
      <c r="A587" s="1" t="s">
        <v>1087</v>
      </c>
      <c r="B587" s="1">
        <v>136.0</v>
      </c>
      <c r="C587" s="1">
        <v>3.8509342E7</v>
      </c>
      <c r="D587" s="1" t="s">
        <v>1413</v>
      </c>
      <c r="E587" s="1" t="s">
        <v>1414</v>
      </c>
      <c r="F587" s="1" t="s">
        <v>1415</v>
      </c>
      <c r="G587" s="1">
        <v>61995.0</v>
      </c>
      <c r="H587" s="1">
        <v>356.0</v>
      </c>
      <c r="I587" s="1" t="s">
        <v>16</v>
      </c>
      <c r="J587" s="1">
        <v>7.5E7</v>
      </c>
      <c r="K587" s="1">
        <v>2012.0</v>
      </c>
      <c r="L587" s="1">
        <v>5.9</v>
      </c>
      <c r="O587" s="3"/>
      <c r="S587" s="4"/>
    </row>
    <row r="588" ht="14.25" customHeight="1">
      <c r="A588" s="1" t="s">
        <v>1416</v>
      </c>
      <c r="B588" s="1">
        <v>125.0</v>
      </c>
      <c r="C588" s="1">
        <v>1.9076815E7</v>
      </c>
      <c r="D588" s="1" t="s">
        <v>1384</v>
      </c>
      <c r="E588" s="1" t="s">
        <v>415</v>
      </c>
      <c r="F588" s="1" t="s">
        <v>1417</v>
      </c>
      <c r="G588" s="1">
        <v>43651.0</v>
      </c>
      <c r="H588" s="1">
        <v>196.0</v>
      </c>
      <c r="I588" s="1" t="s">
        <v>16</v>
      </c>
      <c r="J588" s="1">
        <v>6.0E7</v>
      </c>
      <c r="K588" s="1">
        <v>2002.0</v>
      </c>
      <c r="L588" s="1">
        <v>6.3</v>
      </c>
      <c r="O588" s="3"/>
      <c r="S588" s="4"/>
    </row>
    <row r="589" ht="14.25" customHeight="1">
      <c r="A589" s="1" t="s">
        <v>1418</v>
      </c>
      <c r="B589" s="1">
        <v>116.0</v>
      </c>
      <c r="C589" s="1">
        <v>2.5093607E7</v>
      </c>
      <c r="D589" s="1" t="s">
        <v>146</v>
      </c>
      <c r="E589" s="1" t="s">
        <v>147</v>
      </c>
      <c r="F589" s="1" t="s">
        <v>1419</v>
      </c>
      <c r="G589" s="1">
        <v>105556.0</v>
      </c>
      <c r="H589" s="1">
        <v>157.0</v>
      </c>
      <c r="I589" s="1" t="s">
        <v>16</v>
      </c>
      <c r="J589" s="1">
        <v>3.5E7</v>
      </c>
      <c r="K589" s="1">
        <v>2011.0</v>
      </c>
      <c r="L589" s="1">
        <v>6.5</v>
      </c>
      <c r="O589" s="3"/>
      <c r="S589" s="4"/>
    </row>
    <row r="590" ht="14.25" customHeight="1">
      <c r="A590" s="1" t="s">
        <v>545</v>
      </c>
      <c r="B590" s="1">
        <v>98.0</v>
      </c>
      <c r="C590" s="1">
        <v>1.8990542E7</v>
      </c>
      <c r="D590" s="1" t="s">
        <v>1420</v>
      </c>
      <c r="E590" s="1" t="s">
        <v>1421</v>
      </c>
      <c r="F590" s="1" t="s">
        <v>1422</v>
      </c>
      <c r="G590" s="1">
        <v>22264.0</v>
      </c>
      <c r="H590" s="1">
        <v>289.0</v>
      </c>
      <c r="I590" s="1" t="s">
        <v>16</v>
      </c>
      <c r="J590" s="1">
        <v>7.0E7</v>
      </c>
      <c r="K590" s="1">
        <v>2002.0</v>
      </c>
      <c r="L590" s="1">
        <v>3.0</v>
      </c>
      <c r="O590" s="3"/>
      <c r="S590" s="4"/>
    </row>
    <row r="591" ht="14.25" customHeight="1">
      <c r="A591" s="1" t="s">
        <v>1423</v>
      </c>
      <c r="B591" s="1">
        <v>91.0</v>
      </c>
      <c r="C591" s="1">
        <v>1.4294842E7</v>
      </c>
      <c r="D591" s="1" t="s">
        <v>587</v>
      </c>
      <c r="E591" s="1" t="s">
        <v>1424</v>
      </c>
      <c r="F591" s="1" t="s">
        <v>1425</v>
      </c>
      <c r="G591" s="1">
        <v>16761.0</v>
      </c>
      <c r="H591" s="1">
        <v>277.0</v>
      </c>
      <c r="I591" s="1" t="s">
        <v>16</v>
      </c>
      <c r="J591" s="1">
        <v>7.0E7</v>
      </c>
      <c r="K591" s="1">
        <v>2002.0</v>
      </c>
      <c r="L591" s="1">
        <v>3.6</v>
      </c>
      <c r="O591" s="3"/>
      <c r="S591" s="4"/>
    </row>
    <row r="592" ht="14.25" customHeight="1">
      <c r="A592" s="1" t="s">
        <v>1426</v>
      </c>
      <c r="B592" s="1">
        <v>97.0</v>
      </c>
      <c r="C592" s="1">
        <v>1.9819494E7</v>
      </c>
      <c r="D592" s="1" t="s">
        <v>197</v>
      </c>
      <c r="E592" s="1" t="s">
        <v>600</v>
      </c>
      <c r="F592" s="1" t="s">
        <v>1427</v>
      </c>
      <c r="G592" s="1">
        <v>26893.0</v>
      </c>
      <c r="H592" s="1">
        <v>126.0</v>
      </c>
      <c r="I592" s="1" t="s">
        <v>16</v>
      </c>
      <c r="J592" s="1">
        <v>7.0E7</v>
      </c>
      <c r="K592" s="1">
        <v>1998.0</v>
      </c>
      <c r="L592" s="1">
        <v>5.8</v>
      </c>
      <c r="O592" s="3"/>
      <c r="S592" s="4"/>
    </row>
    <row r="593" ht="14.25" customHeight="1">
      <c r="A593" s="1" t="s">
        <v>1428</v>
      </c>
      <c r="B593" s="1">
        <v>95.0</v>
      </c>
      <c r="C593" s="1">
        <v>1.3596911E7</v>
      </c>
      <c r="D593" s="1" t="s">
        <v>1429</v>
      </c>
      <c r="E593" s="1" t="s">
        <v>361</v>
      </c>
      <c r="F593" s="1" t="s">
        <v>1430</v>
      </c>
      <c r="G593" s="1">
        <v>25572.0</v>
      </c>
      <c r="H593" s="1">
        <v>123.0</v>
      </c>
      <c r="I593" s="1" t="s">
        <v>16</v>
      </c>
      <c r="J593" s="1">
        <v>7.0E7</v>
      </c>
      <c r="K593" s="1">
        <v>2001.0</v>
      </c>
      <c r="L593" s="1">
        <v>6.2</v>
      </c>
      <c r="O593" s="3"/>
      <c r="S593" s="4"/>
    </row>
    <row r="594" ht="14.25" customHeight="1">
      <c r="A594" s="1" t="s">
        <v>660</v>
      </c>
      <c r="B594" s="1">
        <v>88.0</v>
      </c>
      <c r="C594" s="1">
        <v>8460990.0</v>
      </c>
      <c r="D594" s="1" t="s">
        <v>1431</v>
      </c>
      <c r="E594" s="1" t="s">
        <v>1432</v>
      </c>
      <c r="F594" s="1" t="s">
        <v>1433</v>
      </c>
      <c r="G594" s="1">
        <v>5116.0</v>
      </c>
      <c r="H594" s="1">
        <v>54.0</v>
      </c>
      <c r="I594" s="1" t="s">
        <v>16</v>
      </c>
      <c r="J594" s="1">
        <v>7.0E7</v>
      </c>
      <c r="K594" s="1">
        <v>2013.0</v>
      </c>
      <c r="L594" s="1">
        <v>5.6</v>
      </c>
      <c r="O594" s="3"/>
      <c r="S594" s="4"/>
    </row>
    <row r="595" ht="14.25" customHeight="1">
      <c r="A595" s="1" t="s">
        <v>680</v>
      </c>
      <c r="B595" s="1">
        <v>133.0</v>
      </c>
      <c r="C595" s="1">
        <v>7097125.0</v>
      </c>
      <c r="D595" s="1" t="s">
        <v>998</v>
      </c>
      <c r="E595" s="1" t="s">
        <v>42</v>
      </c>
      <c r="F595" s="1" t="s">
        <v>1434</v>
      </c>
      <c r="G595" s="1">
        <v>38983.0</v>
      </c>
      <c r="H595" s="1">
        <v>207.0</v>
      </c>
      <c r="I595" s="1" t="s">
        <v>16</v>
      </c>
      <c r="J595" s="1">
        <v>7.0E7</v>
      </c>
      <c r="K595" s="1">
        <v>2015.0</v>
      </c>
      <c r="L595" s="1">
        <v>5.4</v>
      </c>
      <c r="O595" s="3"/>
      <c r="S595" s="4"/>
    </row>
    <row r="596" ht="14.25" customHeight="1">
      <c r="A596" s="1" t="s">
        <v>1435</v>
      </c>
      <c r="B596" s="1">
        <v>106.0</v>
      </c>
      <c r="C596" s="1">
        <v>3.776008E7</v>
      </c>
      <c r="D596" s="1" t="s">
        <v>663</v>
      </c>
      <c r="E596" s="1" t="s">
        <v>245</v>
      </c>
      <c r="F596" s="1" t="s">
        <v>1436</v>
      </c>
      <c r="G596" s="1">
        <v>72868.0</v>
      </c>
      <c r="H596" s="1">
        <v>618.0</v>
      </c>
      <c r="I596" s="1" t="s">
        <v>16</v>
      </c>
      <c r="J596" s="1">
        <v>7.0E7</v>
      </c>
      <c r="K596" s="1">
        <v>2004.0</v>
      </c>
      <c r="L596" s="1">
        <v>6.1</v>
      </c>
      <c r="O596" s="3"/>
      <c r="S596" s="4"/>
    </row>
    <row r="597" ht="14.25" customHeight="1">
      <c r="A597" s="1" t="s">
        <v>1437</v>
      </c>
      <c r="B597" s="1">
        <v>116.0</v>
      </c>
      <c r="C597" s="1">
        <v>5851188.0</v>
      </c>
      <c r="D597" s="1" t="s">
        <v>938</v>
      </c>
      <c r="E597" s="1" t="s">
        <v>1438</v>
      </c>
      <c r="F597" s="1" t="s">
        <v>1439</v>
      </c>
      <c r="G597" s="1">
        <v>31124.0</v>
      </c>
      <c r="H597" s="1">
        <v>313.0</v>
      </c>
      <c r="I597" s="1" t="s">
        <v>16</v>
      </c>
      <c r="J597" s="1">
        <v>7.0E7</v>
      </c>
      <c r="K597" s="1">
        <v>2006.0</v>
      </c>
      <c r="L597" s="1">
        <v>4.2</v>
      </c>
      <c r="O597" s="3"/>
      <c r="S597" s="4"/>
    </row>
    <row r="598" ht="14.25" customHeight="1">
      <c r="A598" s="1" t="s">
        <v>1440</v>
      </c>
      <c r="B598" s="1">
        <v>115.0</v>
      </c>
      <c r="C598" s="1">
        <v>2.5121291E7</v>
      </c>
      <c r="D598" s="1" t="s">
        <v>1441</v>
      </c>
      <c r="E598" s="1" t="s">
        <v>1061</v>
      </c>
      <c r="F598" s="1" t="s">
        <v>1442</v>
      </c>
      <c r="G598" s="1">
        <v>177653.0</v>
      </c>
      <c r="H598" s="1">
        <v>279.0</v>
      </c>
      <c r="I598" s="1" t="s">
        <v>16</v>
      </c>
      <c r="J598" s="1">
        <v>5.0E7</v>
      </c>
      <c r="K598" s="1">
        <v>2013.0</v>
      </c>
      <c r="L598" s="1">
        <v>6.7</v>
      </c>
      <c r="O598" s="3"/>
      <c r="S598" s="4"/>
    </row>
    <row r="599" ht="14.25" customHeight="1">
      <c r="A599" s="1" t="s">
        <v>875</v>
      </c>
      <c r="B599" s="1">
        <v>99.0</v>
      </c>
      <c r="C599" s="1">
        <v>1.8821279E7</v>
      </c>
      <c r="D599" s="1" t="s">
        <v>18</v>
      </c>
      <c r="E599" s="1" t="s">
        <v>1443</v>
      </c>
      <c r="F599" s="1" t="s">
        <v>1444</v>
      </c>
      <c r="G599" s="1">
        <v>44891.0</v>
      </c>
      <c r="H599" s="1">
        <v>202.0</v>
      </c>
      <c r="I599" s="1" t="s">
        <v>16</v>
      </c>
      <c r="J599" s="1">
        <v>7.0E7</v>
      </c>
      <c r="K599" s="1">
        <v>2014.0</v>
      </c>
      <c r="L599" s="1">
        <v>4.2</v>
      </c>
      <c r="O599" s="3"/>
      <c r="S599" s="4"/>
    </row>
    <row r="600" ht="14.25" customHeight="1">
      <c r="A600" s="1" t="s">
        <v>1445</v>
      </c>
      <c r="B600" s="1">
        <v>124.0</v>
      </c>
      <c r="C600" s="1">
        <v>1.1847132E8</v>
      </c>
      <c r="D600" s="1" t="s">
        <v>392</v>
      </c>
      <c r="E600" s="1" t="s">
        <v>600</v>
      </c>
      <c r="F600" s="1" t="s">
        <v>1446</v>
      </c>
      <c r="G600" s="1">
        <v>86504.0</v>
      </c>
      <c r="H600" s="1">
        <v>568.0</v>
      </c>
      <c r="I600" s="1" t="s">
        <v>16</v>
      </c>
      <c r="J600" s="1">
        <v>6.8E7</v>
      </c>
      <c r="K600" s="1">
        <v>2002.0</v>
      </c>
      <c r="L600" s="1">
        <v>6.4</v>
      </c>
      <c r="O600" s="3"/>
      <c r="S600" s="4"/>
    </row>
    <row r="601" ht="14.25" customHeight="1">
      <c r="A601" s="1" t="s">
        <v>1447</v>
      </c>
      <c r="B601" s="1">
        <v>124.0</v>
      </c>
      <c r="C601" s="1">
        <v>3.00523113E8</v>
      </c>
      <c r="D601" s="1" t="s">
        <v>468</v>
      </c>
      <c r="E601" s="1" t="s">
        <v>328</v>
      </c>
      <c r="F601" s="1" t="s">
        <v>1448</v>
      </c>
      <c r="G601" s="1">
        <v>184637.0</v>
      </c>
      <c r="H601" s="1">
        <v>498.0</v>
      </c>
      <c r="I601" s="1" t="s">
        <v>16</v>
      </c>
      <c r="J601" s="1">
        <v>6.8E7</v>
      </c>
      <c r="K601" s="1">
        <v>2010.0</v>
      </c>
      <c r="L601" s="1">
        <v>4.9</v>
      </c>
      <c r="O601" s="3"/>
      <c r="S601" s="4"/>
    </row>
    <row r="602" ht="14.25" customHeight="1">
      <c r="A602" s="1" t="s">
        <v>820</v>
      </c>
      <c r="B602" s="1">
        <v>124.0</v>
      </c>
      <c r="C602" s="1">
        <v>7.1069884E7</v>
      </c>
      <c r="D602" s="1" t="s">
        <v>901</v>
      </c>
      <c r="E602" s="1" t="s">
        <v>725</v>
      </c>
      <c r="F602" s="1" t="s">
        <v>1449</v>
      </c>
      <c r="G602" s="1">
        <v>101899.0</v>
      </c>
      <c r="H602" s="1">
        <v>445.0</v>
      </c>
      <c r="I602" s="1" t="s">
        <v>16</v>
      </c>
      <c r="J602" s="1">
        <v>6.8E7</v>
      </c>
      <c r="K602" s="1">
        <v>2001.0</v>
      </c>
      <c r="L602" s="1">
        <v>6.8</v>
      </c>
      <c r="O602" s="3"/>
      <c r="S602" s="4"/>
    </row>
    <row r="603" ht="14.25" customHeight="1">
      <c r="A603" s="1" t="s">
        <v>1221</v>
      </c>
      <c r="B603" s="1">
        <v>87.0</v>
      </c>
      <c r="C603" s="1">
        <v>2.51501645E8</v>
      </c>
      <c r="D603" s="1" t="s">
        <v>1215</v>
      </c>
      <c r="E603" s="1" t="s">
        <v>1222</v>
      </c>
      <c r="F603" s="1" t="s">
        <v>1450</v>
      </c>
      <c r="G603" s="1">
        <v>385943.0</v>
      </c>
      <c r="H603" s="1">
        <v>296.0</v>
      </c>
      <c r="I603" s="1" t="s">
        <v>16</v>
      </c>
      <c r="J603" s="1">
        <v>6.9E7</v>
      </c>
      <c r="K603" s="1">
        <v>2010.0</v>
      </c>
      <c r="L603" s="1">
        <v>7.7</v>
      </c>
      <c r="O603" s="3"/>
      <c r="S603" s="4"/>
    </row>
    <row r="604" ht="14.25" customHeight="1">
      <c r="A604" s="1" t="s">
        <v>1451</v>
      </c>
      <c r="B604" s="1">
        <v>105.0</v>
      </c>
      <c r="C604" s="1">
        <v>3.5324232E7</v>
      </c>
      <c r="D604" s="1" t="s">
        <v>1452</v>
      </c>
      <c r="E604" s="1" t="s">
        <v>1453</v>
      </c>
      <c r="F604" s="1" t="s">
        <v>1454</v>
      </c>
      <c r="G604" s="1">
        <v>32224.0</v>
      </c>
      <c r="H604" s="1">
        <v>62.0</v>
      </c>
      <c r="I604" s="1" t="s">
        <v>16</v>
      </c>
      <c r="J604" s="1">
        <v>6.8E7</v>
      </c>
      <c r="K604" s="1">
        <v>1995.0</v>
      </c>
      <c r="L604" s="1">
        <v>5.6</v>
      </c>
      <c r="O604" s="3"/>
      <c r="S604" s="4"/>
    </row>
    <row r="605" ht="14.25" customHeight="1">
      <c r="A605" s="1" t="s">
        <v>1053</v>
      </c>
      <c r="B605" s="1">
        <v>125.0</v>
      </c>
      <c r="C605" s="1">
        <v>8.12575E7</v>
      </c>
      <c r="D605" s="1" t="s">
        <v>828</v>
      </c>
      <c r="E605" s="1" t="s">
        <v>100</v>
      </c>
      <c r="F605" s="1" t="s">
        <v>1455</v>
      </c>
      <c r="G605" s="1">
        <v>117739.0</v>
      </c>
      <c r="H605" s="1">
        <v>229.0</v>
      </c>
      <c r="I605" s="1" t="s">
        <v>16</v>
      </c>
      <c r="J605" s="1">
        <v>6.8E7</v>
      </c>
      <c r="K605" s="1">
        <v>2015.0</v>
      </c>
      <c r="L605" s="1">
        <v>6.4</v>
      </c>
      <c r="O605" s="3"/>
      <c r="S605" s="4"/>
    </row>
    <row r="606" ht="14.25" customHeight="1">
      <c r="A606" s="1" t="s">
        <v>1456</v>
      </c>
      <c r="B606" s="1">
        <v>141.0</v>
      </c>
      <c r="C606" s="1">
        <v>617840.0</v>
      </c>
      <c r="D606" s="1" t="s">
        <v>1457</v>
      </c>
      <c r="E606" s="1" t="s">
        <v>1458</v>
      </c>
      <c r="F606" s="1" t="s">
        <v>1459</v>
      </c>
      <c r="G606" s="1">
        <v>52496.0</v>
      </c>
      <c r="H606" s="1">
        <v>172.0</v>
      </c>
      <c r="I606" s="1" t="s">
        <v>16</v>
      </c>
      <c r="J606" s="1">
        <v>7.0E7</v>
      </c>
      <c r="K606" s="1">
        <v>2009.0</v>
      </c>
      <c r="L606" s="1">
        <v>7.2</v>
      </c>
      <c r="O606" s="3"/>
      <c r="S606" s="4"/>
    </row>
    <row r="607" ht="14.25" customHeight="1">
      <c r="A607" s="1" t="s">
        <v>1460</v>
      </c>
      <c r="B607" s="1">
        <v>121.0</v>
      </c>
      <c r="C607" s="1">
        <v>2.965559E7</v>
      </c>
      <c r="D607" s="1" t="s">
        <v>412</v>
      </c>
      <c r="E607" s="1" t="s">
        <v>338</v>
      </c>
      <c r="F607" s="1" t="s">
        <v>1461</v>
      </c>
      <c r="G607" s="1">
        <v>53970.0</v>
      </c>
      <c r="H607" s="1">
        <v>435.0</v>
      </c>
      <c r="I607" s="1" t="s">
        <v>16</v>
      </c>
      <c r="J607" s="1">
        <v>6.5E7</v>
      </c>
      <c r="K607" s="1">
        <v>1999.0</v>
      </c>
      <c r="L607" s="1">
        <v>6.0</v>
      </c>
      <c r="O607" s="3"/>
      <c r="S607" s="4"/>
    </row>
    <row r="608" ht="14.25" customHeight="1">
      <c r="A608" s="1" t="s">
        <v>1428</v>
      </c>
      <c r="B608" s="1">
        <v>111.0</v>
      </c>
      <c r="C608" s="1">
        <v>4.5045037E7</v>
      </c>
      <c r="D608" s="1" t="s">
        <v>699</v>
      </c>
      <c r="E608" s="1" t="s">
        <v>1462</v>
      </c>
      <c r="F608" s="1" t="s">
        <v>1463</v>
      </c>
      <c r="G608" s="1">
        <v>103230.0</v>
      </c>
      <c r="H608" s="1">
        <v>143.0</v>
      </c>
      <c r="I608" s="1" t="s">
        <v>16</v>
      </c>
      <c r="J608" s="1">
        <v>3.6E7</v>
      </c>
      <c r="K608" s="1">
        <v>2011.0</v>
      </c>
      <c r="L608" s="1">
        <v>5.9</v>
      </c>
      <c r="O608" s="3"/>
      <c r="S608" s="4"/>
    </row>
    <row r="609" ht="14.25" customHeight="1">
      <c r="A609" s="1" t="s">
        <v>680</v>
      </c>
      <c r="B609" s="1">
        <v>157.0</v>
      </c>
      <c r="C609" s="1">
        <v>2.8965197E7</v>
      </c>
      <c r="D609" s="1" t="s">
        <v>1464</v>
      </c>
      <c r="E609" s="1" t="s">
        <v>1002</v>
      </c>
      <c r="F609" s="1" t="s">
        <v>1465</v>
      </c>
      <c r="G609" s="1">
        <v>133526.0</v>
      </c>
      <c r="H609" s="1">
        <v>521.0</v>
      </c>
      <c r="I609" s="1" t="s">
        <v>16</v>
      </c>
      <c r="J609" s="1">
        <v>6.8E7</v>
      </c>
      <c r="K609" s="1">
        <v>1999.0</v>
      </c>
      <c r="L609" s="1">
        <v>7.9</v>
      </c>
      <c r="O609" s="3"/>
      <c r="S609" s="4"/>
    </row>
    <row r="610" ht="14.25" customHeight="1">
      <c r="A610" s="1" t="s">
        <v>80</v>
      </c>
      <c r="B610" s="1">
        <v>128.0</v>
      </c>
      <c r="C610" s="1">
        <v>3.9380442E7</v>
      </c>
      <c r="D610" s="1" t="s">
        <v>392</v>
      </c>
      <c r="E610" s="1" t="s">
        <v>93</v>
      </c>
      <c r="F610" s="1" t="s">
        <v>1466</v>
      </c>
      <c r="G610" s="1">
        <v>174248.0</v>
      </c>
      <c r="H610" s="1">
        <v>263.0</v>
      </c>
      <c r="I610" s="1" t="s">
        <v>16</v>
      </c>
      <c r="J610" s="1">
        <v>7.0E7</v>
      </c>
      <c r="K610" s="1">
        <v>2008.0</v>
      </c>
      <c r="L610" s="1">
        <v>7.1</v>
      </c>
      <c r="O610" s="3"/>
      <c r="S610" s="4"/>
    </row>
    <row r="611" ht="14.25" customHeight="1">
      <c r="A611" s="1" t="s">
        <v>1230</v>
      </c>
      <c r="B611" s="1">
        <v>105.0</v>
      </c>
      <c r="C611" s="1">
        <v>3.7516013E7</v>
      </c>
      <c r="D611" s="1" t="s">
        <v>1410</v>
      </c>
      <c r="E611" s="1" t="s">
        <v>1467</v>
      </c>
      <c r="F611" s="1" t="s">
        <v>1468</v>
      </c>
      <c r="G611" s="1">
        <v>128629.0</v>
      </c>
      <c r="H611" s="1">
        <v>348.0</v>
      </c>
      <c r="I611" s="1" t="s">
        <v>16</v>
      </c>
      <c r="J611" s="1">
        <v>6.9E7</v>
      </c>
      <c r="K611" s="1">
        <v>2012.0</v>
      </c>
      <c r="L611" s="1">
        <v>5.9</v>
      </c>
      <c r="O611" s="3"/>
      <c r="S611" s="4"/>
    </row>
    <row r="612" ht="14.25" customHeight="1">
      <c r="A612" s="1" t="s">
        <v>1034</v>
      </c>
      <c r="B612" s="1">
        <v>113.0</v>
      </c>
      <c r="C612" s="1">
        <v>8.7704396E7</v>
      </c>
      <c r="D612" s="1" t="s">
        <v>670</v>
      </c>
      <c r="E612" s="1" t="s">
        <v>1469</v>
      </c>
      <c r="F612" s="1" t="s">
        <v>1470</v>
      </c>
      <c r="G612" s="1">
        <v>88132.0</v>
      </c>
      <c r="H612" s="1">
        <v>274.0</v>
      </c>
      <c r="I612" s="1" t="s">
        <v>16</v>
      </c>
      <c r="J612" s="1">
        <v>6.6E7</v>
      </c>
      <c r="K612" s="1">
        <v>1999.0</v>
      </c>
      <c r="L612" s="1">
        <v>6.2</v>
      </c>
      <c r="O612" s="3"/>
      <c r="S612" s="4"/>
    </row>
    <row r="613" ht="14.25" customHeight="1">
      <c r="A613" s="1" t="s">
        <v>1471</v>
      </c>
      <c r="B613" s="1">
        <v>121.0</v>
      </c>
      <c r="C613" s="1">
        <v>8.3892374E7</v>
      </c>
      <c r="D613" s="1" t="s">
        <v>932</v>
      </c>
      <c r="E613" s="1" t="s">
        <v>1332</v>
      </c>
      <c r="F613" s="1" t="s">
        <v>1472</v>
      </c>
      <c r="G613" s="1">
        <v>85720.0</v>
      </c>
      <c r="H613" s="1">
        <v>297.0</v>
      </c>
      <c r="I613" s="1" t="s">
        <v>16</v>
      </c>
      <c r="J613" s="1">
        <v>6.6E7</v>
      </c>
      <c r="K613" s="1">
        <v>1998.0</v>
      </c>
      <c r="L613" s="1">
        <v>7.0</v>
      </c>
      <c r="O613" s="3"/>
      <c r="S613" s="4"/>
    </row>
    <row r="614" ht="14.25" customHeight="1">
      <c r="A614" s="1" t="s">
        <v>1473</v>
      </c>
      <c r="B614" s="1">
        <v>102.0</v>
      </c>
      <c r="C614" s="1">
        <v>5932060.0</v>
      </c>
      <c r="D614" s="1" t="s">
        <v>1474</v>
      </c>
      <c r="E614" s="1" t="s">
        <v>1475</v>
      </c>
      <c r="F614" s="1" t="s">
        <v>1476</v>
      </c>
      <c r="G614" s="1">
        <v>29285.0</v>
      </c>
      <c r="H614" s="1">
        <v>174.0</v>
      </c>
      <c r="I614" s="1" t="s">
        <v>16</v>
      </c>
      <c r="J614" s="1">
        <v>3.5E7</v>
      </c>
      <c r="K614" s="1">
        <v>2007.0</v>
      </c>
      <c r="L614" s="1">
        <v>5.4</v>
      </c>
      <c r="O614" s="3"/>
      <c r="S614" s="4"/>
    </row>
    <row r="615" ht="14.25" customHeight="1">
      <c r="A615" s="1" t="s">
        <v>168</v>
      </c>
      <c r="B615" s="1">
        <v>169.0</v>
      </c>
      <c r="C615" s="1">
        <v>2.16119491E8</v>
      </c>
      <c r="D615" s="1" t="s">
        <v>611</v>
      </c>
      <c r="E615" s="1" t="s">
        <v>140</v>
      </c>
      <c r="F615" s="1" t="s">
        <v>1477</v>
      </c>
      <c r="G615" s="1">
        <v>881236.0</v>
      </c>
      <c r="H615" s="1">
        <v>2277.0</v>
      </c>
      <c r="I615" s="1" t="s">
        <v>16</v>
      </c>
      <c r="J615" s="1">
        <v>7.0E7</v>
      </c>
      <c r="K615" s="1">
        <v>1998.0</v>
      </c>
      <c r="L615" s="1">
        <v>8.6</v>
      </c>
      <c r="O615" s="3"/>
      <c r="S615" s="4"/>
    </row>
    <row r="616" ht="14.25" customHeight="1">
      <c r="A616" s="1" t="s">
        <v>1478</v>
      </c>
      <c r="B616" s="1">
        <v>132.0</v>
      </c>
      <c r="C616" s="1">
        <v>4.3568507E7</v>
      </c>
      <c r="D616" s="1" t="s">
        <v>197</v>
      </c>
      <c r="E616" s="1" t="s">
        <v>1479</v>
      </c>
      <c r="F616" s="1" t="s">
        <v>1480</v>
      </c>
      <c r="G616" s="1">
        <v>136954.0</v>
      </c>
      <c r="H616" s="1">
        <v>346.0</v>
      </c>
      <c r="I616" s="1" t="s">
        <v>16</v>
      </c>
      <c r="J616" s="1">
        <v>6.6E7</v>
      </c>
      <c r="K616" s="1">
        <v>2014.0</v>
      </c>
      <c r="L616" s="1">
        <v>6.5</v>
      </c>
      <c r="O616" s="3"/>
      <c r="S616" s="4"/>
    </row>
    <row r="617" ht="14.25" customHeight="1">
      <c r="A617" s="1" t="s">
        <v>996</v>
      </c>
      <c r="B617" s="1">
        <v>127.0</v>
      </c>
      <c r="C617" s="1">
        <v>1.82805123E8</v>
      </c>
      <c r="D617" s="1" t="s">
        <v>1481</v>
      </c>
      <c r="E617" s="1" t="s">
        <v>260</v>
      </c>
      <c r="F617" s="1" t="s">
        <v>1482</v>
      </c>
      <c r="G617" s="1">
        <v>158864.0</v>
      </c>
      <c r="H617" s="1">
        <v>395.0</v>
      </c>
      <c r="I617" s="1" t="s">
        <v>16</v>
      </c>
      <c r="J617" s="1">
        <v>7.0E7</v>
      </c>
      <c r="K617" s="1">
        <v>2000.0</v>
      </c>
      <c r="L617" s="1">
        <v>6.4</v>
      </c>
      <c r="O617" s="3"/>
      <c r="S617" s="4"/>
    </row>
    <row r="618" ht="14.25" customHeight="1">
      <c r="A618" s="1" t="s">
        <v>752</v>
      </c>
      <c r="B618" s="1">
        <v>103.0</v>
      </c>
      <c r="C618" s="1">
        <v>1.76387405E8</v>
      </c>
      <c r="D618" s="1" t="s">
        <v>200</v>
      </c>
      <c r="E618" s="1" t="s">
        <v>1483</v>
      </c>
      <c r="F618" s="1" t="s">
        <v>1484</v>
      </c>
      <c r="G618" s="1">
        <v>328159.0</v>
      </c>
      <c r="H618" s="1">
        <v>467.0</v>
      </c>
      <c r="I618" s="1" t="s">
        <v>16</v>
      </c>
      <c r="J618" s="1">
        <v>5.9E7</v>
      </c>
      <c r="K618" s="1">
        <v>2002.0</v>
      </c>
      <c r="L618" s="1">
        <v>7.6</v>
      </c>
      <c r="O618" s="3"/>
      <c r="S618" s="4"/>
    </row>
    <row r="619" ht="14.25" customHeight="1">
      <c r="A619" s="1" t="s">
        <v>1485</v>
      </c>
      <c r="B619" s="1">
        <v>136.0</v>
      </c>
      <c r="C619" s="1">
        <v>3.3685268E7</v>
      </c>
      <c r="D619" s="1" t="s">
        <v>1486</v>
      </c>
      <c r="E619" s="1" t="s">
        <v>600</v>
      </c>
      <c r="F619" s="1" t="s">
        <v>1487</v>
      </c>
      <c r="G619" s="1">
        <v>75573.0</v>
      </c>
      <c r="H619" s="1">
        <v>662.0</v>
      </c>
      <c r="I619" s="1" t="s">
        <v>16</v>
      </c>
      <c r="J619" s="1">
        <v>6.8E7</v>
      </c>
      <c r="K619" s="1">
        <v>2003.0</v>
      </c>
      <c r="L619" s="1">
        <v>5.5</v>
      </c>
      <c r="O619" s="3"/>
      <c r="S619" s="4"/>
    </row>
    <row r="620" ht="14.25" customHeight="1">
      <c r="A620" s="1" t="s">
        <v>168</v>
      </c>
      <c r="B620" s="1">
        <v>150.0</v>
      </c>
      <c r="C620" s="1">
        <v>1.8220444E8</v>
      </c>
      <c r="D620" s="1" t="s">
        <v>1323</v>
      </c>
      <c r="E620" s="1" t="s">
        <v>232</v>
      </c>
      <c r="F620" s="1" t="s">
        <v>1488</v>
      </c>
      <c r="G620" s="1">
        <v>197412.0</v>
      </c>
      <c r="H620" s="1">
        <v>720.0</v>
      </c>
      <c r="I620" s="1" t="s">
        <v>16</v>
      </c>
      <c r="J620" s="1">
        <v>6.5E7</v>
      </c>
      <c r="K620" s="1">
        <v>2012.0</v>
      </c>
      <c r="L620" s="1">
        <v>7.4</v>
      </c>
      <c r="O620" s="3"/>
      <c r="S620" s="4"/>
    </row>
    <row r="621" ht="14.25" customHeight="1">
      <c r="A621" s="1" t="s">
        <v>190</v>
      </c>
      <c r="B621" s="1">
        <v>136.0</v>
      </c>
      <c r="C621" s="1">
        <v>1.71383253E8</v>
      </c>
      <c r="D621" s="1" t="s">
        <v>278</v>
      </c>
      <c r="E621" s="1" t="s">
        <v>252</v>
      </c>
      <c r="F621" s="1" t="s">
        <v>1489</v>
      </c>
      <c r="G621" s="1">
        <v>1217752.0</v>
      </c>
      <c r="H621" s="1">
        <v>3646.0</v>
      </c>
      <c r="I621" s="1" t="s">
        <v>16</v>
      </c>
      <c r="J621" s="1">
        <v>6.3E7</v>
      </c>
      <c r="K621" s="1">
        <v>1999.0</v>
      </c>
      <c r="L621" s="1">
        <v>8.7</v>
      </c>
      <c r="O621" s="3"/>
      <c r="S621" s="4"/>
    </row>
    <row r="622" ht="14.25" customHeight="1">
      <c r="A622" s="1" t="s">
        <v>361</v>
      </c>
      <c r="B622" s="1">
        <v>140.0</v>
      </c>
      <c r="C622" s="1">
        <v>1.72071312E8</v>
      </c>
      <c r="D622" s="1" t="s">
        <v>1490</v>
      </c>
      <c r="E622" s="1" t="s">
        <v>140</v>
      </c>
      <c r="F622" s="1" t="s">
        <v>1491</v>
      </c>
      <c r="G622" s="1">
        <v>208817.0</v>
      </c>
      <c r="H622" s="1">
        <v>296.0</v>
      </c>
      <c r="I622" s="1" t="s">
        <v>16</v>
      </c>
      <c r="J622" s="1">
        <v>6.2E7</v>
      </c>
      <c r="K622" s="1">
        <v>1995.0</v>
      </c>
      <c r="L622" s="1">
        <v>7.6</v>
      </c>
      <c r="O622" s="3"/>
      <c r="S622" s="4"/>
    </row>
    <row r="623" ht="14.25" customHeight="1">
      <c r="A623" s="1" t="s">
        <v>1492</v>
      </c>
      <c r="B623" s="1">
        <v>104.0</v>
      </c>
      <c r="C623" s="1">
        <v>1.39225854E8</v>
      </c>
      <c r="D623" s="1" t="s">
        <v>222</v>
      </c>
      <c r="E623" s="1" t="s">
        <v>1493</v>
      </c>
      <c r="F623" s="1" t="s">
        <v>1494</v>
      </c>
      <c r="G623" s="1">
        <v>34561.0</v>
      </c>
      <c r="H623" s="1">
        <v>116.0</v>
      </c>
      <c r="I623" s="1" t="s">
        <v>16</v>
      </c>
      <c r="J623" s="1">
        <v>6.0E7</v>
      </c>
      <c r="K623" s="1">
        <v>2002.0</v>
      </c>
      <c r="L623" s="1">
        <v>5.5</v>
      </c>
      <c r="O623" s="3"/>
      <c r="S623" s="4"/>
    </row>
    <row r="624" ht="14.25" customHeight="1">
      <c r="A624" s="1" t="s">
        <v>1495</v>
      </c>
      <c r="B624" s="1">
        <v>158.0</v>
      </c>
      <c r="C624" s="1">
        <v>1.4877546E8</v>
      </c>
      <c r="D624" s="1" t="s">
        <v>1170</v>
      </c>
      <c r="E624" s="1" t="s">
        <v>115</v>
      </c>
      <c r="F624" s="1" t="s">
        <v>1496</v>
      </c>
      <c r="G624" s="1">
        <v>243834.0</v>
      </c>
      <c r="H624" s="1">
        <v>845.0</v>
      </c>
      <c r="I624" s="1" t="s">
        <v>16</v>
      </c>
      <c r="J624" s="1">
        <v>6.1E7</v>
      </c>
      <c r="K624" s="1">
        <v>2012.0</v>
      </c>
      <c r="L624" s="1">
        <v>7.6</v>
      </c>
      <c r="O624" s="3"/>
      <c r="S624" s="4"/>
    </row>
    <row r="625" ht="14.25" customHeight="1">
      <c r="A625" s="1" t="s">
        <v>1497</v>
      </c>
      <c r="B625" s="1">
        <v>119.0</v>
      </c>
      <c r="C625" s="1">
        <v>1.15731542E8</v>
      </c>
      <c r="D625" s="1" t="s">
        <v>593</v>
      </c>
      <c r="E625" s="1" t="s">
        <v>140</v>
      </c>
      <c r="F625" s="1" t="s">
        <v>1498</v>
      </c>
      <c r="G625" s="1">
        <v>151812.0</v>
      </c>
      <c r="H625" s="1">
        <v>556.0</v>
      </c>
      <c r="I625" s="1" t="s">
        <v>16</v>
      </c>
      <c r="J625" s="1">
        <v>6.5E7</v>
      </c>
      <c r="K625" s="1">
        <v>1998.0</v>
      </c>
      <c r="L625" s="1">
        <v>6.5</v>
      </c>
      <c r="O625" s="3"/>
      <c r="S625" s="4"/>
    </row>
    <row r="626" ht="14.25" customHeight="1">
      <c r="A626" s="1" t="s">
        <v>727</v>
      </c>
      <c r="B626" s="1">
        <v>106.0</v>
      </c>
      <c r="C626" s="1">
        <v>1.00468793E8</v>
      </c>
      <c r="D626" s="1" t="s">
        <v>828</v>
      </c>
      <c r="E626" s="1" t="s">
        <v>783</v>
      </c>
      <c r="F626" s="1" t="s">
        <v>1499</v>
      </c>
      <c r="G626" s="1">
        <v>212499.0</v>
      </c>
      <c r="H626" s="1">
        <v>277.0</v>
      </c>
      <c r="I626" s="1" t="s">
        <v>16</v>
      </c>
      <c r="J626" s="1">
        <v>6.5E7</v>
      </c>
      <c r="K626" s="1">
        <v>2008.0</v>
      </c>
      <c r="L626" s="1">
        <v>6.9</v>
      </c>
      <c r="O626" s="3"/>
      <c r="S626" s="4"/>
    </row>
    <row r="627" ht="14.25" customHeight="1">
      <c r="A627" s="1" t="s">
        <v>136</v>
      </c>
      <c r="B627" s="1">
        <v>136.0</v>
      </c>
      <c r="C627" s="1">
        <v>9.3771072E7</v>
      </c>
      <c r="D627" s="1" t="s">
        <v>1500</v>
      </c>
      <c r="E627" s="1" t="s">
        <v>326</v>
      </c>
      <c r="F627" s="1" t="s">
        <v>1501</v>
      </c>
      <c r="G627" s="1">
        <v>135404.0</v>
      </c>
      <c r="H627" s="1">
        <v>318.0</v>
      </c>
      <c r="I627" s="1" t="s">
        <v>16</v>
      </c>
      <c r="J627" s="1">
        <v>6.5E7</v>
      </c>
      <c r="K627" s="1">
        <v>1998.0</v>
      </c>
      <c r="L627" s="1">
        <v>6.7</v>
      </c>
      <c r="O627" s="3"/>
      <c r="S627" s="4"/>
    </row>
    <row r="628" ht="14.25" customHeight="1">
      <c r="A628" s="1" t="s">
        <v>1065</v>
      </c>
      <c r="B628" s="1">
        <v>95.0</v>
      </c>
      <c r="C628" s="1">
        <v>1.00448498E8</v>
      </c>
      <c r="D628" s="1" t="s">
        <v>1059</v>
      </c>
      <c r="E628" s="1" t="s">
        <v>96</v>
      </c>
      <c r="F628" s="1" t="s">
        <v>1502</v>
      </c>
      <c r="G628" s="1">
        <v>272789.0</v>
      </c>
      <c r="H628" s="1">
        <v>285.0</v>
      </c>
      <c r="I628" s="1" t="s">
        <v>16</v>
      </c>
      <c r="J628" s="1">
        <v>6.5E7</v>
      </c>
      <c r="K628" s="1">
        <v>2010.0</v>
      </c>
      <c r="L628" s="1">
        <v>6.6</v>
      </c>
      <c r="O628" s="3"/>
      <c r="S628" s="4"/>
    </row>
    <row r="629" ht="14.25" customHeight="1">
      <c r="A629" s="1" t="s">
        <v>245</v>
      </c>
      <c r="B629" s="1">
        <v>137.0</v>
      </c>
      <c r="C629" s="1">
        <v>1.1560398E8</v>
      </c>
      <c r="D629" s="1" t="s">
        <v>1503</v>
      </c>
      <c r="E629" s="1" t="s">
        <v>1504</v>
      </c>
      <c r="F629" s="1" t="s">
        <v>1505</v>
      </c>
      <c r="G629" s="1">
        <v>103589.0</v>
      </c>
      <c r="H629" s="1">
        <v>351.0</v>
      </c>
      <c r="I629" s="1" t="s">
        <v>16</v>
      </c>
      <c r="J629" s="1">
        <v>6.5E7</v>
      </c>
      <c r="K629" s="1">
        <v>2014.0</v>
      </c>
      <c r="L629" s="1">
        <v>7.2</v>
      </c>
      <c r="O629" s="3"/>
      <c r="S629" s="4"/>
    </row>
    <row r="630" ht="14.25" customHeight="1">
      <c r="A630" s="1" t="s">
        <v>1506</v>
      </c>
      <c r="B630" s="1">
        <v>130.0</v>
      </c>
      <c r="C630" s="1">
        <v>9.0454043E7</v>
      </c>
      <c r="D630" s="1" t="s">
        <v>22</v>
      </c>
      <c r="E630" s="1" t="s">
        <v>1506</v>
      </c>
      <c r="F630" s="1" t="s">
        <v>1507</v>
      </c>
      <c r="G630" s="1">
        <v>60165.0</v>
      </c>
      <c r="H630" s="1">
        <v>326.0</v>
      </c>
      <c r="I630" s="1" t="s">
        <v>16</v>
      </c>
      <c r="J630" s="1">
        <v>6.5E7</v>
      </c>
      <c r="K630" s="1">
        <v>2000.0</v>
      </c>
      <c r="L630" s="1">
        <v>6.4</v>
      </c>
      <c r="O630" s="3"/>
      <c r="S630" s="4"/>
    </row>
    <row r="631" ht="14.25" customHeight="1">
      <c r="A631" s="1" t="s">
        <v>875</v>
      </c>
      <c r="B631" s="1">
        <v>124.0</v>
      </c>
      <c r="C631" s="1">
        <v>8.4049211E7</v>
      </c>
      <c r="D631" s="1" t="s">
        <v>22</v>
      </c>
      <c r="E631" s="1" t="s">
        <v>1061</v>
      </c>
      <c r="F631" s="1" t="s">
        <v>1508</v>
      </c>
      <c r="G631" s="1">
        <v>96096.0</v>
      </c>
      <c r="H631" s="1">
        <v>172.0</v>
      </c>
      <c r="I631" s="1" t="s">
        <v>16</v>
      </c>
      <c r="J631" s="1">
        <v>7.0E7</v>
      </c>
      <c r="K631" s="1">
        <v>1993.0</v>
      </c>
      <c r="L631" s="1">
        <v>6.4</v>
      </c>
      <c r="O631" s="3"/>
      <c r="S631" s="4"/>
    </row>
    <row r="632" ht="14.25" customHeight="1">
      <c r="A632" s="1" t="s">
        <v>559</v>
      </c>
      <c r="B632" s="1">
        <v>108.0</v>
      </c>
      <c r="C632" s="1">
        <v>7.045E7</v>
      </c>
      <c r="D632" s="1" t="s">
        <v>146</v>
      </c>
      <c r="E632" s="1" t="s">
        <v>1509</v>
      </c>
      <c r="F632" s="1" t="s">
        <v>1510</v>
      </c>
      <c r="G632" s="1">
        <v>77390.0</v>
      </c>
      <c r="H632" s="1">
        <v>189.0</v>
      </c>
      <c r="I632" s="1" t="s">
        <v>16</v>
      </c>
      <c r="J632" s="1">
        <v>5.0E7</v>
      </c>
      <c r="K632" s="1">
        <v>1996.0</v>
      </c>
      <c r="L632" s="1">
        <v>6.0</v>
      </c>
      <c r="O632" s="3"/>
      <c r="S632" s="4"/>
    </row>
    <row r="633" ht="14.25" customHeight="1">
      <c r="A633" s="1" t="s">
        <v>300</v>
      </c>
      <c r="B633" s="1">
        <v>104.0</v>
      </c>
      <c r="C633" s="1">
        <v>6.9688384E7</v>
      </c>
      <c r="D633" s="1" t="s">
        <v>222</v>
      </c>
      <c r="E633" s="1" t="s">
        <v>415</v>
      </c>
      <c r="F633" s="1" t="s">
        <v>1511</v>
      </c>
      <c r="G633" s="1">
        <v>34473.0</v>
      </c>
      <c r="H633" s="1">
        <v>139.0</v>
      </c>
      <c r="I633" s="1" t="s">
        <v>16</v>
      </c>
      <c r="J633" s="1">
        <v>6.0E7</v>
      </c>
      <c r="K633" s="1">
        <v>2000.0</v>
      </c>
      <c r="L633" s="1">
        <v>6.1</v>
      </c>
      <c r="O633" s="3"/>
      <c r="S633" s="4"/>
    </row>
    <row r="634" ht="14.25" customHeight="1">
      <c r="A634" s="1" t="s">
        <v>324</v>
      </c>
      <c r="B634" s="1">
        <v>129.0</v>
      </c>
      <c r="C634" s="1">
        <v>7.0236496E7</v>
      </c>
      <c r="D634" s="1" t="s">
        <v>1156</v>
      </c>
      <c r="E634" s="1" t="s">
        <v>301</v>
      </c>
      <c r="F634" s="1" t="s">
        <v>1512</v>
      </c>
      <c r="G634" s="1">
        <v>67395.0</v>
      </c>
      <c r="H634" s="1">
        <v>564.0</v>
      </c>
      <c r="I634" s="1" t="s">
        <v>16</v>
      </c>
      <c r="J634" s="1">
        <v>6.3E7</v>
      </c>
      <c r="K634" s="1">
        <v>2006.0</v>
      </c>
      <c r="L634" s="1">
        <v>6.0</v>
      </c>
      <c r="O634" s="3"/>
      <c r="S634" s="4"/>
    </row>
    <row r="635" ht="14.25" customHeight="1">
      <c r="A635" s="1" t="s">
        <v>161</v>
      </c>
      <c r="B635" s="1">
        <v>117.0</v>
      </c>
      <c r="C635" s="1">
        <v>6.369576E7</v>
      </c>
      <c r="D635" s="1" t="s">
        <v>1391</v>
      </c>
      <c r="E635" s="1" t="s">
        <v>1028</v>
      </c>
      <c r="F635" s="1" t="s">
        <v>1513</v>
      </c>
      <c r="G635" s="1">
        <v>61490.0</v>
      </c>
      <c r="H635" s="1">
        <v>264.0</v>
      </c>
      <c r="I635" s="1" t="s">
        <v>16</v>
      </c>
      <c r="J635" s="1">
        <v>6.5E7</v>
      </c>
      <c r="K635" s="1">
        <v>2003.0</v>
      </c>
      <c r="L635" s="1">
        <v>6.4</v>
      </c>
      <c r="O635" s="3"/>
      <c r="S635" s="4"/>
    </row>
    <row r="636" ht="14.25" customHeight="1">
      <c r="A636" s="1" t="s">
        <v>1514</v>
      </c>
      <c r="B636" s="1">
        <v>99.0</v>
      </c>
      <c r="C636" s="1">
        <v>5.9617068E7</v>
      </c>
      <c r="D636" s="1" t="s">
        <v>699</v>
      </c>
      <c r="E636" s="1" t="s">
        <v>1515</v>
      </c>
      <c r="F636" s="1" t="s">
        <v>1516</v>
      </c>
      <c r="G636" s="1">
        <v>213863.0</v>
      </c>
      <c r="H636" s="1">
        <v>310.0</v>
      </c>
      <c r="I636" s="1" t="s">
        <v>16</v>
      </c>
      <c r="J636" s="1">
        <v>6.5E7</v>
      </c>
      <c r="K636" s="1">
        <v>2012.0</v>
      </c>
      <c r="L636" s="1">
        <v>6.4</v>
      </c>
      <c r="O636" s="3"/>
      <c r="S636" s="4"/>
    </row>
    <row r="637" ht="14.25" customHeight="1">
      <c r="A637" s="1" t="s">
        <v>1517</v>
      </c>
      <c r="B637" s="1">
        <v>159.0</v>
      </c>
      <c r="C637" s="1">
        <v>5.563768E7</v>
      </c>
      <c r="D637" s="1" t="s">
        <v>806</v>
      </c>
      <c r="E637" s="1" t="s">
        <v>226</v>
      </c>
      <c r="F637" s="1" t="s">
        <v>1518</v>
      </c>
      <c r="G637" s="1">
        <v>227071.0</v>
      </c>
      <c r="H637" s="1">
        <v>1500.0</v>
      </c>
      <c r="I637" s="1" t="s">
        <v>16</v>
      </c>
      <c r="J637" s="1">
        <v>6.5E7</v>
      </c>
      <c r="K637" s="1">
        <v>1999.0</v>
      </c>
      <c r="L637" s="1">
        <v>7.3</v>
      </c>
      <c r="O637" s="3"/>
      <c r="S637" s="4"/>
    </row>
    <row r="638" ht="14.25" customHeight="1">
      <c r="A638" s="1" t="s">
        <v>1519</v>
      </c>
      <c r="B638" s="1">
        <v>118.0</v>
      </c>
      <c r="C638" s="1">
        <v>8.5911262E7</v>
      </c>
      <c r="D638" s="1" t="s">
        <v>1520</v>
      </c>
      <c r="E638" s="1" t="s">
        <v>1521</v>
      </c>
      <c r="F638" s="1" t="s">
        <v>1522</v>
      </c>
      <c r="G638" s="1">
        <v>24735.0</v>
      </c>
      <c r="H638" s="1">
        <v>213.0</v>
      </c>
      <c r="I638" s="1" t="s">
        <v>16</v>
      </c>
      <c r="J638" s="1">
        <v>6.5E7</v>
      </c>
      <c r="K638" s="1">
        <v>2014.0</v>
      </c>
      <c r="L638" s="1">
        <v>5.2</v>
      </c>
      <c r="O638" s="3"/>
      <c r="S638" s="4"/>
    </row>
    <row r="639" ht="14.25" customHeight="1">
      <c r="A639" s="1" t="s">
        <v>1523</v>
      </c>
      <c r="B639" s="1">
        <v>105.0</v>
      </c>
      <c r="C639" s="1">
        <v>5.3846915E7</v>
      </c>
      <c r="D639" s="1" t="s">
        <v>1275</v>
      </c>
      <c r="E639" s="1" t="s">
        <v>71</v>
      </c>
      <c r="F639" s="1" t="s">
        <v>1524</v>
      </c>
      <c r="G639" s="1">
        <v>149337.0</v>
      </c>
      <c r="H639" s="1">
        <v>221.0</v>
      </c>
      <c r="I639" s="1" t="s">
        <v>16</v>
      </c>
      <c r="J639" s="1">
        <v>5.01E7</v>
      </c>
      <c r="K639" s="1">
        <v>2015.0</v>
      </c>
      <c r="L639" s="1">
        <v>6.6</v>
      </c>
      <c r="O639" s="3"/>
      <c r="S639" s="4"/>
    </row>
    <row r="640" ht="14.25" customHeight="1">
      <c r="A640" s="1" t="s">
        <v>142</v>
      </c>
      <c r="B640" s="1">
        <v>103.0</v>
      </c>
      <c r="C640" s="1">
        <v>5.4758461E7</v>
      </c>
      <c r="D640" s="1" t="s">
        <v>597</v>
      </c>
      <c r="E640" s="1" t="s">
        <v>27</v>
      </c>
      <c r="F640" s="1" t="s">
        <v>1525</v>
      </c>
      <c r="G640" s="1">
        <v>147641.0</v>
      </c>
      <c r="H640" s="1">
        <v>238.0</v>
      </c>
      <c r="I640" s="1" t="s">
        <v>16</v>
      </c>
      <c r="J640" s="1">
        <v>6.5E7</v>
      </c>
      <c r="K640" s="1">
        <v>2012.0</v>
      </c>
      <c r="L640" s="1">
        <v>6.3</v>
      </c>
      <c r="O640" s="3"/>
      <c r="S640" s="4"/>
    </row>
    <row r="641" ht="14.25" customHeight="1">
      <c r="A641" s="1" t="s">
        <v>1526</v>
      </c>
      <c r="B641" s="1">
        <v>122.0</v>
      </c>
      <c r="C641" s="1">
        <v>5.2397389E7</v>
      </c>
      <c r="D641" s="1" t="s">
        <v>1527</v>
      </c>
      <c r="E641" s="1" t="s">
        <v>137</v>
      </c>
      <c r="F641" s="1" t="s">
        <v>1528</v>
      </c>
      <c r="G641" s="1">
        <v>132954.0</v>
      </c>
      <c r="H641" s="1">
        <v>514.0</v>
      </c>
      <c r="I641" s="1" t="s">
        <v>16</v>
      </c>
      <c r="J641" s="1">
        <v>6.5E7</v>
      </c>
      <c r="K641" s="1">
        <v>2004.0</v>
      </c>
      <c r="L641" s="1">
        <v>5.9</v>
      </c>
      <c r="O641" s="3"/>
      <c r="S641" s="4"/>
    </row>
    <row r="642" ht="14.25" customHeight="1">
      <c r="A642" s="1" t="s">
        <v>1251</v>
      </c>
      <c r="B642" s="1">
        <v>143.0</v>
      </c>
      <c r="C642" s="1">
        <v>3.8966057E7</v>
      </c>
      <c r="D642" s="1" t="s">
        <v>1059</v>
      </c>
      <c r="E642" s="1" t="s">
        <v>1529</v>
      </c>
      <c r="F642" s="1" t="s">
        <v>1530</v>
      </c>
      <c r="G642" s="1">
        <v>23940.0</v>
      </c>
      <c r="H642" s="1">
        <v>157.0</v>
      </c>
      <c r="I642" s="1" t="s">
        <v>16</v>
      </c>
      <c r="J642" s="1">
        <v>6.5E7</v>
      </c>
      <c r="K642" s="1">
        <v>1998.0</v>
      </c>
      <c r="L642" s="1">
        <v>6.7</v>
      </c>
      <c r="O642" s="3"/>
      <c r="S642" s="4"/>
    </row>
    <row r="643" ht="14.25" customHeight="1">
      <c r="A643" s="1" t="s">
        <v>983</v>
      </c>
      <c r="B643" s="1">
        <v>96.0</v>
      </c>
      <c r="C643" s="1">
        <v>4.2345531E7</v>
      </c>
      <c r="D643" s="1" t="s">
        <v>934</v>
      </c>
      <c r="E643" s="1" t="s">
        <v>831</v>
      </c>
      <c r="F643" s="1" t="s">
        <v>1531</v>
      </c>
      <c r="G643" s="1">
        <v>104831.0</v>
      </c>
      <c r="H643" s="1">
        <v>423.0</v>
      </c>
      <c r="I643" s="1" t="s">
        <v>16</v>
      </c>
      <c r="J643" s="1">
        <v>6.5E7</v>
      </c>
      <c r="K643" s="1">
        <v>2012.0</v>
      </c>
      <c r="L643" s="1">
        <v>5.4</v>
      </c>
      <c r="O643" s="3"/>
      <c r="S643" s="4"/>
    </row>
    <row r="644" ht="14.25" customHeight="1">
      <c r="A644" s="1" t="s">
        <v>983</v>
      </c>
      <c r="B644" s="1">
        <v>111.0</v>
      </c>
      <c r="C644" s="1">
        <v>3.606491E7</v>
      </c>
      <c r="D644" s="1" t="s">
        <v>1154</v>
      </c>
      <c r="E644" s="1" t="s">
        <v>147</v>
      </c>
      <c r="F644" s="1" t="s">
        <v>1532</v>
      </c>
      <c r="G644" s="1">
        <v>166610.0</v>
      </c>
      <c r="H644" s="1">
        <v>211.0</v>
      </c>
      <c r="I644" s="1" t="s">
        <v>16</v>
      </c>
      <c r="J644" s="1">
        <v>4.5E7</v>
      </c>
      <c r="K644" s="1">
        <v>2008.0</v>
      </c>
      <c r="L644" s="1">
        <v>6.4</v>
      </c>
      <c r="O644" s="3"/>
      <c r="S644" s="4"/>
    </row>
    <row r="645" ht="14.25" customHeight="1">
      <c r="A645" s="1" t="s">
        <v>875</v>
      </c>
      <c r="B645" s="1">
        <v>121.0</v>
      </c>
      <c r="C645" s="1">
        <v>3.3328051E7</v>
      </c>
      <c r="D645" s="1" t="s">
        <v>998</v>
      </c>
      <c r="E645" s="1" t="s">
        <v>1533</v>
      </c>
      <c r="F645" s="1" t="s">
        <v>1534</v>
      </c>
      <c r="G645" s="1">
        <v>60508.0</v>
      </c>
      <c r="H645" s="1">
        <v>285.0</v>
      </c>
      <c r="I645" s="1" t="s">
        <v>16</v>
      </c>
      <c r="J645" s="1">
        <v>6.5E7</v>
      </c>
      <c r="K645" s="1">
        <v>1996.0</v>
      </c>
      <c r="L645" s="1">
        <v>6.7</v>
      </c>
      <c r="O645" s="3"/>
      <c r="S645" s="4"/>
    </row>
    <row r="646" ht="14.25" customHeight="1">
      <c r="A646" s="1" t="s">
        <v>1535</v>
      </c>
      <c r="B646" s="1">
        <v>135.0</v>
      </c>
      <c r="C646" s="1">
        <v>3.2598931E7</v>
      </c>
      <c r="D646" s="1" t="s">
        <v>392</v>
      </c>
      <c r="E646" s="1" t="s">
        <v>1536</v>
      </c>
      <c r="F646" s="1" t="s">
        <v>1537</v>
      </c>
      <c r="G646" s="1">
        <v>49300.0</v>
      </c>
      <c r="H646" s="1">
        <v>265.0</v>
      </c>
      <c r="I646" s="1" t="s">
        <v>16</v>
      </c>
      <c r="J646" s="1">
        <v>6.5E7</v>
      </c>
      <c r="K646" s="1">
        <v>2000.0</v>
      </c>
      <c r="L646" s="1">
        <v>6.2</v>
      </c>
      <c r="O646" s="3"/>
      <c r="S646" s="4"/>
    </row>
    <row r="647" ht="14.25" customHeight="1">
      <c r="A647" s="1" t="s">
        <v>206</v>
      </c>
      <c r="B647" s="1">
        <v>101.0</v>
      </c>
      <c r="C647" s="1">
        <v>2.804554E7</v>
      </c>
      <c r="D647" s="1" t="s">
        <v>70</v>
      </c>
      <c r="E647" s="1" t="s">
        <v>1050</v>
      </c>
      <c r="F647" s="1" t="s">
        <v>1538</v>
      </c>
      <c r="G647" s="1">
        <v>67707.0</v>
      </c>
      <c r="H647" s="1">
        <v>202.0</v>
      </c>
      <c r="I647" s="1" t="s">
        <v>16</v>
      </c>
      <c r="J647" s="1">
        <v>6.5E7</v>
      </c>
      <c r="K647" s="1">
        <v>2005.0</v>
      </c>
      <c r="L647" s="1">
        <v>6.1</v>
      </c>
      <c r="O647" s="3"/>
      <c r="S647" s="4"/>
    </row>
    <row r="648" ht="14.25" customHeight="1">
      <c r="A648" s="1" t="s">
        <v>291</v>
      </c>
      <c r="B648" s="1">
        <v>151.0</v>
      </c>
      <c r="C648" s="1">
        <v>3.7023395E7</v>
      </c>
      <c r="D648" s="1" t="s">
        <v>1391</v>
      </c>
      <c r="E648" s="1" t="s">
        <v>293</v>
      </c>
      <c r="F648" s="1" t="s">
        <v>1539</v>
      </c>
      <c r="G648" s="1">
        <v>1347461.0</v>
      </c>
      <c r="H648" s="1">
        <v>2968.0</v>
      </c>
      <c r="I648" s="1" t="s">
        <v>16</v>
      </c>
      <c r="J648" s="1">
        <v>6.3E7</v>
      </c>
      <c r="K648" s="1">
        <v>1999.0</v>
      </c>
      <c r="L648" s="1">
        <v>8.8</v>
      </c>
      <c r="O648" s="3"/>
      <c r="S648" s="4"/>
    </row>
    <row r="649" ht="14.25" customHeight="1">
      <c r="A649" s="1" t="s">
        <v>142</v>
      </c>
      <c r="B649" s="1">
        <v>131.0</v>
      </c>
      <c r="C649" s="1">
        <v>4.3532294E7</v>
      </c>
      <c r="D649" s="1" t="s">
        <v>1540</v>
      </c>
      <c r="E649" s="1" t="s">
        <v>285</v>
      </c>
      <c r="F649" s="1" t="s">
        <v>1541</v>
      </c>
      <c r="G649" s="1">
        <v>46951.0</v>
      </c>
      <c r="H649" s="1">
        <v>175.0</v>
      </c>
      <c r="I649" s="1" t="s">
        <v>16</v>
      </c>
      <c r="J649" s="1">
        <v>6.5E7</v>
      </c>
      <c r="K649" s="1">
        <v>2006.0</v>
      </c>
      <c r="L649" s="1">
        <v>7.1</v>
      </c>
      <c r="O649" s="3"/>
      <c r="S649" s="4"/>
    </row>
    <row r="650" ht="14.25" customHeight="1">
      <c r="A650" s="1" t="s">
        <v>1542</v>
      </c>
      <c r="B650" s="1">
        <v>100.0</v>
      </c>
      <c r="C650" s="1">
        <v>1.721808E7</v>
      </c>
      <c r="D650" s="1" t="s">
        <v>678</v>
      </c>
      <c r="E650" s="1" t="s">
        <v>415</v>
      </c>
      <c r="F650" s="1" t="s">
        <v>1543</v>
      </c>
      <c r="G650" s="1">
        <v>43376.0</v>
      </c>
      <c r="H650" s="1">
        <v>249.0</v>
      </c>
      <c r="I650" s="1" t="s">
        <v>16</v>
      </c>
      <c r="J650" s="1">
        <v>7.0E7</v>
      </c>
      <c r="K650" s="1">
        <v>1991.0</v>
      </c>
      <c r="L650" s="1">
        <v>5.7</v>
      </c>
      <c r="O650" s="3"/>
      <c r="S650" s="4"/>
    </row>
    <row r="651" ht="14.25" customHeight="1">
      <c r="A651" s="1" t="s">
        <v>1497</v>
      </c>
      <c r="B651" s="1">
        <v>105.0</v>
      </c>
      <c r="C651" s="1">
        <v>1.0014234E7</v>
      </c>
      <c r="D651" s="1" t="s">
        <v>427</v>
      </c>
      <c r="E651" s="1" t="s">
        <v>1544</v>
      </c>
      <c r="F651" s="1" t="s">
        <v>1545</v>
      </c>
      <c r="G651" s="1">
        <v>8560.0</v>
      </c>
      <c r="H651" s="1">
        <v>69.0</v>
      </c>
      <c r="I651" s="1" t="s">
        <v>16</v>
      </c>
      <c r="J651" s="1">
        <v>6.5E7</v>
      </c>
      <c r="K651" s="1">
        <v>2000.0</v>
      </c>
      <c r="L651" s="1">
        <v>5.0</v>
      </c>
      <c r="O651" s="3"/>
      <c r="S651" s="4"/>
    </row>
    <row r="652" ht="14.25" customHeight="1">
      <c r="A652" s="1" t="s">
        <v>1546</v>
      </c>
      <c r="B652" s="1">
        <v>92.0</v>
      </c>
      <c r="C652" s="1">
        <v>1.9059018E7</v>
      </c>
      <c r="D652" s="1" t="s">
        <v>1547</v>
      </c>
      <c r="E652" s="1" t="s">
        <v>1548</v>
      </c>
      <c r="F652" s="1" t="s">
        <v>1549</v>
      </c>
      <c r="G652" s="1">
        <v>65709.0</v>
      </c>
      <c r="H652" s="1">
        <v>194.0</v>
      </c>
      <c r="I652" s="1" t="s">
        <v>16</v>
      </c>
      <c r="J652" s="1">
        <v>6.5E7</v>
      </c>
      <c r="K652" s="1">
        <v>2014.0</v>
      </c>
      <c r="L652" s="1">
        <v>5.1</v>
      </c>
      <c r="O652" s="3"/>
      <c r="S652" s="4"/>
    </row>
    <row r="653" ht="14.25" customHeight="1">
      <c r="A653" s="1" t="s">
        <v>1550</v>
      </c>
      <c r="B653" s="1">
        <v>130.0</v>
      </c>
      <c r="C653" s="1">
        <v>1987287.0</v>
      </c>
      <c r="D653" s="1" t="s">
        <v>811</v>
      </c>
      <c r="E653" s="1" t="s">
        <v>1551</v>
      </c>
      <c r="F653" s="1" t="s">
        <v>1552</v>
      </c>
      <c r="G653" s="1">
        <v>25474.0</v>
      </c>
      <c r="H653" s="1">
        <v>138.0</v>
      </c>
      <c r="I653" s="1" t="s">
        <v>16</v>
      </c>
      <c r="J653" s="1">
        <v>5.0E7</v>
      </c>
      <c r="K653" s="1">
        <v>2005.0</v>
      </c>
      <c r="L653" s="1">
        <v>6.9</v>
      </c>
      <c r="O653" s="3"/>
      <c r="S653" s="4"/>
    </row>
    <row r="654" ht="14.25" customHeight="1">
      <c r="A654" s="1" t="s">
        <v>1471</v>
      </c>
      <c r="B654" s="1">
        <v>100.0</v>
      </c>
      <c r="C654" s="1">
        <v>2.4407944E7</v>
      </c>
      <c r="D654" s="1" t="s">
        <v>1231</v>
      </c>
      <c r="E654" s="1" t="s">
        <v>320</v>
      </c>
      <c r="F654" s="1" t="s">
        <v>1553</v>
      </c>
      <c r="G654" s="1">
        <v>71202.0</v>
      </c>
      <c r="H654" s="1">
        <v>380.0</v>
      </c>
      <c r="I654" s="1" t="s">
        <v>16</v>
      </c>
      <c r="J654" s="1">
        <v>4.3E7</v>
      </c>
      <c r="K654" s="1">
        <v>2005.0</v>
      </c>
      <c r="L654" s="1">
        <v>4.8</v>
      </c>
      <c r="O654" s="3"/>
      <c r="S654" s="4"/>
    </row>
    <row r="655" ht="14.25" customHeight="1">
      <c r="A655" s="1" t="s">
        <v>1554</v>
      </c>
      <c r="B655" s="1">
        <v>102.0</v>
      </c>
      <c r="C655" s="1">
        <v>1.3750556E7</v>
      </c>
      <c r="D655" s="1" t="s">
        <v>146</v>
      </c>
      <c r="E655" s="1" t="s">
        <v>232</v>
      </c>
      <c r="F655" s="1" t="s">
        <v>1555</v>
      </c>
      <c r="G655" s="1">
        <v>111102.0</v>
      </c>
      <c r="H655" s="1">
        <v>239.0</v>
      </c>
      <c r="I655" s="1" t="s">
        <v>16</v>
      </c>
      <c r="J655" s="1">
        <v>6.5E7</v>
      </c>
      <c r="K655" s="1">
        <v>2014.0</v>
      </c>
      <c r="L655" s="1">
        <v>6.5</v>
      </c>
      <c r="O655" s="3"/>
      <c r="S655" s="4"/>
    </row>
    <row r="656" ht="14.25" customHeight="1">
      <c r="A656" s="1" t="s">
        <v>937</v>
      </c>
      <c r="B656" s="1">
        <v>133.0</v>
      </c>
      <c r="C656" s="1">
        <v>3.1054924E7</v>
      </c>
      <c r="D656" s="1" t="s">
        <v>1556</v>
      </c>
      <c r="E656" s="1" t="s">
        <v>169</v>
      </c>
      <c r="F656" s="1" t="s">
        <v>1557</v>
      </c>
      <c r="G656" s="1">
        <v>17025.0</v>
      </c>
      <c r="H656" s="1">
        <v>290.0</v>
      </c>
      <c r="I656" s="1" t="s">
        <v>16</v>
      </c>
      <c r="J656" s="1">
        <v>6.4E7</v>
      </c>
      <c r="K656" s="1">
        <v>1999.0</v>
      </c>
      <c r="L656" s="1">
        <v>5.1</v>
      </c>
      <c r="O656" s="3"/>
      <c r="S656" s="4"/>
    </row>
    <row r="657" ht="14.25" customHeight="1">
      <c r="A657" s="1" t="s">
        <v>1558</v>
      </c>
      <c r="B657" s="1">
        <v>121.0</v>
      </c>
      <c r="C657" s="1">
        <v>4.324714E7</v>
      </c>
      <c r="D657" s="1" t="s">
        <v>1559</v>
      </c>
      <c r="E657" s="1" t="s">
        <v>1560</v>
      </c>
      <c r="F657" s="1" t="s">
        <v>1561</v>
      </c>
      <c r="G657" s="1">
        <v>134625.0</v>
      </c>
      <c r="H657" s="1">
        <v>265.0</v>
      </c>
      <c r="I657" s="1" t="s">
        <v>16</v>
      </c>
      <c r="J657" s="1">
        <v>5.5E7</v>
      </c>
      <c r="K657" s="1">
        <v>2015.0</v>
      </c>
      <c r="L657" s="1">
        <v>7.1</v>
      </c>
      <c r="O657" s="3"/>
      <c r="S657" s="4"/>
    </row>
    <row r="658" ht="14.25" customHeight="1">
      <c r="A658" s="1" t="s">
        <v>769</v>
      </c>
      <c r="B658" s="1">
        <v>147.0</v>
      </c>
      <c r="C658" s="1">
        <v>2208939.0</v>
      </c>
      <c r="D658" s="1" t="s">
        <v>1562</v>
      </c>
      <c r="E658" s="1" t="s">
        <v>1563</v>
      </c>
      <c r="F658" s="1" t="s">
        <v>1564</v>
      </c>
      <c r="G658" s="1">
        <v>190490.0</v>
      </c>
      <c r="H658" s="1">
        <v>482.0</v>
      </c>
      <c r="I658" s="1" t="s">
        <v>16</v>
      </c>
      <c r="J658" s="1">
        <v>5.0E7</v>
      </c>
      <c r="K658" s="1">
        <v>2006.0</v>
      </c>
      <c r="L658" s="1">
        <v>7.5</v>
      </c>
      <c r="O658" s="3"/>
      <c r="S658" s="4"/>
    </row>
    <row r="659" ht="14.25" customHeight="1">
      <c r="A659" s="1" t="s">
        <v>827</v>
      </c>
      <c r="B659" s="1">
        <v>94.0</v>
      </c>
      <c r="C659" s="1">
        <v>2.13079163E8</v>
      </c>
      <c r="D659" s="1" t="s">
        <v>728</v>
      </c>
      <c r="E659" s="1" t="s">
        <v>1565</v>
      </c>
      <c r="F659" s="1" t="s">
        <v>1566</v>
      </c>
      <c r="G659" s="1">
        <v>162909.0</v>
      </c>
      <c r="H659" s="1">
        <v>795.0</v>
      </c>
      <c r="I659" s="1" t="s">
        <v>16</v>
      </c>
      <c r="J659" s="1">
        <v>6.3E7</v>
      </c>
      <c r="K659" s="1">
        <v>2002.0</v>
      </c>
      <c r="L659" s="1">
        <v>6.2</v>
      </c>
      <c r="O659" s="3"/>
      <c r="S659" s="4"/>
    </row>
    <row r="660" ht="14.25" customHeight="1">
      <c r="A660" s="1" t="s">
        <v>397</v>
      </c>
      <c r="B660" s="1">
        <v>94.0</v>
      </c>
      <c r="C660" s="1">
        <v>1.9548064E7</v>
      </c>
      <c r="D660" s="1" t="s">
        <v>522</v>
      </c>
      <c r="E660" s="1" t="s">
        <v>301</v>
      </c>
      <c r="F660" s="1" t="s">
        <v>1567</v>
      </c>
      <c r="G660" s="1">
        <v>25681.0</v>
      </c>
      <c r="H660" s="1">
        <v>77.0</v>
      </c>
      <c r="I660" s="1" t="s">
        <v>16</v>
      </c>
      <c r="J660" s="1">
        <v>6.5E7</v>
      </c>
      <c r="K660" s="1">
        <v>2009.0</v>
      </c>
      <c r="L660" s="1">
        <v>6.3</v>
      </c>
      <c r="O660" s="3"/>
      <c r="S660" s="4"/>
    </row>
    <row r="661" ht="14.25" customHeight="1">
      <c r="A661" s="1" t="s">
        <v>168</v>
      </c>
      <c r="B661" s="1">
        <v>127.0</v>
      </c>
      <c r="C661" s="1">
        <v>3.56784E8</v>
      </c>
      <c r="D661" s="1" t="s">
        <v>492</v>
      </c>
      <c r="E661" s="1" t="s">
        <v>1568</v>
      </c>
      <c r="F661" s="1" t="s">
        <v>1569</v>
      </c>
      <c r="G661" s="1">
        <v>613473.0</v>
      </c>
      <c r="H661" s="1">
        <v>895.0</v>
      </c>
      <c r="I661" s="1" t="s">
        <v>16</v>
      </c>
      <c r="J661" s="1">
        <v>6.3E7</v>
      </c>
      <c r="K661" s="1">
        <v>1993.0</v>
      </c>
      <c r="L661" s="1">
        <v>8.1</v>
      </c>
      <c r="O661" s="3"/>
      <c r="S661" s="4"/>
    </row>
    <row r="662" ht="14.25" customHeight="1">
      <c r="A662" s="1" t="s">
        <v>1485</v>
      </c>
      <c r="B662" s="1">
        <v>212.0</v>
      </c>
      <c r="C662" s="1">
        <v>2.5052E7</v>
      </c>
      <c r="D662" s="1" t="s">
        <v>1570</v>
      </c>
      <c r="E662" s="1" t="s">
        <v>870</v>
      </c>
      <c r="F662" s="1" t="s">
        <v>1571</v>
      </c>
      <c r="G662" s="1">
        <v>35314.0</v>
      </c>
      <c r="H662" s="1">
        <v>145.0</v>
      </c>
      <c r="I662" s="1" t="s">
        <v>16</v>
      </c>
      <c r="J662" s="1">
        <v>6.3E7</v>
      </c>
      <c r="K662" s="1">
        <v>1994.0</v>
      </c>
      <c r="L662" s="1">
        <v>6.6</v>
      </c>
      <c r="O662" s="3"/>
      <c r="S662" s="4"/>
    </row>
    <row r="663" ht="14.25" customHeight="1">
      <c r="A663" s="1" t="s">
        <v>502</v>
      </c>
      <c r="B663" s="1">
        <v>141.0</v>
      </c>
      <c r="C663" s="1">
        <v>1.2201271E8</v>
      </c>
      <c r="D663" s="1" t="s">
        <v>197</v>
      </c>
      <c r="E663" s="1" t="s">
        <v>169</v>
      </c>
      <c r="F663" s="1" t="s">
        <v>1572</v>
      </c>
      <c r="G663" s="1">
        <v>69663.0</v>
      </c>
      <c r="H663" s="1">
        <v>133.0</v>
      </c>
      <c r="I663" s="1" t="s">
        <v>16</v>
      </c>
      <c r="J663" s="1">
        <v>6.2E7</v>
      </c>
      <c r="K663" s="1">
        <v>1994.0</v>
      </c>
      <c r="L663" s="1">
        <v>6.9</v>
      </c>
      <c r="O663" s="3"/>
      <c r="S663" s="4"/>
    </row>
    <row r="664" ht="14.25" customHeight="1">
      <c r="A664" s="1" t="s">
        <v>1573</v>
      </c>
      <c r="B664" s="1">
        <v>103.0</v>
      </c>
      <c r="C664" s="1">
        <v>72413.0</v>
      </c>
      <c r="D664" s="1" t="s">
        <v>81</v>
      </c>
      <c r="E664" s="1" t="s">
        <v>1574</v>
      </c>
      <c r="F664" s="1" t="s">
        <v>1575</v>
      </c>
      <c r="G664" s="1">
        <v>11584.0</v>
      </c>
      <c r="H664" s="1">
        <v>86.0</v>
      </c>
      <c r="I664" s="1" t="s">
        <v>816</v>
      </c>
      <c r="J664" s="1">
        <v>6.5E7</v>
      </c>
      <c r="K664" s="1">
        <v>2015.0</v>
      </c>
      <c r="L664" s="1">
        <v>6.1</v>
      </c>
      <c r="O664" s="3"/>
      <c r="S664" s="4"/>
    </row>
    <row r="665" ht="14.25" customHeight="1">
      <c r="A665" s="1" t="s">
        <v>1576</v>
      </c>
      <c r="B665" s="1">
        <v>98.0</v>
      </c>
      <c r="C665" s="1">
        <v>5.8255287E7</v>
      </c>
      <c r="D665" s="1" t="s">
        <v>427</v>
      </c>
      <c r="E665" s="1" t="s">
        <v>689</v>
      </c>
      <c r="F665" s="1" t="s">
        <v>1577</v>
      </c>
      <c r="G665" s="1">
        <v>39471.0</v>
      </c>
      <c r="H665" s="1">
        <v>187.0</v>
      </c>
      <c r="I665" s="1" t="s">
        <v>16</v>
      </c>
      <c r="J665" s="1">
        <v>6.4E7</v>
      </c>
      <c r="K665" s="1">
        <v>2006.0</v>
      </c>
      <c r="L665" s="1">
        <v>4.3</v>
      </c>
      <c r="O665" s="3"/>
      <c r="S665" s="4"/>
    </row>
    <row r="666" ht="14.25" customHeight="1">
      <c r="A666" s="1" t="s">
        <v>277</v>
      </c>
      <c r="B666" s="1">
        <v>116.0</v>
      </c>
      <c r="C666" s="1">
        <v>7.708603E7</v>
      </c>
      <c r="D666" s="1" t="s">
        <v>1578</v>
      </c>
      <c r="E666" s="1" t="s">
        <v>285</v>
      </c>
      <c r="F666" s="1" t="s">
        <v>1579</v>
      </c>
      <c r="G666" s="1">
        <v>65297.0</v>
      </c>
      <c r="H666" s="1">
        <v>602.0</v>
      </c>
      <c r="I666" s="1" t="s">
        <v>16</v>
      </c>
      <c r="J666" s="1">
        <v>6.2E7</v>
      </c>
      <c r="K666" s="1">
        <v>2000.0</v>
      </c>
      <c r="L666" s="1">
        <v>6.6</v>
      </c>
      <c r="O666" s="3"/>
      <c r="S666" s="4"/>
    </row>
    <row r="667" ht="14.25" customHeight="1">
      <c r="A667" s="1" t="s">
        <v>1580</v>
      </c>
      <c r="B667" s="1">
        <v>114.0</v>
      </c>
      <c r="C667" s="1">
        <v>6.5E7</v>
      </c>
      <c r="D667" s="1" t="s">
        <v>593</v>
      </c>
      <c r="E667" s="1" t="s">
        <v>1581</v>
      </c>
      <c r="F667" s="1" t="s">
        <v>1582</v>
      </c>
      <c r="G667" s="1">
        <v>43027.0</v>
      </c>
      <c r="H667" s="1">
        <v>214.0</v>
      </c>
      <c r="I667" s="1" t="s">
        <v>16</v>
      </c>
      <c r="J667" s="1">
        <v>6.2E7</v>
      </c>
      <c r="K667" s="1">
        <v>1995.0</v>
      </c>
      <c r="L667" s="1">
        <v>6.8</v>
      </c>
      <c r="O667" s="3"/>
      <c r="S667" s="4"/>
    </row>
    <row r="668" ht="14.25" customHeight="1">
      <c r="A668" s="1" t="s">
        <v>1583</v>
      </c>
      <c r="B668" s="1">
        <v>87.0</v>
      </c>
      <c r="C668" s="1">
        <v>3.2178777E7</v>
      </c>
      <c r="D668" s="1" t="s">
        <v>1584</v>
      </c>
      <c r="E668" s="1" t="s">
        <v>309</v>
      </c>
      <c r="F668" s="1" t="s">
        <v>1585</v>
      </c>
      <c r="G668" s="1">
        <v>43300.0</v>
      </c>
      <c r="H668" s="1">
        <v>250.0</v>
      </c>
      <c r="I668" s="1" t="s">
        <v>16</v>
      </c>
      <c r="J668" s="1">
        <v>6.2E7</v>
      </c>
      <c r="K668" s="1">
        <v>2008.0</v>
      </c>
      <c r="L668" s="1">
        <v>3.8</v>
      </c>
      <c r="O668" s="3"/>
      <c r="S668" s="4"/>
    </row>
    <row r="669" ht="14.25" customHeight="1">
      <c r="A669" s="1" t="s">
        <v>1586</v>
      </c>
      <c r="B669" s="1">
        <v>125.0</v>
      </c>
      <c r="C669" s="1">
        <v>1.5738632E7</v>
      </c>
      <c r="D669" s="1" t="s">
        <v>180</v>
      </c>
      <c r="E669" s="1" t="s">
        <v>822</v>
      </c>
      <c r="F669" s="1" t="s">
        <v>1587</v>
      </c>
      <c r="G669" s="1">
        <v>38076.0</v>
      </c>
      <c r="H669" s="1">
        <v>399.0</v>
      </c>
      <c r="I669" s="1" t="s">
        <v>16</v>
      </c>
      <c r="J669" s="1">
        <v>4.2E7</v>
      </c>
      <c r="K669" s="1">
        <v>2001.0</v>
      </c>
      <c r="L669" s="1">
        <v>5.9</v>
      </c>
      <c r="O669" s="3"/>
      <c r="S669" s="4"/>
    </row>
    <row r="670" ht="14.25" customHeight="1">
      <c r="A670" s="1" t="s">
        <v>734</v>
      </c>
      <c r="B670" s="1">
        <v>187.0</v>
      </c>
      <c r="C670" s="1">
        <v>5.4116191E7</v>
      </c>
      <c r="D670" s="1" t="s">
        <v>1588</v>
      </c>
      <c r="E670" s="1" t="s">
        <v>1589</v>
      </c>
      <c r="F670" s="1" t="s">
        <v>1590</v>
      </c>
      <c r="G670" s="1">
        <v>272839.0</v>
      </c>
      <c r="H670" s="1">
        <v>1018.0</v>
      </c>
      <c r="I670" s="1" t="s">
        <v>16</v>
      </c>
      <c r="J670" s="1">
        <v>4.4E7</v>
      </c>
      <c r="K670" s="1">
        <v>2015.0</v>
      </c>
      <c r="L670" s="1">
        <v>7.9</v>
      </c>
      <c r="O670" s="3"/>
      <c r="S670" s="4"/>
    </row>
    <row r="671" ht="14.25" customHeight="1">
      <c r="A671" s="1" t="s">
        <v>1591</v>
      </c>
      <c r="B671" s="1">
        <v>93.0</v>
      </c>
      <c r="C671" s="1">
        <v>1.18153533E8</v>
      </c>
      <c r="D671" s="1" t="s">
        <v>1592</v>
      </c>
      <c r="E671" s="1" t="s">
        <v>783</v>
      </c>
      <c r="F671" s="1" t="s">
        <v>1593</v>
      </c>
      <c r="G671" s="1">
        <v>129995.0</v>
      </c>
      <c r="H671" s="1">
        <v>246.0</v>
      </c>
      <c r="I671" s="1" t="s">
        <v>16</v>
      </c>
      <c r="J671" s="1">
        <v>6.1E7</v>
      </c>
      <c r="K671" s="1">
        <v>2007.0</v>
      </c>
      <c r="L671" s="1">
        <v>6.3</v>
      </c>
      <c r="O671" s="3"/>
      <c r="S671" s="4"/>
    </row>
    <row r="672" ht="14.25" customHeight="1">
      <c r="A672" s="1" t="s">
        <v>1594</v>
      </c>
      <c r="B672" s="1">
        <v>95.0</v>
      </c>
      <c r="C672" s="1">
        <v>1.0801217E8</v>
      </c>
      <c r="D672" s="1" t="s">
        <v>118</v>
      </c>
      <c r="E672" s="1" t="s">
        <v>1407</v>
      </c>
      <c r="F672" s="1" t="s">
        <v>1595</v>
      </c>
      <c r="G672" s="1">
        <v>24089.0</v>
      </c>
      <c r="H672" s="1">
        <v>82.0</v>
      </c>
      <c r="I672" s="1" t="s">
        <v>16</v>
      </c>
      <c r="J672" s="1">
        <v>6.3E7</v>
      </c>
      <c r="K672" s="1">
        <v>2011.0</v>
      </c>
      <c r="L672" s="1">
        <v>5.5</v>
      </c>
      <c r="O672" s="3"/>
      <c r="S672" s="4"/>
    </row>
    <row r="673" ht="14.25" customHeight="1">
      <c r="A673" s="1" t="s">
        <v>48</v>
      </c>
      <c r="B673" s="1">
        <v>117.0</v>
      </c>
      <c r="C673" s="1">
        <v>2.1059259E8</v>
      </c>
      <c r="D673" s="1" t="s">
        <v>654</v>
      </c>
      <c r="E673" s="1" t="s">
        <v>275</v>
      </c>
      <c r="F673" s="1" t="s">
        <v>1596</v>
      </c>
      <c r="G673" s="1">
        <v>607235.0</v>
      </c>
      <c r="H673" s="1">
        <v>2073.0</v>
      </c>
      <c r="I673" s="1" t="s">
        <v>16</v>
      </c>
      <c r="J673" s="1">
        <v>6.5E7</v>
      </c>
      <c r="K673" s="1">
        <v>2006.0</v>
      </c>
      <c r="L673" s="1">
        <v>7.7</v>
      </c>
      <c r="O673" s="3"/>
      <c r="S673" s="4"/>
    </row>
    <row r="674" ht="14.25" customHeight="1">
      <c r="A674" s="1" t="s">
        <v>827</v>
      </c>
      <c r="B674" s="1">
        <v>106.0</v>
      </c>
      <c r="C674" s="1">
        <v>2.79167575E8</v>
      </c>
      <c r="D674" s="1" t="s">
        <v>699</v>
      </c>
      <c r="E674" s="1" t="s">
        <v>725</v>
      </c>
      <c r="F674" s="1" t="s">
        <v>1597</v>
      </c>
      <c r="G674" s="1">
        <v>211296.0</v>
      </c>
      <c r="H674" s="1">
        <v>428.0</v>
      </c>
      <c r="I674" s="1" t="s">
        <v>16</v>
      </c>
      <c r="J674" s="1">
        <v>8.0E7</v>
      </c>
      <c r="K674" s="1">
        <v>2004.0</v>
      </c>
      <c r="L674" s="1">
        <v>6.3</v>
      </c>
      <c r="O674" s="3"/>
      <c r="S674" s="4"/>
    </row>
    <row r="675" ht="14.25" customHeight="1">
      <c r="A675" s="1" t="s">
        <v>1598</v>
      </c>
      <c r="B675" s="1">
        <v>115.0</v>
      </c>
      <c r="C675" s="1">
        <v>1.43151473E8</v>
      </c>
      <c r="D675" s="1" t="s">
        <v>1599</v>
      </c>
      <c r="E675" s="1" t="s">
        <v>1600</v>
      </c>
      <c r="F675" s="1" t="s">
        <v>1601</v>
      </c>
      <c r="G675" s="1">
        <v>116681.0</v>
      </c>
      <c r="H675" s="1">
        <v>320.0</v>
      </c>
      <c r="I675" s="1" t="s">
        <v>16</v>
      </c>
      <c r="J675" s="1">
        <v>6.0E7</v>
      </c>
      <c r="K675" s="1">
        <v>2008.0</v>
      </c>
      <c r="L675" s="1">
        <v>7.1</v>
      </c>
      <c r="O675" s="3"/>
      <c r="S675" s="4"/>
    </row>
    <row r="676" ht="14.25" customHeight="1">
      <c r="A676" s="1" t="s">
        <v>1331</v>
      </c>
      <c r="B676" s="1">
        <v>189.0</v>
      </c>
      <c r="C676" s="1">
        <v>1.36801374E8</v>
      </c>
      <c r="D676" s="1" t="s">
        <v>1602</v>
      </c>
      <c r="E676" s="1" t="s">
        <v>140</v>
      </c>
      <c r="F676" s="1" t="s">
        <v>1603</v>
      </c>
      <c r="G676" s="1">
        <v>782610.0</v>
      </c>
      <c r="H676" s="1">
        <v>1377.0</v>
      </c>
      <c r="I676" s="1" t="s">
        <v>16</v>
      </c>
      <c r="J676" s="1">
        <v>6.0E7</v>
      </c>
      <c r="K676" s="1">
        <v>1999.0</v>
      </c>
      <c r="L676" s="1">
        <v>8.5</v>
      </c>
      <c r="O676" s="3"/>
      <c r="S676" s="4"/>
    </row>
    <row r="677" ht="14.25" customHeight="1">
      <c r="A677" s="1" t="s">
        <v>740</v>
      </c>
      <c r="B677" s="1">
        <v>81.0</v>
      </c>
      <c r="C677" s="1">
        <v>1.35381507E8</v>
      </c>
      <c r="D677" s="1" t="s">
        <v>267</v>
      </c>
      <c r="E677" s="1" t="s">
        <v>750</v>
      </c>
      <c r="F677" s="1" t="s">
        <v>1604</v>
      </c>
      <c r="G677" s="1">
        <v>63912.0</v>
      </c>
      <c r="H677" s="1">
        <v>251.0</v>
      </c>
      <c r="I677" s="1" t="s">
        <v>16</v>
      </c>
      <c r="J677" s="1">
        <v>1.5E8</v>
      </c>
      <c r="K677" s="1">
        <v>2005.0</v>
      </c>
      <c r="L677" s="1">
        <v>5.8</v>
      </c>
      <c r="O677" s="3"/>
      <c r="S677" s="4"/>
    </row>
    <row r="678" ht="14.25" customHeight="1">
      <c r="A678" s="1" t="s">
        <v>291</v>
      </c>
      <c r="B678" s="1">
        <v>149.0</v>
      </c>
      <c r="C678" s="1">
        <v>1.67735396E8</v>
      </c>
      <c r="D678" s="1" t="s">
        <v>909</v>
      </c>
      <c r="E678" s="1" t="s">
        <v>1605</v>
      </c>
      <c r="F678" s="1" t="s">
        <v>1606</v>
      </c>
      <c r="G678" s="1">
        <v>569841.0</v>
      </c>
      <c r="H678" s="1">
        <v>1127.0</v>
      </c>
      <c r="I678" s="1" t="s">
        <v>16</v>
      </c>
      <c r="J678" s="1">
        <v>6.1E7</v>
      </c>
      <c r="K678" s="1">
        <v>2014.0</v>
      </c>
      <c r="L678" s="1">
        <v>8.1</v>
      </c>
      <c r="O678" s="3"/>
      <c r="S678" s="4"/>
    </row>
    <row r="679" ht="14.25" customHeight="1">
      <c r="A679" s="1" t="s">
        <v>225</v>
      </c>
      <c r="B679" s="1">
        <v>119.0</v>
      </c>
      <c r="C679" s="1">
        <v>1.2146896E8</v>
      </c>
      <c r="D679" s="1" t="s">
        <v>485</v>
      </c>
      <c r="E679" s="1" t="s">
        <v>486</v>
      </c>
      <c r="F679" s="1" t="s">
        <v>1607</v>
      </c>
      <c r="G679" s="1">
        <v>407601.0</v>
      </c>
      <c r="H679" s="1">
        <v>849.0</v>
      </c>
      <c r="I679" s="1" t="s">
        <v>16</v>
      </c>
      <c r="J679" s="1">
        <v>6.0E7</v>
      </c>
      <c r="K679" s="1">
        <v>2002.0</v>
      </c>
      <c r="L679" s="1">
        <v>7.9</v>
      </c>
      <c r="O679" s="3"/>
      <c r="S679" s="4"/>
    </row>
    <row r="680" ht="14.25" customHeight="1">
      <c r="A680" s="1" t="s">
        <v>136</v>
      </c>
      <c r="B680" s="1">
        <v>130.0</v>
      </c>
      <c r="C680" s="1">
        <v>1.06635996E8</v>
      </c>
      <c r="D680" s="1" t="s">
        <v>22</v>
      </c>
      <c r="E680" s="1" t="s">
        <v>1608</v>
      </c>
      <c r="F680" s="1" t="s">
        <v>1609</v>
      </c>
      <c r="G680" s="1">
        <v>199025.0</v>
      </c>
      <c r="H680" s="1">
        <v>416.0</v>
      </c>
      <c r="I680" s="1" t="s">
        <v>16</v>
      </c>
      <c r="J680" s="1">
        <v>5.8E7</v>
      </c>
      <c r="K680" s="1">
        <v>1995.0</v>
      </c>
      <c r="L680" s="1">
        <v>7.2</v>
      </c>
      <c r="O680" s="3"/>
      <c r="S680" s="4"/>
    </row>
    <row r="681" ht="14.25" customHeight="1">
      <c r="A681" s="1" t="s">
        <v>743</v>
      </c>
      <c r="B681" s="1">
        <v>116.0</v>
      </c>
      <c r="C681" s="1">
        <v>1.02678089E8</v>
      </c>
      <c r="D681" s="1" t="s">
        <v>806</v>
      </c>
      <c r="E681" s="1" t="s">
        <v>1610</v>
      </c>
      <c r="F681" s="1" t="s">
        <v>1611</v>
      </c>
      <c r="G681" s="1">
        <v>42705.0</v>
      </c>
      <c r="H681" s="1">
        <v>274.0</v>
      </c>
      <c r="I681" s="1" t="s">
        <v>16</v>
      </c>
      <c r="J681" s="1">
        <v>9.5E7</v>
      </c>
      <c r="K681" s="1">
        <v>1999.0</v>
      </c>
      <c r="L681" s="1">
        <v>6.3</v>
      </c>
      <c r="O681" s="3"/>
      <c r="S681" s="4"/>
    </row>
    <row r="682" ht="14.25" customHeight="1">
      <c r="A682" s="1" t="s">
        <v>463</v>
      </c>
      <c r="B682" s="1">
        <v>103.0</v>
      </c>
      <c r="C682" s="1">
        <v>1.2560336E8</v>
      </c>
      <c r="D682" s="1" t="s">
        <v>955</v>
      </c>
      <c r="E682" s="1" t="s">
        <v>1612</v>
      </c>
      <c r="F682" s="1" t="s">
        <v>1613</v>
      </c>
      <c r="G682" s="1">
        <v>667983.0</v>
      </c>
      <c r="H682" s="1">
        <v>877.0</v>
      </c>
      <c r="I682" s="1" t="s">
        <v>16</v>
      </c>
      <c r="J682" s="1">
        <v>6.0E7</v>
      </c>
      <c r="K682" s="1">
        <v>1998.0</v>
      </c>
      <c r="L682" s="1">
        <v>8.1</v>
      </c>
      <c r="O682" s="3"/>
      <c r="S682" s="4"/>
    </row>
    <row r="683" ht="14.25" customHeight="1">
      <c r="A683" s="1" t="s">
        <v>1614</v>
      </c>
      <c r="B683" s="1">
        <v>99.0</v>
      </c>
      <c r="C683" s="1">
        <v>1.012179E8</v>
      </c>
      <c r="D683" s="1" t="s">
        <v>1615</v>
      </c>
      <c r="E683" s="1" t="s">
        <v>864</v>
      </c>
      <c r="F683" s="1" t="s">
        <v>1616</v>
      </c>
      <c r="G683" s="1">
        <v>91093.0</v>
      </c>
      <c r="H683" s="1">
        <v>353.0</v>
      </c>
      <c r="I683" s="1" t="s">
        <v>16</v>
      </c>
      <c r="J683" s="1">
        <v>7.0E7</v>
      </c>
      <c r="K683" s="1">
        <v>1998.0</v>
      </c>
      <c r="L683" s="1">
        <v>7.0</v>
      </c>
      <c r="O683" s="3"/>
      <c r="S683" s="4"/>
    </row>
    <row r="684" ht="14.25" customHeight="1">
      <c r="A684" s="1" t="s">
        <v>1319</v>
      </c>
      <c r="B684" s="1">
        <v>92.0</v>
      </c>
      <c r="C684" s="1">
        <v>1.04148781E8</v>
      </c>
      <c r="D684" s="1" t="s">
        <v>1247</v>
      </c>
      <c r="E684" s="1" t="s">
        <v>1617</v>
      </c>
      <c r="F684" s="1" t="s">
        <v>1618</v>
      </c>
      <c r="G684" s="1">
        <v>49486.0</v>
      </c>
      <c r="H684" s="1">
        <v>116.0</v>
      </c>
      <c r="I684" s="1" t="s">
        <v>16</v>
      </c>
      <c r="J684" s="1">
        <v>6.0E7</v>
      </c>
      <c r="K684" s="1">
        <v>2003.0</v>
      </c>
      <c r="L684" s="1">
        <v>5.5</v>
      </c>
      <c r="O684" s="3"/>
      <c r="S684" s="4"/>
    </row>
    <row r="685" ht="14.25" customHeight="1">
      <c r="A685" s="1" t="s">
        <v>1558</v>
      </c>
      <c r="B685" s="1">
        <v>109.0</v>
      </c>
      <c r="C685" s="1">
        <v>7.55733E7</v>
      </c>
      <c r="D685" s="1" t="s">
        <v>1452</v>
      </c>
      <c r="E685" s="1" t="s">
        <v>717</v>
      </c>
      <c r="F685" s="1" t="s">
        <v>1619</v>
      </c>
      <c r="G685" s="1">
        <v>156898.0</v>
      </c>
      <c r="H685" s="1">
        <v>172.0</v>
      </c>
      <c r="I685" s="1" t="s">
        <v>16</v>
      </c>
      <c r="J685" s="1">
        <v>6.1E7</v>
      </c>
      <c r="K685" s="1">
        <v>2013.0</v>
      </c>
      <c r="L685" s="1">
        <v>6.7</v>
      </c>
      <c r="O685" s="3"/>
      <c r="S685" s="4"/>
    </row>
    <row r="686" ht="14.25" customHeight="1">
      <c r="A686" s="1" t="s">
        <v>791</v>
      </c>
      <c r="B686" s="1">
        <v>87.0</v>
      </c>
      <c r="C686" s="1">
        <v>9.3375151E7</v>
      </c>
      <c r="D686" s="1" t="s">
        <v>1048</v>
      </c>
      <c r="E686" s="1" t="s">
        <v>1620</v>
      </c>
      <c r="F686" s="1" t="s">
        <v>1621</v>
      </c>
      <c r="G686" s="1">
        <v>46031.0</v>
      </c>
      <c r="H686" s="1">
        <v>235.0</v>
      </c>
      <c r="I686" s="1" t="s">
        <v>16</v>
      </c>
      <c r="J686" s="1">
        <v>6.0E7</v>
      </c>
      <c r="K686" s="1">
        <v>2001.0</v>
      </c>
      <c r="L686" s="1">
        <v>5.2</v>
      </c>
      <c r="O686" s="3"/>
      <c r="S686" s="4"/>
    </row>
    <row r="687" ht="14.25" customHeight="1">
      <c r="A687" s="1" t="s">
        <v>1258</v>
      </c>
      <c r="B687" s="1">
        <v>111.0</v>
      </c>
      <c r="C687" s="1">
        <v>1.06126012E8</v>
      </c>
      <c r="D687" s="1" t="s">
        <v>146</v>
      </c>
      <c r="E687" s="1" t="s">
        <v>147</v>
      </c>
      <c r="F687" s="1" t="s">
        <v>1622</v>
      </c>
      <c r="G687" s="1">
        <v>285623.0</v>
      </c>
      <c r="H687" s="1">
        <v>497.0</v>
      </c>
      <c r="I687" s="1" t="s">
        <v>16</v>
      </c>
      <c r="J687" s="1">
        <v>6.0E7</v>
      </c>
      <c r="K687" s="1">
        <v>2003.0</v>
      </c>
      <c r="L687" s="1">
        <v>7.0</v>
      </c>
      <c r="O687" s="3"/>
      <c r="S687" s="4"/>
    </row>
    <row r="688" ht="14.25" customHeight="1">
      <c r="A688" s="1" t="s">
        <v>1623</v>
      </c>
      <c r="B688" s="1">
        <v>101.0</v>
      </c>
      <c r="C688" s="1">
        <v>9.3307796E7</v>
      </c>
      <c r="D688" s="1" t="s">
        <v>699</v>
      </c>
      <c r="E688" s="1" t="s">
        <v>1624</v>
      </c>
      <c r="F688" s="1" t="s">
        <v>1625</v>
      </c>
      <c r="G688" s="1">
        <v>85673.0</v>
      </c>
      <c r="H688" s="1">
        <v>269.0</v>
      </c>
      <c r="I688" s="1" t="s">
        <v>16</v>
      </c>
      <c r="J688" s="1">
        <v>6.0E7</v>
      </c>
      <c r="K688" s="1">
        <v>2002.0</v>
      </c>
      <c r="L688" s="1">
        <v>6.1</v>
      </c>
      <c r="O688" s="3"/>
      <c r="S688" s="4"/>
    </row>
    <row r="689" ht="14.25" customHeight="1">
      <c r="A689" s="1" t="s">
        <v>341</v>
      </c>
      <c r="B689" s="1">
        <v>83.0</v>
      </c>
      <c r="C689" s="1">
        <v>9.0646554E7</v>
      </c>
      <c r="D689" s="1" t="s">
        <v>200</v>
      </c>
      <c r="E689" s="1" t="s">
        <v>1061</v>
      </c>
      <c r="F689" s="1" t="s">
        <v>1626</v>
      </c>
      <c r="G689" s="1">
        <v>124641.0</v>
      </c>
      <c r="H689" s="1">
        <v>289.0</v>
      </c>
      <c r="I689" s="1" t="s">
        <v>16</v>
      </c>
      <c r="J689" s="1">
        <v>1.05E8</v>
      </c>
      <c r="K689" s="1">
        <v>1998.0</v>
      </c>
      <c r="L689" s="1">
        <v>6.6</v>
      </c>
      <c r="O689" s="3"/>
      <c r="S689" s="4"/>
    </row>
    <row r="690" ht="14.25" customHeight="1">
      <c r="A690" s="1" t="s">
        <v>1627</v>
      </c>
      <c r="B690" s="1">
        <v>113.0</v>
      </c>
      <c r="C690" s="1">
        <v>1.09176215E8</v>
      </c>
      <c r="D690" s="1" t="s">
        <v>828</v>
      </c>
      <c r="E690" s="1" t="s">
        <v>206</v>
      </c>
      <c r="F690" s="1" t="s">
        <v>1628</v>
      </c>
      <c r="G690" s="1">
        <v>83506.0</v>
      </c>
      <c r="H690" s="1">
        <v>144.0</v>
      </c>
      <c r="I690" s="1" t="s">
        <v>16</v>
      </c>
      <c r="J690" s="1">
        <v>6.0E7</v>
      </c>
      <c r="K690" s="1">
        <v>2009.0</v>
      </c>
      <c r="L690" s="1">
        <v>5.5</v>
      </c>
      <c r="O690" s="3"/>
      <c r="S690" s="4"/>
    </row>
    <row r="691" ht="14.25" customHeight="1">
      <c r="A691" s="1" t="s">
        <v>722</v>
      </c>
      <c r="B691" s="1">
        <v>107.0</v>
      </c>
      <c r="C691" s="1">
        <v>8.2670733E7</v>
      </c>
      <c r="D691" s="1" t="s">
        <v>1334</v>
      </c>
      <c r="E691" s="1" t="s">
        <v>226</v>
      </c>
      <c r="F691" s="1" t="s">
        <v>1629</v>
      </c>
      <c r="G691" s="1">
        <v>60476.0</v>
      </c>
      <c r="H691" s="1">
        <v>97.0</v>
      </c>
      <c r="I691" s="1" t="s">
        <v>16</v>
      </c>
      <c r="J691" s="1">
        <v>6.0E7</v>
      </c>
      <c r="K691" s="1">
        <v>1990.0</v>
      </c>
      <c r="L691" s="1">
        <v>5.9</v>
      </c>
      <c r="O691" s="3"/>
      <c r="S691" s="4"/>
    </row>
    <row r="692" ht="14.25" customHeight="1">
      <c r="A692" s="1" t="s">
        <v>1087</v>
      </c>
      <c r="B692" s="1">
        <v>94.0</v>
      </c>
      <c r="C692" s="1">
        <v>8.2569532E7</v>
      </c>
      <c r="D692" s="1" t="s">
        <v>993</v>
      </c>
      <c r="E692" s="1" t="s">
        <v>1630</v>
      </c>
      <c r="F692" s="1" t="s">
        <v>1631</v>
      </c>
      <c r="G692" s="1">
        <v>42737.0</v>
      </c>
      <c r="H692" s="1">
        <v>128.0</v>
      </c>
      <c r="I692" s="1" t="s">
        <v>16</v>
      </c>
      <c r="J692" s="1">
        <v>6.0E7</v>
      </c>
      <c r="K692" s="1">
        <v>2005.0</v>
      </c>
      <c r="L692" s="1">
        <v>5.4</v>
      </c>
      <c r="O692" s="3"/>
      <c r="S692" s="4"/>
    </row>
    <row r="693" ht="14.25" customHeight="1">
      <c r="A693" s="1" t="s">
        <v>1632</v>
      </c>
      <c r="B693" s="1">
        <v>132.0</v>
      </c>
      <c r="C693" s="1">
        <v>8.1687587E7</v>
      </c>
      <c r="D693" s="1" t="s">
        <v>1154</v>
      </c>
      <c r="E693" s="1" t="s">
        <v>1633</v>
      </c>
      <c r="F693" s="1" t="s">
        <v>1634</v>
      </c>
      <c r="G693" s="1">
        <v>138246.0</v>
      </c>
      <c r="H693" s="1">
        <v>360.0</v>
      </c>
      <c r="I693" s="1" t="s">
        <v>16</v>
      </c>
      <c r="J693" s="1">
        <v>6.1E7</v>
      </c>
      <c r="K693" s="1">
        <v>2015.0</v>
      </c>
      <c r="L693" s="1">
        <v>6.4</v>
      </c>
      <c r="O693" s="3"/>
      <c r="S693" s="4"/>
    </row>
    <row r="694" ht="14.25" customHeight="1">
      <c r="A694" s="1" t="s">
        <v>1635</v>
      </c>
      <c r="B694" s="1">
        <v>140.0</v>
      </c>
      <c r="C694" s="1">
        <v>8.057401E7</v>
      </c>
      <c r="D694" s="1" t="s">
        <v>92</v>
      </c>
      <c r="E694" s="1" t="s">
        <v>861</v>
      </c>
      <c r="F694" s="1" t="s">
        <v>1636</v>
      </c>
      <c r="G694" s="1">
        <v>63493.0</v>
      </c>
      <c r="H694" s="1">
        <v>302.0</v>
      </c>
      <c r="I694" s="1" t="s">
        <v>16</v>
      </c>
      <c r="J694" s="1">
        <v>6.0E7</v>
      </c>
      <c r="K694" s="1">
        <v>2010.0</v>
      </c>
      <c r="L694" s="1">
        <v>5.7</v>
      </c>
      <c r="O694" s="3"/>
      <c r="S694" s="4"/>
    </row>
    <row r="695" ht="14.25" customHeight="1">
      <c r="A695" s="1" t="s">
        <v>113</v>
      </c>
      <c r="B695" s="1">
        <v>125.0</v>
      </c>
      <c r="C695" s="1">
        <v>7.5764085E7</v>
      </c>
      <c r="D695" s="1" t="s">
        <v>1046</v>
      </c>
      <c r="E695" s="1" t="s">
        <v>301</v>
      </c>
      <c r="F695" s="1" t="s">
        <v>1637</v>
      </c>
      <c r="G695" s="1">
        <v>85844.0</v>
      </c>
      <c r="H695" s="1">
        <v>322.0</v>
      </c>
      <c r="I695" s="1" t="s">
        <v>16</v>
      </c>
      <c r="J695" s="1">
        <v>6.0E7</v>
      </c>
      <c r="K695" s="1">
        <v>2000.0</v>
      </c>
      <c r="L695" s="1">
        <v>6.7</v>
      </c>
      <c r="O695" s="3"/>
      <c r="S695" s="4"/>
    </row>
    <row r="696" ht="14.25" customHeight="1">
      <c r="A696" s="1" t="s">
        <v>526</v>
      </c>
      <c r="B696" s="1">
        <v>111.0</v>
      </c>
      <c r="C696" s="1">
        <v>9.0356857E7</v>
      </c>
      <c r="D696" s="1" t="s">
        <v>180</v>
      </c>
      <c r="E696" s="1" t="s">
        <v>415</v>
      </c>
      <c r="F696" s="1" t="s">
        <v>1638</v>
      </c>
      <c r="G696" s="1">
        <v>238916.0</v>
      </c>
      <c r="H696" s="1">
        <v>328.0</v>
      </c>
      <c r="I696" s="1" t="s">
        <v>16</v>
      </c>
      <c r="J696" s="1">
        <v>5.8E7</v>
      </c>
      <c r="K696" s="1">
        <v>2010.0</v>
      </c>
      <c r="L696" s="1">
        <v>7.1</v>
      </c>
      <c r="O696" s="3"/>
      <c r="S696" s="4"/>
    </row>
    <row r="697" ht="14.25" customHeight="1">
      <c r="A697" s="1" t="s">
        <v>324</v>
      </c>
      <c r="B697" s="1">
        <v>156.0</v>
      </c>
      <c r="C697" s="1">
        <v>7.5530832E7</v>
      </c>
      <c r="D697" s="1" t="s">
        <v>1540</v>
      </c>
      <c r="E697" s="1" t="s">
        <v>1002</v>
      </c>
      <c r="F697" s="1" t="s">
        <v>1639</v>
      </c>
      <c r="G697" s="1">
        <v>97047.0</v>
      </c>
      <c r="H697" s="1">
        <v>452.0</v>
      </c>
      <c r="I697" s="1" t="s">
        <v>16</v>
      </c>
      <c r="J697" s="1">
        <v>5.5E7</v>
      </c>
      <c r="K697" s="1">
        <v>1999.0</v>
      </c>
      <c r="L697" s="1">
        <v>6.8</v>
      </c>
      <c r="O697" s="3"/>
      <c r="S697" s="4"/>
    </row>
    <row r="698" ht="14.25" customHeight="1">
      <c r="A698" s="1" t="s">
        <v>1640</v>
      </c>
      <c r="B698" s="1">
        <v>170.0</v>
      </c>
      <c r="C698" s="1">
        <v>7.5370763E7</v>
      </c>
      <c r="D698" s="1" t="s">
        <v>1641</v>
      </c>
      <c r="E698" s="1" t="s">
        <v>237</v>
      </c>
      <c r="F698" s="1" t="s">
        <v>1642</v>
      </c>
      <c r="G698" s="1">
        <v>32353.0</v>
      </c>
      <c r="H698" s="1">
        <v>263.0</v>
      </c>
      <c r="I698" s="1" t="s">
        <v>16</v>
      </c>
      <c r="J698" s="1">
        <v>6.0E7</v>
      </c>
      <c r="K698" s="1">
        <v>1998.0</v>
      </c>
      <c r="L698" s="1">
        <v>6.5</v>
      </c>
      <c r="O698" s="3"/>
      <c r="S698" s="4"/>
    </row>
    <row r="699" ht="14.25" customHeight="1">
      <c r="A699" s="1" t="s">
        <v>680</v>
      </c>
      <c r="B699" s="1">
        <v>120.0</v>
      </c>
      <c r="C699" s="1">
        <v>1.00003492E8</v>
      </c>
      <c r="D699" s="1" t="s">
        <v>901</v>
      </c>
      <c r="E699" s="1" t="s">
        <v>226</v>
      </c>
      <c r="F699" s="1" t="s">
        <v>1643</v>
      </c>
      <c r="G699" s="1">
        <v>293662.0</v>
      </c>
      <c r="H699" s="1">
        <v>836.0</v>
      </c>
      <c r="I699" s="1" t="s">
        <v>16</v>
      </c>
      <c r="J699" s="1">
        <v>6.5E7</v>
      </c>
      <c r="K699" s="1">
        <v>2004.0</v>
      </c>
      <c r="L699" s="1">
        <v>7.6</v>
      </c>
      <c r="O699" s="3"/>
      <c r="S699" s="4"/>
    </row>
    <row r="700" ht="14.25" customHeight="1">
      <c r="A700" s="1" t="s">
        <v>730</v>
      </c>
      <c r="B700" s="1">
        <v>100.0</v>
      </c>
      <c r="C700" s="1">
        <v>9.034167E7</v>
      </c>
      <c r="D700" s="1" t="s">
        <v>809</v>
      </c>
      <c r="E700" s="1" t="s">
        <v>632</v>
      </c>
      <c r="F700" s="1" t="s">
        <v>1644</v>
      </c>
      <c r="G700" s="1">
        <v>102129.0</v>
      </c>
      <c r="H700" s="1">
        <v>432.0</v>
      </c>
      <c r="I700" s="1" t="s">
        <v>16</v>
      </c>
      <c r="J700" s="1">
        <v>6.0E7</v>
      </c>
      <c r="K700" s="1">
        <v>2002.0</v>
      </c>
      <c r="L700" s="1">
        <v>5.5</v>
      </c>
      <c r="O700" s="3"/>
      <c r="S700" s="4"/>
    </row>
    <row r="701" ht="14.25" customHeight="1">
      <c r="A701" s="1" t="s">
        <v>1645</v>
      </c>
      <c r="B701" s="1">
        <v>115.0</v>
      </c>
      <c r="C701" s="1">
        <v>7.4540762E7</v>
      </c>
      <c r="D701" s="1" t="s">
        <v>392</v>
      </c>
      <c r="E701" s="1" t="s">
        <v>1646</v>
      </c>
      <c r="F701" s="1" t="s">
        <v>1647</v>
      </c>
      <c r="G701" s="1">
        <v>48753.0</v>
      </c>
      <c r="H701" s="1">
        <v>323.0</v>
      </c>
      <c r="I701" s="1" t="s">
        <v>16</v>
      </c>
      <c r="J701" s="1">
        <v>5.5E7</v>
      </c>
      <c r="K701" s="1">
        <v>2004.0</v>
      </c>
      <c r="L701" s="1">
        <v>6.5</v>
      </c>
      <c r="O701" s="3"/>
      <c r="S701" s="4"/>
    </row>
    <row r="702" ht="14.25" customHeight="1">
      <c r="A702" s="1" t="s">
        <v>377</v>
      </c>
      <c r="B702" s="1">
        <v>130.0</v>
      </c>
      <c r="C702" s="1">
        <v>8.0033643E7</v>
      </c>
      <c r="D702" s="1" t="s">
        <v>503</v>
      </c>
      <c r="E702" s="1" t="s">
        <v>226</v>
      </c>
      <c r="F702" s="1" t="s">
        <v>1648</v>
      </c>
      <c r="G702" s="1">
        <v>226570.0</v>
      </c>
      <c r="H702" s="1">
        <v>448.0</v>
      </c>
      <c r="I702" s="1" t="s">
        <v>16</v>
      </c>
      <c r="J702" s="1">
        <v>6.0E7</v>
      </c>
      <c r="K702" s="1">
        <v>2012.0</v>
      </c>
      <c r="L702" s="1">
        <v>7.0</v>
      </c>
      <c r="O702" s="3"/>
      <c r="S702" s="4"/>
    </row>
    <row r="703" ht="14.25" customHeight="1">
      <c r="A703" s="1" t="s">
        <v>875</v>
      </c>
      <c r="B703" s="1">
        <v>105.0</v>
      </c>
      <c r="C703" s="1">
        <v>7.3648142E7</v>
      </c>
      <c r="D703" s="1" t="s">
        <v>1154</v>
      </c>
      <c r="E703" s="1" t="s">
        <v>1421</v>
      </c>
      <c r="F703" s="1" t="s">
        <v>1649</v>
      </c>
      <c r="G703" s="1">
        <v>99043.0</v>
      </c>
      <c r="H703" s="1">
        <v>643.0</v>
      </c>
      <c r="I703" s="1" t="s">
        <v>16</v>
      </c>
      <c r="J703" s="1">
        <v>6.0E7</v>
      </c>
      <c r="K703" s="1">
        <v>1999.0</v>
      </c>
      <c r="L703" s="1">
        <v>5.8</v>
      </c>
      <c r="O703" s="3"/>
      <c r="S703" s="4"/>
    </row>
    <row r="704" ht="14.25" customHeight="1">
      <c r="A704" s="1" t="s">
        <v>1650</v>
      </c>
      <c r="B704" s="1">
        <v>111.0</v>
      </c>
      <c r="C704" s="1">
        <v>7.1844424E7</v>
      </c>
      <c r="D704" s="1" t="s">
        <v>1651</v>
      </c>
      <c r="E704" s="1" t="s">
        <v>1652</v>
      </c>
      <c r="F704" s="1" t="s">
        <v>1653</v>
      </c>
      <c r="G704" s="1">
        <v>33158.0</v>
      </c>
      <c r="H704" s="1">
        <v>223.0</v>
      </c>
      <c r="I704" s="1" t="s">
        <v>16</v>
      </c>
      <c r="J704" s="1">
        <v>6.0E7</v>
      </c>
      <c r="K704" s="1">
        <v>2009.0</v>
      </c>
      <c r="L704" s="1">
        <v>7.3</v>
      </c>
      <c r="O704" s="3"/>
      <c r="S704" s="4"/>
    </row>
    <row r="705" ht="14.25" customHeight="1">
      <c r="A705" s="1" t="s">
        <v>639</v>
      </c>
      <c r="B705" s="1">
        <v>106.0</v>
      </c>
      <c r="C705" s="1">
        <v>7.5638743E7</v>
      </c>
      <c r="D705" s="1" t="s">
        <v>1654</v>
      </c>
      <c r="E705" s="1" t="s">
        <v>486</v>
      </c>
      <c r="F705" s="1" t="s">
        <v>1655</v>
      </c>
      <c r="G705" s="1">
        <v>180479.0</v>
      </c>
      <c r="H705" s="1">
        <v>411.0</v>
      </c>
      <c r="I705" s="1" t="s">
        <v>16</v>
      </c>
      <c r="J705" s="1">
        <v>6.0E7</v>
      </c>
      <c r="K705" s="1">
        <v>2011.0</v>
      </c>
      <c r="L705" s="1">
        <v>6.6</v>
      </c>
      <c r="O705" s="3"/>
      <c r="S705" s="4"/>
    </row>
    <row r="706" ht="14.25" customHeight="1">
      <c r="A706" s="1" t="s">
        <v>1656</v>
      </c>
      <c r="B706" s="1">
        <v>89.0</v>
      </c>
      <c r="C706" s="1">
        <v>6.6734992E7</v>
      </c>
      <c r="D706" s="1" t="s">
        <v>572</v>
      </c>
      <c r="E706" s="1" t="s">
        <v>1657</v>
      </c>
      <c r="F706" s="1" t="s">
        <v>1658</v>
      </c>
      <c r="G706" s="1">
        <v>23476.0</v>
      </c>
      <c r="H706" s="1">
        <v>181.0</v>
      </c>
      <c r="I706" s="1" t="s">
        <v>16</v>
      </c>
      <c r="J706" s="1">
        <v>6.0E7</v>
      </c>
      <c r="K706" s="1">
        <v>2003.0</v>
      </c>
      <c r="L706" s="1">
        <v>4.4</v>
      </c>
      <c r="O706" s="3"/>
      <c r="S706" s="4"/>
    </row>
    <row r="707" ht="14.25" customHeight="1">
      <c r="A707" s="1" t="s">
        <v>1297</v>
      </c>
      <c r="B707" s="1">
        <v>100.0</v>
      </c>
      <c r="C707" s="1">
        <v>7.5280058E7</v>
      </c>
      <c r="D707" s="1" t="s">
        <v>1659</v>
      </c>
      <c r="E707" s="1" t="s">
        <v>1660</v>
      </c>
      <c r="F707" s="1" t="s">
        <v>1661</v>
      </c>
      <c r="G707" s="1">
        <v>143121.0</v>
      </c>
      <c r="H707" s="1">
        <v>279.0</v>
      </c>
      <c r="I707" s="1" t="s">
        <v>16</v>
      </c>
      <c r="J707" s="1">
        <v>6.0E7</v>
      </c>
      <c r="K707" s="1">
        <v>2009.0</v>
      </c>
      <c r="L707" s="1">
        <v>7.7</v>
      </c>
      <c r="O707" s="3"/>
      <c r="S707" s="4"/>
    </row>
    <row r="708" ht="14.25" customHeight="1">
      <c r="A708" s="1" t="s">
        <v>387</v>
      </c>
      <c r="B708" s="1">
        <v>91.0</v>
      </c>
      <c r="C708" s="1">
        <v>6.4505912E7</v>
      </c>
      <c r="D708" s="1" t="s">
        <v>1210</v>
      </c>
      <c r="E708" s="1" t="s">
        <v>1662</v>
      </c>
      <c r="F708" s="1" t="s">
        <v>1663</v>
      </c>
      <c r="G708" s="1">
        <v>163130.0</v>
      </c>
      <c r="H708" s="1">
        <v>1264.0</v>
      </c>
      <c r="I708" s="1" t="s">
        <v>16</v>
      </c>
      <c r="J708" s="1">
        <v>4.8E7</v>
      </c>
      <c r="K708" s="1">
        <v>2008.0</v>
      </c>
      <c r="L708" s="1">
        <v>5.0</v>
      </c>
      <c r="O708" s="3"/>
      <c r="S708" s="4"/>
    </row>
    <row r="709" ht="14.25" customHeight="1">
      <c r="A709" s="1" t="s">
        <v>722</v>
      </c>
      <c r="B709" s="1">
        <v>146.0</v>
      </c>
      <c r="C709" s="1">
        <v>7.7862546E7</v>
      </c>
      <c r="D709" s="1" t="s">
        <v>197</v>
      </c>
      <c r="E709" s="1" t="s">
        <v>717</v>
      </c>
      <c r="F709" s="1" t="s">
        <v>1664</v>
      </c>
      <c r="G709" s="1">
        <v>266310.0</v>
      </c>
      <c r="H709" s="1">
        <v>690.0</v>
      </c>
      <c r="I709" s="1" t="s">
        <v>16</v>
      </c>
      <c r="J709" s="1">
        <v>7.0E7</v>
      </c>
      <c r="K709" s="1">
        <v>2004.0</v>
      </c>
      <c r="L709" s="1">
        <v>7.7</v>
      </c>
      <c r="O709" s="3"/>
      <c r="S709" s="4"/>
    </row>
    <row r="710" ht="14.25" customHeight="1">
      <c r="A710" s="1" t="s">
        <v>1665</v>
      </c>
      <c r="B710" s="1">
        <v>98.0</v>
      </c>
      <c r="C710" s="1">
        <v>6.1112916E7</v>
      </c>
      <c r="D710" s="1" t="s">
        <v>222</v>
      </c>
      <c r="E710" s="1" t="s">
        <v>96</v>
      </c>
      <c r="F710" s="1" t="s">
        <v>1666</v>
      </c>
      <c r="G710" s="1">
        <v>14888.0</v>
      </c>
      <c r="H710" s="1">
        <v>83.0</v>
      </c>
      <c r="I710" s="1" t="s">
        <v>16</v>
      </c>
      <c r="J710" s="1">
        <v>5.0E7</v>
      </c>
      <c r="K710" s="1">
        <v>2006.0</v>
      </c>
      <c r="L710" s="1">
        <v>4.4</v>
      </c>
      <c r="O710" s="3"/>
      <c r="S710" s="4"/>
    </row>
    <row r="711" ht="14.25" customHeight="1">
      <c r="A711" s="1" t="s">
        <v>1065</v>
      </c>
      <c r="B711" s="1">
        <v>101.0</v>
      </c>
      <c r="C711" s="1">
        <v>8.8200225E7</v>
      </c>
      <c r="D711" s="1" t="s">
        <v>427</v>
      </c>
      <c r="E711" s="1" t="s">
        <v>1667</v>
      </c>
      <c r="F711" s="1" t="s">
        <v>1668</v>
      </c>
      <c r="G711" s="1">
        <v>120795.0</v>
      </c>
      <c r="H711" s="1">
        <v>308.0</v>
      </c>
      <c r="I711" s="1" t="s">
        <v>16</v>
      </c>
      <c r="J711" s="1">
        <v>6.0E7</v>
      </c>
      <c r="K711" s="1">
        <v>2004.0</v>
      </c>
      <c r="L711" s="1">
        <v>6.1</v>
      </c>
      <c r="O711" s="3"/>
      <c r="S711" s="4"/>
    </row>
    <row r="712" ht="14.25" customHeight="1">
      <c r="A712" s="1" t="s">
        <v>1669</v>
      </c>
      <c r="B712" s="1">
        <v>94.0</v>
      </c>
      <c r="C712" s="1">
        <v>6.0573641E7</v>
      </c>
      <c r="D712" s="1" t="s">
        <v>1247</v>
      </c>
      <c r="E712" s="1" t="s">
        <v>1670</v>
      </c>
      <c r="F712" s="1" t="s">
        <v>1671</v>
      </c>
      <c r="G712" s="1">
        <v>68406.0</v>
      </c>
      <c r="H712" s="1">
        <v>162.0</v>
      </c>
      <c r="I712" s="1" t="s">
        <v>16</v>
      </c>
      <c r="J712" s="1">
        <v>6.0E7</v>
      </c>
      <c r="K712" s="1">
        <v>1996.0</v>
      </c>
      <c r="L712" s="1">
        <v>5.4</v>
      </c>
      <c r="O712" s="3"/>
      <c r="S712" s="4"/>
    </row>
    <row r="713" ht="14.25" customHeight="1">
      <c r="A713" s="1" t="s">
        <v>164</v>
      </c>
      <c r="B713" s="1">
        <v>132.0</v>
      </c>
      <c r="C713" s="1">
        <v>5.9035104E7</v>
      </c>
      <c r="D713" s="1" t="s">
        <v>1672</v>
      </c>
      <c r="E713" s="1" t="s">
        <v>1673</v>
      </c>
      <c r="F713" s="1" t="s">
        <v>1674</v>
      </c>
      <c r="G713" s="1">
        <v>244566.0</v>
      </c>
      <c r="H713" s="1">
        <v>597.0</v>
      </c>
      <c r="I713" s="1" t="s">
        <v>16</v>
      </c>
      <c r="J713" s="1">
        <v>6.6E7</v>
      </c>
      <c r="K713" s="1">
        <v>2004.0</v>
      </c>
      <c r="L713" s="1">
        <v>6.8</v>
      </c>
      <c r="O713" s="3"/>
      <c r="S713" s="4"/>
    </row>
    <row r="714" ht="14.25" customHeight="1">
      <c r="A714" s="1" t="s">
        <v>1675</v>
      </c>
      <c r="B714" s="1">
        <v>115.0</v>
      </c>
      <c r="C714" s="1">
        <v>5.6702901E7</v>
      </c>
      <c r="D714" s="1" t="s">
        <v>1391</v>
      </c>
      <c r="E714" s="1" t="s">
        <v>1057</v>
      </c>
      <c r="F714" s="1" t="s">
        <v>1676</v>
      </c>
      <c r="G714" s="1">
        <v>23302.0</v>
      </c>
      <c r="H714" s="1">
        <v>181.0</v>
      </c>
      <c r="I714" s="1" t="s">
        <v>16</v>
      </c>
      <c r="J714" s="1">
        <v>6.0E7</v>
      </c>
      <c r="K714" s="1">
        <v>1998.0</v>
      </c>
      <c r="L714" s="1">
        <v>6.5</v>
      </c>
      <c r="O714" s="3"/>
      <c r="S714" s="4"/>
    </row>
    <row r="715" ht="14.25" customHeight="1">
      <c r="A715" s="1" t="s">
        <v>1677</v>
      </c>
      <c r="B715" s="1">
        <v>92.0</v>
      </c>
      <c r="C715" s="1">
        <v>5.5994557E7</v>
      </c>
      <c r="D715" s="1" t="s">
        <v>118</v>
      </c>
      <c r="E715" s="1" t="s">
        <v>1032</v>
      </c>
      <c r="F715" s="1" t="s">
        <v>1678</v>
      </c>
      <c r="G715" s="1">
        <v>72287.0</v>
      </c>
      <c r="H715" s="1">
        <v>176.0</v>
      </c>
      <c r="I715" s="1" t="s">
        <v>16</v>
      </c>
      <c r="J715" s="1">
        <v>6.0E7</v>
      </c>
      <c r="K715" s="1">
        <v>2012.0</v>
      </c>
      <c r="L715" s="1">
        <v>7.0</v>
      </c>
      <c r="O715" s="3"/>
      <c r="S715" s="4"/>
    </row>
    <row r="716" ht="14.25" customHeight="1">
      <c r="A716" s="1" t="s">
        <v>1437</v>
      </c>
      <c r="B716" s="1">
        <v>124.0</v>
      </c>
      <c r="C716" s="1">
        <v>5.491056E7</v>
      </c>
      <c r="D716" s="1" t="s">
        <v>1362</v>
      </c>
      <c r="E716" s="1" t="s">
        <v>35</v>
      </c>
      <c r="F716" s="1" t="s">
        <v>1679</v>
      </c>
      <c r="G716" s="1">
        <v>88225.0</v>
      </c>
      <c r="H716" s="1">
        <v>227.0</v>
      </c>
      <c r="I716" s="1" t="s">
        <v>16</v>
      </c>
      <c r="J716" s="1">
        <v>6.0E7</v>
      </c>
      <c r="K716" s="1">
        <v>1997.0</v>
      </c>
      <c r="L716" s="1">
        <v>6.3</v>
      </c>
      <c r="O716" s="3"/>
      <c r="S716" s="4"/>
    </row>
    <row r="717" ht="14.25" customHeight="1">
      <c r="A717" s="1" t="s">
        <v>559</v>
      </c>
      <c r="B717" s="1">
        <v>119.0</v>
      </c>
      <c r="C717" s="1">
        <v>5.3789313E7</v>
      </c>
      <c r="D717" s="1" t="s">
        <v>686</v>
      </c>
      <c r="E717" s="1" t="s">
        <v>1680</v>
      </c>
      <c r="F717" s="1" t="s">
        <v>1681</v>
      </c>
      <c r="G717" s="1">
        <v>89816.0</v>
      </c>
      <c r="H717" s="1">
        <v>347.0</v>
      </c>
      <c r="I717" s="1" t="s">
        <v>16</v>
      </c>
      <c r="J717" s="1">
        <v>6.0E7</v>
      </c>
      <c r="K717" s="1">
        <v>2003.0</v>
      </c>
      <c r="L717" s="1">
        <v>6.3</v>
      </c>
      <c r="O717" s="3"/>
      <c r="S717" s="4"/>
    </row>
    <row r="718" ht="14.25" customHeight="1">
      <c r="A718" s="1" t="s">
        <v>1682</v>
      </c>
      <c r="B718" s="1">
        <v>124.0</v>
      </c>
      <c r="C718" s="1">
        <v>5.1045801E7</v>
      </c>
      <c r="D718" s="1" t="s">
        <v>92</v>
      </c>
      <c r="E718" s="1" t="s">
        <v>134</v>
      </c>
      <c r="F718" s="1" t="s">
        <v>1683</v>
      </c>
      <c r="G718" s="1">
        <v>11370.0</v>
      </c>
      <c r="H718" s="1">
        <v>54.0</v>
      </c>
      <c r="I718" s="1" t="s">
        <v>16</v>
      </c>
      <c r="J718" s="1">
        <v>6.0E7</v>
      </c>
      <c r="K718" s="1">
        <v>1996.0</v>
      </c>
      <c r="L718" s="1">
        <v>6.1</v>
      </c>
      <c r="O718" s="3"/>
      <c r="S718" s="4"/>
    </row>
    <row r="719" ht="14.25" customHeight="1">
      <c r="A719" s="1" t="s">
        <v>1684</v>
      </c>
      <c r="B719" s="1">
        <v>93.0</v>
      </c>
      <c r="C719" s="1">
        <v>5.081875E7</v>
      </c>
      <c r="D719" s="1" t="s">
        <v>118</v>
      </c>
      <c r="E719" s="1" t="s">
        <v>1685</v>
      </c>
      <c r="F719" s="1" t="s">
        <v>1686</v>
      </c>
      <c r="G719" s="1">
        <v>31209.0</v>
      </c>
      <c r="H719" s="1">
        <v>106.0</v>
      </c>
      <c r="I719" s="1" t="s">
        <v>16</v>
      </c>
      <c r="J719" s="1">
        <v>6.0E7</v>
      </c>
      <c r="K719" s="1">
        <v>2008.0</v>
      </c>
      <c r="L719" s="1">
        <v>6.1</v>
      </c>
      <c r="O719" s="3"/>
      <c r="S719" s="4"/>
    </row>
    <row r="720" ht="14.25" customHeight="1">
      <c r="A720" s="1" t="s">
        <v>1687</v>
      </c>
      <c r="B720" s="1">
        <v>98.0</v>
      </c>
      <c r="C720" s="1">
        <v>5.0189179E7</v>
      </c>
      <c r="D720" s="1" t="s">
        <v>797</v>
      </c>
      <c r="E720" s="1" t="s">
        <v>1688</v>
      </c>
      <c r="F720" s="1" t="s">
        <v>1689</v>
      </c>
      <c r="G720" s="1">
        <v>61966.0</v>
      </c>
      <c r="H720" s="1">
        <v>207.0</v>
      </c>
      <c r="I720" s="1" t="s">
        <v>16</v>
      </c>
      <c r="J720" s="1">
        <v>6.0E7</v>
      </c>
      <c r="K720" s="1">
        <v>2002.0</v>
      </c>
      <c r="L720" s="1">
        <v>5.3</v>
      </c>
      <c r="O720" s="3"/>
      <c r="S720" s="4"/>
    </row>
    <row r="721" ht="14.25" customHeight="1">
      <c r="A721" s="1" t="s">
        <v>1690</v>
      </c>
      <c r="B721" s="1">
        <v>92.0</v>
      </c>
      <c r="C721" s="1">
        <v>5.0024083E7</v>
      </c>
      <c r="D721" s="1" t="s">
        <v>26</v>
      </c>
      <c r="E721" s="1" t="s">
        <v>1691</v>
      </c>
      <c r="F721" s="1" t="s">
        <v>1692</v>
      </c>
      <c r="G721" s="1">
        <v>35918.0</v>
      </c>
      <c r="H721" s="1">
        <v>126.0</v>
      </c>
      <c r="I721" s="1" t="s">
        <v>16</v>
      </c>
      <c r="J721" s="1">
        <v>6.0E7</v>
      </c>
      <c r="K721" s="1">
        <v>1995.0</v>
      </c>
      <c r="L721" s="1">
        <v>5.4</v>
      </c>
      <c r="O721" s="3"/>
      <c r="S721" s="4"/>
    </row>
    <row r="722" ht="14.25" customHeight="1">
      <c r="A722" s="1" t="s">
        <v>364</v>
      </c>
      <c r="B722" s="1">
        <v>105.0</v>
      </c>
      <c r="C722" s="1">
        <v>5.0549107E7</v>
      </c>
      <c r="D722" s="1" t="s">
        <v>392</v>
      </c>
      <c r="E722" s="1" t="s">
        <v>1693</v>
      </c>
      <c r="F722" s="1" t="s">
        <v>1694</v>
      </c>
      <c r="G722" s="1">
        <v>99035.0</v>
      </c>
      <c r="H722" s="1">
        <v>289.0</v>
      </c>
      <c r="I722" s="1" t="s">
        <v>16</v>
      </c>
      <c r="J722" s="1">
        <v>6.0E7</v>
      </c>
      <c r="K722" s="1">
        <v>2014.0</v>
      </c>
      <c r="L722" s="1">
        <v>6.2</v>
      </c>
      <c r="O722" s="3"/>
      <c r="S722" s="4"/>
    </row>
    <row r="723" ht="14.25" customHeight="1">
      <c r="A723" s="1" t="s">
        <v>1695</v>
      </c>
      <c r="B723" s="1">
        <v>124.0</v>
      </c>
      <c r="C723" s="1">
        <v>5.6443482E7</v>
      </c>
      <c r="D723" s="1" t="s">
        <v>1696</v>
      </c>
      <c r="E723" s="1" t="s">
        <v>152</v>
      </c>
      <c r="F723" s="1" t="s">
        <v>1697</v>
      </c>
      <c r="G723" s="1">
        <v>75329.0</v>
      </c>
      <c r="H723" s="1">
        <v>256.0</v>
      </c>
      <c r="I723" s="1" t="s">
        <v>16</v>
      </c>
      <c r="J723" s="1">
        <v>6.0E7</v>
      </c>
      <c r="K723" s="1">
        <v>2015.0</v>
      </c>
      <c r="L723" s="1">
        <v>6.6</v>
      </c>
      <c r="O723" s="3"/>
      <c r="S723" s="4"/>
    </row>
    <row r="724" ht="14.25" customHeight="1">
      <c r="A724" s="1" t="s">
        <v>1698</v>
      </c>
      <c r="B724" s="1">
        <v>99.0</v>
      </c>
      <c r="C724" s="1">
        <v>6.2401264E7</v>
      </c>
      <c r="D724" s="1" t="s">
        <v>197</v>
      </c>
      <c r="E724" s="1" t="s">
        <v>275</v>
      </c>
      <c r="F724" s="1" t="s">
        <v>1699</v>
      </c>
      <c r="G724" s="1">
        <v>69484.0</v>
      </c>
      <c r="H724" s="1">
        <v>323.0</v>
      </c>
      <c r="I724" s="1" t="s">
        <v>16</v>
      </c>
      <c r="J724" s="1">
        <v>6.0E7</v>
      </c>
      <c r="K724" s="1">
        <v>2016.0</v>
      </c>
      <c r="L724" s="1">
        <v>5.9</v>
      </c>
      <c r="O724" s="3"/>
      <c r="S724" s="4"/>
    </row>
    <row r="725" ht="14.25" customHeight="1">
      <c r="A725" s="1" t="s">
        <v>1700</v>
      </c>
      <c r="B725" s="1">
        <v>116.0</v>
      </c>
      <c r="C725" s="1">
        <v>4.774861E7</v>
      </c>
      <c r="D725" s="1" t="s">
        <v>1701</v>
      </c>
      <c r="E725" s="1" t="s">
        <v>1702</v>
      </c>
      <c r="F725" s="1" t="s">
        <v>1703</v>
      </c>
      <c r="G725" s="1">
        <v>170179.0</v>
      </c>
      <c r="H725" s="1">
        <v>656.0</v>
      </c>
      <c r="I725" s="1" t="s">
        <v>16</v>
      </c>
      <c r="J725" s="1">
        <v>7.5E7</v>
      </c>
      <c r="K725" s="1">
        <v>1997.0</v>
      </c>
      <c r="L725" s="1">
        <v>6.3</v>
      </c>
      <c r="O725" s="3"/>
      <c r="S725" s="4"/>
    </row>
    <row r="726" ht="14.25" customHeight="1">
      <c r="A726" s="1" t="s">
        <v>1263</v>
      </c>
      <c r="B726" s="1">
        <v>124.0</v>
      </c>
      <c r="C726" s="1">
        <v>4.6975183E7</v>
      </c>
      <c r="D726" s="1" t="s">
        <v>998</v>
      </c>
      <c r="E726" s="1" t="s">
        <v>1704</v>
      </c>
      <c r="F726" s="1" t="s">
        <v>1705</v>
      </c>
      <c r="G726" s="1">
        <v>256213.0</v>
      </c>
      <c r="H726" s="1">
        <v>338.0</v>
      </c>
      <c r="I726" s="1" t="s">
        <v>16</v>
      </c>
      <c r="J726" s="1">
        <v>6.1E7</v>
      </c>
      <c r="K726" s="1">
        <v>2007.0</v>
      </c>
      <c r="L726" s="1">
        <v>7.2</v>
      </c>
      <c r="O726" s="3"/>
      <c r="S726" s="4"/>
    </row>
    <row r="727" ht="14.25" customHeight="1">
      <c r="A727" s="1" t="s">
        <v>1706</v>
      </c>
      <c r="B727" s="1">
        <v>96.0</v>
      </c>
      <c r="C727" s="1">
        <v>5.0807639E7</v>
      </c>
      <c r="D727" s="1" t="s">
        <v>118</v>
      </c>
      <c r="E727" s="1" t="s">
        <v>1707</v>
      </c>
      <c r="F727" s="1" t="s">
        <v>1708</v>
      </c>
      <c r="G727" s="1">
        <v>40883.0</v>
      </c>
      <c r="H727" s="1">
        <v>122.0</v>
      </c>
      <c r="I727" s="1" t="s">
        <v>16</v>
      </c>
      <c r="J727" s="1">
        <v>6.0E7</v>
      </c>
      <c r="K727" s="1">
        <v>2014.0</v>
      </c>
      <c r="L727" s="1">
        <v>6.8</v>
      </c>
      <c r="O727" s="3"/>
      <c r="S727" s="4"/>
    </row>
    <row r="728" ht="14.25" customHeight="1">
      <c r="A728" s="1" t="s">
        <v>1709</v>
      </c>
      <c r="B728" s="1">
        <v>104.0</v>
      </c>
      <c r="C728" s="1">
        <v>4.6611204E7</v>
      </c>
      <c r="D728" s="1" t="s">
        <v>1046</v>
      </c>
      <c r="E728" s="1" t="s">
        <v>1483</v>
      </c>
      <c r="F728" s="1" t="s">
        <v>1710</v>
      </c>
      <c r="G728" s="1">
        <v>55749.0</v>
      </c>
      <c r="H728" s="1">
        <v>257.0</v>
      </c>
      <c r="I728" s="1" t="s">
        <v>16</v>
      </c>
      <c r="J728" s="1">
        <v>4.8E7</v>
      </c>
      <c r="K728" s="1">
        <v>1998.0</v>
      </c>
      <c r="L728" s="1">
        <v>6.1</v>
      </c>
      <c r="O728" s="3"/>
      <c r="S728" s="4"/>
    </row>
    <row r="729" ht="14.25" customHeight="1">
      <c r="A729" s="1" t="s">
        <v>888</v>
      </c>
      <c r="B729" s="1">
        <v>100.0</v>
      </c>
      <c r="C729" s="1">
        <v>2.57756197E8</v>
      </c>
      <c r="D729" s="1" t="s">
        <v>437</v>
      </c>
      <c r="E729" s="1" t="s">
        <v>600</v>
      </c>
      <c r="F729" s="1" t="s">
        <v>1711</v>
      </c>
      <c r="G729" s="1">
        <v>246698.0</v>
      </c>
      <c r="H729" s="1">
        <v>471.0</v>
      </c>
      <c r="I729" s="1" t="s">
        <v>16</v>
      </c>
      <c r="J729" s="1">
        <v>6.0E7</v>
      </c>
      <c r="K729" s="1">
        <v>2014.0</v>
      </c>
      <c r="L729" s="1">
        <v>7.8</v>
      </c>
      <c r="O729" s="3"/>
      <c r="S729" s="4"/>
    </row>
    <row r="730" ht="14.25" customHeight="1">
      <c r="A730" s="1" t="s">
        <v>1712</v>
      </c>
      <c r="B730" s="1">
        <v>115.0</v>
      </c>
      <c r="C730" s="1">
        <v>4.8472213E7</v>
      </c>
      <c r="D730" s="1" t="s">
        <v>728</v>
      </c>
      <c r="E730" s="1" t="s">
        <v>1713</v>
      </c>
      <c r="F730" s="1" t="s">
        <v>1714</v>
      </c>
      <c r="G730" s="1">
        <v>51252.0</v>
      </c>
      <c r="H730" s="1">
        <v>156.0</v>
      </c>
      <c r="I730" s="1" t="s">
        <v>16</v>
      </c>
      <c r="J730" s="1">
        <v>4.5E7</v>
      </c>
      <c r="K730" s="1">
        <v>2005.0</v>
      </c>
      <c r="L730" s="1">
        <v>5.0</v>
      </c>
      <c r="O730" s="3"/>
      <c r="S730" s="4"/>
    </row>
    <row r="731" ht="14.25" customHeight="1">
      <c r="A731" s="1" t="s">
        <v>1471</v>
      </c>
      <c r="B731" s="1">
        <v>101.0</v>
      </c>
      <c r="C731" s="1">
        <v>4.3060566E7</v>
      </c>
      <c r="D731" s="1" t="s">
        <v>114</v>
      </c>
      <c r="E731" s="1" t="s">
        <v>143</v>
      </c>
      <c r="F731" s="1" t="s">
        <v>1715</v>
      </c>
      <c r="G731" s="1">
        <v>107859.0</v>
      </c>
      <c r="H731" s="1">
        <v>569.0</v>
      </c>
      <c r="I731" s="1" t="s">
        <v>16</v>
      </c>
      <c r="J731" s="1">
        <v>6.0E7</v>
      </c>
      <c r="K731" s="1">
        <v>2002.0</v>
      </c>
      <c r="L731" s="1">
        <v>6.2</v>
      </c>
      <c r="O731" s="3"/>
      <c r="S731" s="4"/>
    </row>
    <row r="732" ht="14.25" customHeight="1">
      <c r="A732" s="1" t="s">
        <v>1716</v>
      </c>
      <c r="B732" s="1">
        <v>113.0</v>
      </c>
      <c r="C732" s="1">
        <v>4.5996718E7</v>
      </c>
      <c r="D732" s="1" t="s">
        <v>197</v>
      </c>
      <c r="E732" s="1" t="s">
        <v>1717</v>
      </c>
      <c r="F732" s="1" t="s">
        <v>1718</v>
      </c>
      <c r="G732" s="1">
        <v>173530.0</v>
      </c>
      <c r="H732" s="1">
        <v>264.0</v>
      </c>
      <c r="I732" s="1" t="s">
        <v>16</v>
      </c>
      <c r="J732" s="1">
        <v>6.0E7</v>
      </c>
      <c r="K732" s="1">
        <v>2013.0</v>
      </c>
      <c r="L732" s="1">
        <v>6.7</v>
      </c>
      <c r="O732" s="3"/>
      <c r="S732" s="4"/>
    </row>
    <row r="733" ht="14.25" customHeight="1">
      <c r="A733" s="1" t="s">
        <v>1719</v>
      </c>
      <c r="B733" s="1">
        <v>100.0</v>
      </c>
      <c r="C733" s="1">
        <v>4.3337279E7</v>
      </c>
      <c r="D733" s="1" t="s">
        <v>1720</v>
      </c>
      <c r="E733" s="1" t="s">
        <v>1721</v>
      </c>
      <c r="F733" s="1" t="s">
        <v>1722</v>
      </c>
      <c r="G733" s="1">
        <v>76770.0</v>
      </c>
      <c r="H733" s="1">
        <v>203.0</v>
      </c>
      <c r="I733" s="1" t="s">
        <v>16</v>
      </c>
      <c r="J733" s="1">
        <v>6.0E7</v>
      </c>
      <c r="K733" s="1">
        <v>2009.0</v>
      </c>
      <c r="L733" s="1">
        <v>4.9</v>
      </c>
      <c r="O733" s="3"/>
      <c r="S733" s="4"/>
    </row>
    <row r="734" ht="14.25" customHeight="1">
      <c r="A734" s="1" t="s">
        <v>1506</v>
      </c>
      <c r="B734" s="1">
        <v>134.0</v>
      </c>
      <c r="C734" s="1">
        <v>3.7479778E7</v>
      </c>
      <c r="D734" s="1" t="s">
        <v>1723</v>
      </c>
      <c r="E734" s="1" t="s">
        <v>486</v>
      </c>
      <c r="F734" s="1" t="s">
        <v>1724</v>
      </c>
      <c r="G734" s="1">
        <v>124222.0</v>
      </c>
      <c r="H734" s="1">
        <v>259.0</v>
      </c>
      <c r="I734" s="1" t="s">
        <v>16</v>
      </c>
      <c r="J734" s="1">
        <v>6.0E7</v>
      </c>
      <c r="K734" s="1">
        <v>2009.0</v>
      </c>
      <c r="L734" s="1">
        <v>7.4</v>
      </c>
      <c r="O734" s="3"/>
      <c r="S734" s="4"/>
    </row>
    <row r="735" ht="14.25" customHeight="1">
      <c r="A735" s="1" t="s">
        <v>549</v>
      </c>
      <c r="B735" s="1">
        <v>125.0</v>
      </c>
      <c r="C735" s="1">
        <v>4.055993E7</v>
      </c>
      <c r="D735" s="1" t="s">
        <v>1725</v>
      </c>
      <c r="E735" s="1" t="s">
        <v>1028</v>
      </c>
      <c r="F735" s="1" t="s">
        <v>1726</v>
      </c>
      <c r="G735" s="1">
        <v>41727.0</v>
      </c>
      <c r="H735" s="1">
        <v>184.0</v>
      </c>
      <c r="I735" s="1" t="s">
        <v>16</v>
      </c>
      <c r="J735" s="1">
        <v>6.0E7</v>
      </c>
      <c r="K735" s="1">
        <v>2009.0</v>
      </c>
      <c r="L735" s="1">
        <v>6.2</v>
      </c>
      <c r="O735" s="3"/>
      <c r="S735" s="4"/>
    </row>
    <row r="736" ht="14.25" customHeight="1">
      <c r="A736" s="1" t="s">
        <v>1727</v>
      </c>
      <c r="B736" s="1">
        <v>94.0</v>
      </c>
      <c r="C736" s="1">
        <v>3.6830057E7</v>
      </c>
      <c r="D736" s="1" t="s">
        <v>1101</v>
      </c>
      <c r="E736" s="1" t="s">
        <v>1728</v>
      </c>
      <c r="F736" s="1" t="s">
        <v>1729</v>
      </c>
      <c r="G736" s="1">
        <v>10883.0</v>
      </c>
      <c r="H736" s="1">
        <v>73.0</v>
      </c>
      <c r="I736" s="1" t="s">
        <v>16</v>
      </c>
      <c r="J736" s="1">
        <v>6.5E7</v>
      </c>
      <c r="K736" s="1">
        <v>1999.0</v>
      </c>
      <c r="L736" s="1">
        <v>4.9</v>
      </c>
      <c r="O736" s="3"/>
      <c r="S736" s="4"/>
    </row>
    <row r="737" ht="14.25" customHeight="1">
      <c r="A737" s="1" t="s">
        <v>1361</v>
      </c>
      <c r="B737" s="1">
        <v>107.0</v>
      </c>
      <c r="C737" s="1">
        <v>3.627923E7</v>
      </c>
      <c r="D737" s="1" t="s">
        <v>146</v>
      </c>
      <c r="E737" s="1" t="s">
        <v>1730</v>
      </c>
      <c r="F737" s="1" t="s">
        <v>1731</v>
      </c>
      <c r="G737" s="1">
        <v>42144.0</v>
      </c>
      <c r="H737" s="1">
        <v>213.0</v>
      </c>
      <c r="I737" s="1" t="s">
        <v>16</v>
      </c>
      <c r="J737" s="1">
        <v>6.0E7</v>
      </c>
      <c r="K737" s="1">
        <v>2006.0</v>
      </c>
      <c r="L737" s="1">
        <v>6.1</v>
      </c>
      <c r="O737" s="3"/>
      <c r="S737" s="4"/>
    </row>
    <row r="738" ht="14.25" customHeight="1">
      <c r="A738" s="1" t="s">
        <v>1732</v>
      </c>
      <c r="B738" s="1">
        <v>91.0</v>
      </c>
      <c r="C738" s="1">
        <v>4.219406E7</v>
      </c>
      <c r="D738" s="1" t="s">
        <v>267</v>
      </c>
      <c r="E738" s="1" t="s">
        <v>632</v>
      </c>
      <c r="F738" s="1" t="s">
        <v>1733</v>
      </c>
      <c r="G738" s="1">
        <v>41259.0</v>
      </c>
      <c r="H738" s="1">
        <v>72.0</v>
      </c>
      <c r="I738" s="1" t="s">
        <v>16</v>
      </c>
      <c r="J738" s="1">
        <v>7.0E7</v>
      </c>
      <c r="K738" s="1">
        <v>2009.0</v>
      </c>
      <c r="L738" s="1">
        <v>6.1</v>
      </c>
      <c r="O738" s="3"/>
      <c r="S738" s="4"/>
    </row>
    <row r="739" ht="14.25" customHeight="1">
      <c r="A739" s="1" t="s">
        <v>1734</v>
      </c>
      <c r="B739" s="1">
        <v>116.0</v>
      </c>
      <c r="C739" s="1">
        <v>4.3119879E7</v>
      </c>
      <c r="D739" s="1" t="s">
        <v>99</v>
      </c>
      <c r="E739" s="1" t="s">
        <v>27</v>
      </c>
      <c r="F739" s="1" t="s">
        <v>1735</v>
      </c>
      <c r="G739" s="1">
        <v>58450.0</v>
      </c>
      <c r="H739" s="1">
        <v>842.0</v>
      </c>
      <c r="I739" s="1" t="s">
        <v>16</v>
      </c>
      <c r="J739" s="1">
        <v>6.0E7</v>
      </c>
      <c r="K739" s="1">
        <v>2002.0</v>
      </c>
      <c r="L739" s="1">
        <v>6.4</v>
      </c>
      <c r="O739" s="3"/>
      <c r="S739" s="4"/>
    </row>
    <row r="740" ht="14.25" customHeight="1">
      <c r="A740" s="1" t="s">
        <v>1736</v>
      </c>
      <c r="B740" s="1">
        <v>100.0</v>
      </c>
      <c r="C740" s="1">
        <v>3.509619E7</v>
      </c>
      <c r="D740" s="1" t="s">
        <v>1737</v>
      </c>
      <c r="E740" s="1" t="s">
        <v>1738</v>
      </c>
      <c r="F740" s="1" t="s">
        <v>1739</v>
      </c>
      <c r="G740" s="1">
        <v>76560.0</v>
      </c>
      <c r="H740" s="1">
        <v>322.0</v>
      </c>
      <c r="I740" s="1" t="s">
        <v>16</v>
      </c>
      <c r="J740" s="1">
        <v>6.0E7</v>
      </c>
      <c r="K740" s="1">
        <v>2003.0</v>
      </c>
      <c r="L740" s="1">
        <v>6.3</v>
      </c>
      <c r="O740" s="3"/>
      <c r="S740" s="4"/>
    </row>
    <row r="741" ht="14.25" customHeight="1">
      <c r="A741" s="1" t="s">
        <v>136</v>
      </c>
      <c r="B741" s="1">
        <v>117.0</v>
      </c>
      <c r="C741" s="1">
        <v>4.3290977E7</v>
      </c>
      <c r="D741" s="1" t="s">
        <v>909</v>
      </c>
      <c r="E741" s="1" t="s">
        <v>1740</v>
      </c>
      <c r="F741" s="1" t="s">
        <v>1741</v>
      </c>
      <c r="G741" s="1">
        <v>75201.0</v>
      </c>
      <c r="H741" s="1">
        <v>256.0</v>
      </c>
      <c r="I741" s="1" t="s">
        <v>16</v>
      </c>
      <c r="J741" s="1">
        <v>8.0E7</v>
      </c>
      <c r="K741" s="1">
        <v>2010.0</v>
      </c>
      <c r="L741" s="1">
        <v>6.6</v>
      </c>
      <c r="O741" s="3"/>
      <c r="S741" s="4"/>
    </row>
    <row r="742" ht="14.25" customHeight="1">
      <c r="A742" s="1" t="s">
        <v>758</v>
      </c>
      <c r="B742" s="1">
        <v>110.0</v>
      </c>
      <c r="C742" s="1">
        <v>3.3927476E7</v>
      </c>
      <c r="D742" s="1" t="s">
        <v>1742</v>
      </c>
      <c r="E742" s="1" t="s">
        <v>1743</v>
      </c>
      <c r="F742" s="1" t="s">
        <v>1744</v>
      </c>
      <c r="G742" s="1">
        <v>19176.0</v>
      </c>
      <c r="H742" s="1">
        <v>165.0</v>
      </c>
      <c r="I742" s="1" t="s">
        <v>16</v>
      </c>
      <c r="J742" s="1">
        <v>4.0E7</v>
      </c>
      <c r="K742" s="1">
        <v>1997.0</v>
      </c>
      <c r="L742" s="1">
        <v>5.7</v>
      </c>
      <c r="O742" s="3"/>
      <c r="S742" s="4"/>
    </row>
    <row r="743" ht="14.25" customHeight="1">
      <c r="A743" s="1" t="s">
        <v>1719</v>
      </c>
      <c r="B743" s="1">
        <v>96.0</v>
      </c>
      <c r="C743" s="1">
        <v>3.2122249E7</v>
      </c>
      <c r="D743" s="1" t="s">
        <v>427</v>
      </c>
      <c r="E743" s="1" t="s">
        <v>725</v>
      </c>
      <c r="F743" s="1" t="s">
        <v>1745</v>
      </c>
      <c r="G743" s="1">
        <v>69319.0</v>
      </c>
      <c r="H743" s="1">
        <v>138.0</v>
      </c>
      <c r="I743" s="1" t="s">
        <v>16</v>
      </c>
      <c r="J743" s="1">
        <v>6.0E7</v>
      </c>
      <c r="K743" s="1">
        <v>2002.0</v>
      </c>
      <c r="L743" s="1">
        <v>5.9</v>
      </c>
      <c r="O743" s="3"/>
      <c r="S743" s="4"/>
    </row>
    <row r="744" ht="14.25" customHeight="1">
      <c r="A744" s="1" t="s">
        <v>1682</v>
      </c>
      <c r="B744" s="1">
        <v>101.0</v>
      </c>
      <c r="C744" s="1">
        <v>4.0076438E7</v>
      </c>
      <c r="D744" s="1" t="s">
        <v>998</v>
      </c>
      <c r="E744" s="1" t="s">
        <v>725</v>
      </c>
      <c r="F744" s="1" t="s">
        <v>1746</v>
      </c>
      <c r="G744" s="1">
        <v>73368.0</v>
      </c>
      <c r="H744" s="1">
        <v>248.0</v>
      </c>
      <c r="I744" s="1" t="s">
        <v>16</v>
      </c>
      <c r="J744" s="1">
        <v>6.0E7</v>
      </c>
      <c r="K744" s="1">
        <v>2008.0</v>
      </c>
      <c r="L744" s="1">
        <v>6.0</v>
      </c>
      <c r="O744" s="3"/>
      <c r="S744" s="4"/>
    </row>
    <row r="745" ht="14.25" customHeight="1">
      <c r="A745" s="1" t="s">
        <v>1747</v>
      </c>
      <c r="B745" s="1">
        <v>111.0</v>
      </c>
      <c r="C745" s="1">
        <v>3.2940507E7</v>
      </c>
      <c r="D745" s="1" t="s">
        <v>197</v>
      </c>
      <c r="E745" s="1" t="s">
        <v>415</v>
      </c>
      <c r="F745" s="1" t="s">
        <v>1748</v>
      </c>
      <c r="G745" s="1">
        <v>54314.0</v>
      </c>
      <c r="H745" s="1">
        <v>127.0</v>
      </c>
      <c r="I745" s="1" t="s">
        <v>16</v>
      </c>
      <c r="J745" s="1">
        <v>6.0E7</v>
      </c>
      <c r="K745" s="1">
        <v>1998.0</v>
      </c>
      <c r="L745" s="1">
        <v>6.1</v>
      </c>
      <c r="O745" s="3"/>
      <c r="S745" s="4"/>
    </row>
    <row r="746" ht="14.25" customHeight="1">
      <c r="A746" s="1" t="s">
        <v>399</v>
      </c>
      <c r="B746" s="1">
        <v>117.0</v>
      </c>
      <c r="C746" s="1">
        <v>3.1670931E7</v>
      </c>
      <c r="D746" s="1" t="s">
        <v>1749</v>
      </c>
      <c r="E746" s="1" t="s">
        <v>96</v>
      </c>
      <c r="F746" s="1" t="s">
        <v>1750</v>
      </c>
      <c r="G746" s="1">
        <v>44099.0</v>
      </c>
      <c r="H746" s="1">
        <v>143.0</v>
      </c>
      <c r="I746" s="1" t="s">
        <v>16</v>
      </c>
      <c r="J746" s="1">
        <v>6.0E7</v>
      </c>
      <c r="K746" s="1">
        <v>2009.0</v>
      </c>
      <c r="L746" s="1">
        <v>6.7</v>
      </c>
      <c r="O746" s="3"/>
      <c r="S746" s="4"/>
    </row>
    <row r="747" ht="14.25" customHeight="1">
      <c r="A747" s="1" t="s">
        <v>1640</v>
      </c>
      <c r="B747" s="1">
        <v>126.0</v>
      </c>
      <c r="C747" s="1">
        <v>3.0695227E7</v>
      </c>
      <c r="D747" s="1" t="s">
        <v>1751</v>
      </c>
      <c r="E747" s="1" t="s">
        <v>486</v>
      </c>
      <c r="F747" s="1" t="s">
        <v>1752</v>
      </c>
      <c r="G747" s="1">
        <v>45296.0</v>
      </c>
      <c r="H747" s="1">
        <v>267.0</v>
      </c>
      <c r="I747" s="1" t="s">
        <v>16</v>
      </c>
      <c r="J747" s="1">
        <v>6.0E7</v>
      </c>
      <c r="K747" s="1">
        <v>2000.0</v>
      </c>
      <c r="L747" s="1">
        <v>6.7</v>
      </c>
      <c r="O747" s="3"/>
      <c r="S747" s="4"/>
    </row>
    <row r="748" ht="14.25" customHeight="1">
      <c r="A748" s="1" t="s">
        <v>1364</v>
      </c>
      <c r="B748" s="1">
        <v>152.0</v>
      </c>
      <c r="C748" s="1">
        <v>3.2522352E7</v>
      </c>
      <c r="D748" s="1" t="s">
        <v>1753</v>
      </c>
      <c r="E748" s="1" t="s">
        <v>390</v>
      </c>
      <c r="F748" s="1" t="s">
        <v>1754</v>
      </c>
      <c r="G748" s="1">
        <v>207287.0</v>
      </c>
      <c r="H748" s="1">
        <v>822.0</v>
      </c>
      <c r="I748" s="1" t="s">
        <v>16</v>
      </c>
      <c r="J748" s="1">
        <v>6.0E7</v>
      </c>
      <c r="K748" s="1">
        <v>2000.0</v>
      </c>
      <c r="L748" s="1">
        <v>7.9</v>
      </c>
      <c r="O748" s="3"/>
      <c r="S748" s="4"/>
    </row>
    <row r="749" ht="14.25" customHeight="1">
      <c r="A749" s="1" t="s">
        <v>408</v>
      </c>
      <c r="B749" s="1">
        <v>101.0</v>
      </c>
      <c r="C749" s="1">
        <v>2.6082914E7</v>
      </c>
      <c r="D749" s="1" t="s">
        <v>1362</v>
      </c>
      <c r="E749" s="1" t="s">
        <v>1755</v>
      </c>
      <c r="F749" s="1" t="s">
        <v>1756</v>
      </c>
      <c r="G749" s="1">
        <v>51349.0</v>
      </c>
      <c r="H749" s="1">
        <v>213.0</v>
      </c>
      <c r="I749" s="1" t="s">
        <v>16</v>
      </c>
      <c r="J749" s="1">
        <v>8.7E7</v>
      </c>
      <c r="K749" s="1">
        <v>2005.0</v>
      </c>
      <c r="L749" s="1">
        <v>4.3</v>
      </c>
      <c r="O749" s="3"/>
      <c r="S749" s="4"/>
    </row>
    <row r="750" ht="14.25" customHeight="1">
      <c r="A750" s="1" t="s">
        <v>1757</v>
      </c>
      <c r="B750" s="1">
        <v>87.0</v>
      </c>
      <c r="C750" s="1">
        <v>2.9136626E7</v>
      </c>
      <c r="D750" s="1" t="s">
        <v>1758</v>
      </c>
      <c r="E750" s="1" t="s">
        <v>1759</v>
      </c>
      <c r="F750" s="1" t="s">
        <v>1760</v>
      </c>
      <c r="G750" s="1">
        <v>97089.0</v>
      </c>
      <c r="H750" s="1">
        <v>233.0</v>
      </c>
      <c r="I750" s="1" t="s">
        <v>16</v>
      </c>
      <c r="J750" s="1">
        <v>6.0E7</v>
      </c>
      <c r="K750" s="1">
        <v>2011.0</v>
      </c>
      <c r="L750" s="1">
        <v>5.7</v>
      </c>
      <c r="O750" s="3"/>
      <c r="S750" s="4"/>
    </row>
    <row r="751" ht="14.25" customHeight="1">
      <c r="A751" s="1" t="s">
        <v>1761</v>
      </c>
      <c r="B751" s="1">
        <v>85.0</v>
      </c>
      <c r="C751" s="1">
        <v>2.628832E7</v>
      </c>
      <c r="D751" s="1" t="s">
        <v>1762</v>
      </c>
      <c r="E751" s="1" t="s">
        <v>293</v>
      </c>
      <c r="F751" s="1" t="s">
        <v>1763</v>
      </c>
      <c r="G751" s="1">
        <v>36144.0</v>
      </c>
      <c r="H751" s="1">
        <v>91.0</v>
      </c>
      <c r="I751" s="1" t="s">
        <v>16</v>
      </c>
      <c r="J751" s="1">
        <v>6.0E7</v>
      </c>
      <c r="K751" s="1">
        <v>2003.0</v>
      </c>
      <c r="L751" s="1">
        <v>6.7</v>
      </c>
      <c r="O751" s="3"/>
      <c r="S751" s="4"/>
    </row>
    <row r="752" ht="14.25" customHeight="1">
      <c r="A752" s="1" t="s">
        <v>983</v>
      </c>
      <c r="B752" s="1">
        <v>130.0</v>
      </c>
      <c r="C752" s="1">
        <v>2.661659E7</v>
      </c>
      <c r="D752" s="1" t="s">
        <v>1764</v>
      </c>
      <c r="E752" s="1" t="s">
        <v>1765</v>
      </c>
      <c r="F752" s="1" t="s">
        <v>1766</v>
      </c>
      <c r="G752" s="1">
        <v>120416.0</v>
      </c>
      <c r="H752" s="1">
        <v>857.0</v>
      </c>
      <c r="I752" s="1" t="s">
        <v>16</v>
      </c>
      <c r="J752" s="1">
        <v>6.0E7</v>
      </c>
      <c r="K752" s="1">
        <v>1997.0</v>
      </c>
      <c r="L752" s="1">
        <v>6.7</v>
      </c>
      <c r="O752" s="3"/>
      <c r="S752" s="4"/>
    </row>
    <row r="753" ht="14.25" customHeight="1">
      <c r="A753" s="1" t="s">
        <v>221</v>
      </c>
      <c r="B753" s="1">
        <v>104.0</v>
      </c>
      <c r="C753" s="1">
        <v>3.0063805E7</v>
      </c>
      <c r="D753" s="1" t="s">
        <v>1767</v>
      </c>
      <c r="E753" s="1" t="s">
        <v>712</v>
      </c>
      <c r="F753" s="1" t="s">
        <v>1768</v>
      </c>
      <c r="G753" s="1">
        <v>31788.0</v>
      </c>
      <c r="H753" s="1">
        <v>243.0</v>
      </c>
      <c r="I753" s="1" t="s">
        <v>16</v>
      </c>
      <c r="J753" s="1">
        <v>6.0E7</v>
      </c>
      <c r="K753" s="1">
        <v>2002.0</v>
      </c>
      <c r="L753" s="1">
        <v>6.1</v>
      </c>
      <c r="O753" s="3"/>
      <c r="S753" s="4"/>
    </row>
    <row r="754" ht="14.25" customHeight="1">
      <c r="A754" s="1" t="s">
        <v>950</v>
      </c>
      <c r="B754" s="1">
        <v>121.0</v>
      </c>
      <c r="C754" s="1">
        <v>2.2518325E7</v>
      </c>
      <c r="D754" s="1" t="s">
        <v>909</v>
      </c>
      <c r="E754" s="1" t="s">
        <v>237</v>
      </c>
      <c r="F754" s="1" t="s">
        <v>1769</v>
      </c>
      <c r="G754" s="1">
        <v>63363.0</v>
      </c>
      <c r="H754" s="1">
        <v>644.0</v>
      </c>
      <c r="I754" s="1" t="s">
        <v>16</v>
      </c>
      <c r="J754" s="1">
        <v>5.0E7</v>
      </c>
      <c r="K754" s="1">
        <v>2006.0</v>
      </c>
      <c r="L754" s="1">
        <v>5.6</v>
      </c>
      <c r="O754" s="3"/>
      <c r="S754" s="4"/>
    </row>
    <row r="755" ht="14.25" customHeight="1">
      <c r="A755" s="1" t="s">
        <v>1770</v>
      </c>
      <c r="B755" s="1">
        <v>140.0</v>
      </c>
      <c r="C755" s="1">
        <v>1.3082288E7</v>
      </c>
      <c r="D755" s="1" t="s">
        <v>1771</v>
      </c>
      <c r="E755" s="1" t="s">
        <v>861</v>
      </c>
      <c r="F755" s="1" t="s">
        <v>1772</v>
      </c>
      <c r="G755" s="1">
        <v>35565.0</v>
      </c>
      <c r="H755" s="1">
        <v>247.0</v>
      </c>
      <c r="I755" s="1" t="s">
        <v>16</v>
      </c>
      <c r="J755" s="1">
        <v>6.0E7</v>
      </c>
      <c r="K755" s="1">
        <v>2006.0</v>
      </c>
      <c r="L755" s="1">
        <v>6.6</v>
      </c>
      <c r="O755" s="3"/>
      <c r="S755" s="4"/>
    </row>
    <row r="756" ht="14.25" customHeight="1">
      <c r="A756" s="1" t="s">
        <v>1773</v>
      </c>
      <c r="B756" s="1">
        <v>131.0</v>
      </c>
      <c r="C756" s="1">
        <v>1.8208078E7</v>
      </c>
      <c r="D756" s="1" t="s">
        <v>392</v>
      </c>
      <c r="E756" s="1" t="s">
        <v>1774</v>
      </c>
      <c r="F756" s="1" t="s">
        <v>1775</v>
      </c>
      <c r="G756" s="1">
        <v>57100.0</v>
      </c>
      <c r="H756" s="1">
        <v>281.0</v>
      </c>
      <c r="I756" s="1" t="s">
        <v>16</v>
      </c>
      <c r="J756" s="1">
        <v>6.0E7</v>
      </c>
      <c r="K756" s="1">
        <v>2001.0</v>
      </c>
      <c r="L756" s="1">
        <v>6.9</v>
      </c>
      <c r="O756" s="3"/>
      <c r="S756" s="4"/>
    </row>
    <row r="757" ht="14.25" customHeight="1">
      <c r="A757" s="1" t="s">
        <v>1776</v>
      </c>
      <c r="B757" s="1">
        <v>91.0</v>
      </c>
      <c r="C757" s="1">
        <v>1.4218868E7</v>
      </c>
      <c r="D757" s="1" t="s">
        <v>1764</v>
      </c>
      <c r="E757" s="1" t="s">
        <v>1777</v>
      </c>
      <c r="F757" s="1" t="s">
        <v>1778</v>
      </c>
      <c r="G757" s="1">
        <v>14596.0</v>
      </c>
      <c r="H757" s="1">
        <v>282.0</v>
      </c>
      <c r="I757" s="1" t="s">
        <v>16</v>
      </c>
      <c r="J757" s="1">
        <v>6.5E7</v>
      </c>
      <c r="K757" s="1">
        <v>2000.0</v>
      </c>
      <c r="L757" s="1">
        <v>4.8</v>
      </c>
      <c r="O757" s="3"/>
      <c r="S757" s="4"/>
    </row>
    <row r="758" ht="14.25" customHeight="1">
      <c r="A758" s="1" t="s">
        <v>1779</v>
      </c>
      <c r="B758" s="1">
        <v>118.0</v>
      </c>
      <c r="C758" s="1">
        <v>22451.0</v>
      </c>
      <c r="D758" s="1" t="s">
        <v>1780</v>
      </c>
      <c r="E758" s="1" t="s">
        <v>1781</v>
      </c>
      <c r="F758" s="1" t="s">
        <v>1782</v>
      </c>
      <c r="G758" s="1">
        <v>41288.0</v>
      </c>
      <c r="H758" s="1">
        <v>126.0</v>
      </c>
      <c r="I758" s="1" t="s">
        <v>16</v>
      </c>
      <c r="J758" s="1">
        <v>6.0E7</v>
      </c>
      <c r="K758" s="1">
        <v>2014.0</v>
      </c>
      <c r="L758" s="1">
        <v>6.2</v>
      </c>
      <c r="O758" s="3"/>
      <c r="S758" s="4"/>
    </row>
    <row r="759" ht="14.25" customHeight="1">
      <c r="A759" s="1" t="s">
        <v>1783</v>
      </c>
      <c r="B759" s="1">
        <v>130.0</v>
      </c>
      <c r="C759" s="1">
        <v>3.1165421E7</v>
      </c>
      <c r="D759" s="1" t="s">
        <v>1784</v>
      </c>
      <c r="E759" s="1" t="s">
        <v>75</v>
      </c>
      <c r="F759" s="1" t="s">
        <v>1785</v>
      </c>
      <c r="G759" s="1">
        <v>107028.0</v>
      </c>
      <c r="H759" s="1">
        <v>457.0</v>
      </c>
      <c r="I759" s="1" t="s">
        <v>16</v>
      </c>
      <c r="J759" s="1">
        <v>6.0E7</v>
      </c>
      <c r="K759" s="1">
        <v>2013.0</v>
      </c>
      <c r="L759" s="1">
        <v>6.0</v>
      </c>
      <c r="O759" s="3"/>
      <c r="S759" s="4"/>
    </row>
    <row r="760" ht="14.25" customHeight="1">
      <c r="A760" s="1" t="s">
        <v>1665</v>
      </c>
      <c r="B760" s="1">
        <v>90.0</v>
      </c>
      <c r="C760" s="1">
        <v>1.1802056E7</v>
      </c>
      <c r="D760" s="1" t="s">
        <v>1786</v>
      </c>
      <c r="E760" s="1" t="s">
        <v>1787</v>
      </c>
      <c r="F760" s="1" t="s">
        <v>1788</v>
      </c>
      <c r="G760" s="1">
        <v>31640.0</v>
      </c>
      <c r="H760" s="1">
        <v>109.0</v>
      </c>
      <c r="I760" s="1" t="s">
        <v>16</v>
      </c>
      <c r="J760" s="1">
        <v>6.0E7</v>
      </c>
      <c r="K760" s="1">
        <v>2008.0</v>
      </c>
      <c r="L760" s="1">
        <v>4.9</v>
      </c>
      <c r="O760" s="3"/>
      <c r="S760" s="4"/>
    </row>
    <row r="761" ht="14.25" customHeight="1">
      <c r="A761" s="1" t="s">
        <v>1789</v>
      </c>
      <c r="B761" s="1">
        <v>103.0</v>
      </c>
      <c r="C761" s="1">
        <v>2.5472967E7</v>
      </c>
      <c r="D761" s="1" t="s">
        <v>1790</v>
      </c>
      <c r="E761" s="1" t="s">
        <v>1791</v>
      </c>
      <c r="F761" s="1" t="s">
        <v>1792</v>
      </c>
      <c r="G761" s="1">
        <v>44966.0</v>
      </c>
      <c r="H761" s="1">
        <v>411.0</v>
      </c>
      <c r="I761" s="1" t="s">
        <v>16</v>
      </c>
      <c r="J761" s="1">
        <v>3.0E7</v>
      </c>
      <c r="K761" s="1">
        <v>2005.0</v>
      </c>
      <c r="L761" s="1">
        <v>5.6</v>
      </c>
      <c r="O761" s="3"/>
      <c r="S761" s="4"/>
    </row>
    <row r="762" ht="14.25" customHeight="1">
      <c r="A762" s="1" t="s">
        <v>361</v>
      </c>
      <c r="B762" s="1">
        <v>122.0</v>
      </c>
      <c r="C762" s="1">
        <v>2.23625E7</v>
      </c>
      <c r="D762" s="1" t="s">
        <v>1059</v>
      </c>
      <c r="E762" s="1" t="s">
        <v>285</v>
      </c>
      <c r="F762" s="1" t="s">
        <v>1793</v>
      </c>
      <c r="G762" s="1">
        <v>35599.0</v>
      </c>
      <c r="H762" s="1">
        <v>195.0</v>
      </c>
      <c r="I762" s="1" t="s">
        <v>16</v>
      </c>
      <c r="J762" s="1">
        <v>5.5E7</v>
      </c>
      <c r="K762" s="1">
        <v>1999.0</v>
      </c>
      <c r="L762" s="1">
        <v>6.1</v>
      </c>
      <c r="O762" s="3"/>
      <c r="S762" s="4"/>
    </row>
    <row r="763" ht="14.25" customHeight="1">
      <c r="A763" s="1" t="s">
        <v>1794</v>
      </c>
      <c r="B763" s="1">
        <v>106.0</v>
      </c>
      <c r="C763" s="1">
        <v>1.7281832E7</v>
      </c>
      <c r="D763" s="1" t="s">
        <v>86</v>
      </c>
      <c r="E763" s="1" t="s">
        <v>1168</v>
      </c>
      <c r="F763" s="1" t="s">
        <v>1795</v>
      </c>
      <c r="G763" s="1">
        <v>60232.0</v>
      </c>
      <c r="H763" s="1">
        <v>110.0</v>
      </c>
      <c r="I763" s="1" t="s">
        <v>16</v>
      </c>
      <c r="J763" s="1">
        <v>6.0E7</v>
      </c>
      <c r="K763" s="1">
        <v>2008.0</v>
      </c>
      <c r="L763" s="1">
        <v>6.1</v>
      </c>
      <c r="O763" s="3"/>
      <c r="S763" s="4"/>
    </row>
    <row r="764" ht="14.25" customHeight="1">
      <c r="A764" s="1" t="s">
        <v>1554</v>
      </c>
      <c r="B764" s="1">
        <v>103.0</v>
      </c>
      <c r="C764" s="1">
        <v>1.9781879E7</v>
      </c>
      <c r="D764" s="1" t="s">
        <v>1231</v>
      </c>
      <c r="E764" s="1" t="s">
        <v>237</v>
      </c>
      <c r="F764" s="1" t="s">
        <v>1796</v>
      </c>
      <c r="G764" s="1">
        <v>53864.0</v>
      </c>
      <c r="H764" s="1">
        <v>290.0</v>
      </c>
      <c r="I764" s="1" t="s">
        <v>16</v>
      </c>
      <c r="J764" s="1">
        <v>6.0E7</v>
      </c>
      <c r="K764" s="1">
        <v>2008.0</v>
      </c>
      <c r="L764" s="1">
        <v>4.8</v>
      </c>
      <c r="O764" s="3"/>
      <c r="S764" s="4"/>
    </row>
    <row r="765" ht="14.25" customHeight="1">
      <c r="A765" s="1" t="s">
        <v>1797</v>
      </c>
      <c r="B765" s="1">
        <v>107.0</v>
      </c>
      <c r="C765" s="1">
        <v>7605668.0</v>
      </c>
      <c r="D765" s="1" t="s">
        <v>1798</v>
      </c>
      <c r="E765" s="1" t="s">
        <v>19</v>
      </c>
      <c r="F765" s="1" t="s">
        <v>1799</v>
      </c>
      <c r="G765" s="1">
        <v>47320.0</v>
      </c>
      <c r="H765" s="1">
        <v>188.0</v>
      </c>
      <c r="I765" s="1" t="s">
        <v>16</v>
      </c>
      <c r="J765" s="1">
        <v>6.0E7</v>
      </c>
      <c r="K765" s="1">
        <v>2015.0</v>
      </c>
      <c r="L765" s="1">
        <v>5.5</v>
      </c>
      <c r="O765" s="3"/>
      <c r="S765" s="4"/>
    </row>
    <row r="766" ht="14.25" customHeight="1">
      <c r="A766" s="1" t="s">
        <v>1800</v>
      </c>
      <c r="B766" s="1">
        <v>156.0</v>
      </c>
      <c r="C766" s="1">
        <v>4535117.0</v>
      </c>
      <c r="D766" s="1" t="s">
        <v>809</v>
      </c>
      <c r="E766" s="1" t="s">
        <v>147</v>
      </c>
      <c r="F766" s="1" t="s">
        <v>1801</v>
      </c>
      <c r="G766" s="1">
        <v>38398.0</v>
      </c>
      <c r="H766" s="1">
        <v>368.0</v>
      </c>
      <c r="I766" s="1" t="s">
        <v>16</v>
      </c>
      <c r="J766" s="1">
        <v>6.0E7</v>
      </c>
      <c r="K766" s="1">
        <v>2007.0</v>
      </c>
      <c r="L766" s="1">
        <v>3.8</v>
      </c>
      <c r="O766" s="3"/>
      <c r="S766" s="4"/>
    </row>
    <row r="767" ht="14.25" customHeight="1">
      <c r="A767" s="1" t="s">
        <v>136</v>
      </c>
      <c r="B767" s="1">
        <v>127.0</v>
      </c>
      <c r="C767" s="1">
        <v>4426297.0</v>
      </c>
      <c r="D767" s="1" t="s">
        <v>513</v>
      </c>
      <c r="E767" s="1" t="s">
        <v>245</v>
      </c>
      <c r="F767" s="1" t="s">
        <v>1802</v>
      </c>
      <c r="G767" s="1">
        <v>22570.0</v>
      </c>
      <c r="H767" s="1">
        <v>156.0</v>
      </c>
      <c r="I767" s="1" t="s">
        <v>16</v>
      </c>
      <c r="J767" s="1">
        <v>3.5E7</v>
      </c>
      <c r="K767" s="1">
        <v>2003.0</v>
      </c>
      <c r="L767" s="1">
        <v>6.5</v>
      </c>
      <c r="O767" s="3"/>
      <c r="S767" s="4"/>
    </row>
    <row r="768" ht="14.25" customHeight="1">
      <c r="A768" s="1" t="s">
        <v>1803</v>
      </c>
      <c r="B768" s="1">
        <v>132.0</v>
      </c>
      <c r="C768" s="1">
        <v>1.0166502E7</v>
      </c>
      <c r="D768" s="1" t="s">
        <v>611</v>
      </c>
      <c r="E768" s="1" t="s">
        <v>861</v>
      </c>
      <c r="F768" s="1" t="s">
        <v>1804</v>
      </c>
      <c r="G768" s="1">
        <v>18209.0</v>
      </c>
      <c r="H768" s="1">
        <v>183.0</v>
      </c>
      <c r="I768" s="1" t="s">
        <v>1805</v>
      </c>
      <c r="J768" s="1">
        <v>8.0E7</v>
      </c>
      <c r="K768" s="1">
        <v>2005.0</v>
      </c>
      <c r="L768" s="1">
        <v>6.7</v>
      </c>
      <c r="O768" s="3"/>
      <c r="S768" s="4"/>
    </row>
    <row r="769" ht="14.25" customHeight="1">
      <c r="A769" s="1" t="s">
        <v>1806</v>
      </c>
      <c r="B769" s="1">
        <v>108.0</v>
      </c>
      <c r="C769" s="1">
        <v>3.63024263E8</v>
      </c>
      <c r="D769" s="1" t="s">
        <v>1807</v>
      </c>
      <c r="E769" s="1" t="s">
        <v>137</v>
      </c>
      <c r="F769" s="1" t="s">
        <v>1808</v>
      </c>
      <c r="G769" s="1">
        <v>479047.0</v>
      </c>
      <c r="H769" s="1">
        <v>1058.0</v>
      </c>
      <c r="I769" s="1" t="s">
        <v>16</v>
      </c>
      <c r="J769" s="1">
        <v>5.8E7</v>
      </c>
      <c r="K769" s="1">
        <v>2016.0</v>
      </c>
      <c r="L769" s="1">
        <v>8.1</v>
      </c>
      <c r="O769" s="3"/>
      <c r="S769" s="4"/>
    </row>
    <row r="770" ht="14.25" customHeight="1">
      <c r="A770" s="1" t="s">
        <v>1809</v>
      </c>
      <c r="B770" s="1">
        <v>114.0</v>
      </c>
      <c r="C770" s="1">
        <v>1.2065985E7</v>
      </c>
      <c r="D770" s="1" t="s">
        <v>1059</v>
      </c>
      <c r="E770" s="1" t="s">
        <v>1810</v>
      </c>
      <c r="F770" s="1" t="s">
        <v>1811</v>
      </c>
      <c r="G770" s="1">
        <v>16260.0</v>
      </c>
      <c r="H770" s="1">
        <v>88.0</v>
      </c>
      <c r="I770" s="1" t="s">
        <v>16</v>
      </c>
      <c r="J770" s="1">
        <v>6.0E7</v>
      </c>
      <c r="K770" s="1">
        <v>1998.0</v>
      </c>
      <c r="L770" s="1">
        <v>4.9</v>
      </c>
      <c r="O770" s="3"/>
      <c r="S770" s="4"/>
    </row>
    <row r="771" ht="14.25" customHeight="1">
      <c r="A771" s="1" t="s">
        <v>1506</v>
      </c>
      <c r="B771" s="1">
        <v>133.0</v>
      </c>
      <c r="C771" s="1">
        <v>3.50123553E8</v>
      </c>
      <c r="D771" s="1" t="s">
        <v>1812</v>
      </c>
      <c r="E771" s="1" t="s">
        <v>282</v>
      </c>
      <c r="F771" s="1" t="s">
        <v>1813</v>
      </c>
      <c r="G771" s="1">
        <v>325264.0</v>
      </c>
      <c r="H771" s="1">
        <v>916.0</v>
      </c>
      <c r="I771" s="1" t="s">
        <v>16</v>
      </c>
      <c r="J771" s="1">
        <v>5.88E7</v>
      </c>
      <c r="K771" s="1">
        <v>2014.0</v>
      </c>
      <c r="L771" s="1">
        <v>7.3</v>
      </c>
      <c r="O771" s="3"/>
      <c r="S771" s="4"/>
    </row>
    <row r="772" ht="14.25" customHeight="1">
      <c r="A772" s="1" t="s">
        <v>202</v>
      </c>
      <c r="B772" s="1">
        <v>103.0</v>
      </c>
      <c r="C772" s="1">
        <v>8.002174E7</v>
      </c>
      <c r="D772" s="1" t="s">
        <v>1814</v>
      </c>
      <c r="E772" s="1" t="s">
        <v>1815</v>
      </c>
      <c r="F772" s="1" t="s">
        <v>1816</v>
      </c>
      <c r="G772" s="1">
        <v>47968.0</v>
      </c>
      <c r="H772" s="1">
        <v>154.0</v>
      </c>
      <c r="I772" s="1" t="s">
        <v>16</v>
      </c>
      <c r="J772" s="1">
        <v>5.8E7</v>
      </c>
      <c r="K772" s="1">
        <v>2015.0</v>
      </c>
      <c r="L772" s="1">
        <v>6.4</v>
      </c>
      <c r="O772" s="3"/>
      <c r="S772" s="4"/>
    </row>
    <row r="773" ht="14.25" customHeight="1">
      <c r="A773" s="1" t="s">
        <v>863</v>
      </c>
      <c r="B773" s="1">
        <v>95.0</v>
      </c>
      <c r="C773" s="1">
        <v>4.8291624E7</v>
      </c>
      <c r="D773" s="1" t="s">
        <v>1481</v>
      </c>
      <c r="E773" s="1" t="s">
        <v>1817</v>
      </c>
      <c r="F773" s="1" t="s">
        <v>1818</v>
      </c>
      <c r="G773" s="1">
        <v>82819.0</v>
      </c>
      <c r="H773" s="1">
        <v>263.0</v>
      </c>
      <c r="I773" s="1" t="s">
        <v>16</v>
      </c>
      <c r="J773" s="1">
        <v>5.8E7</v>
      </c>
      <c r="K773" s="1">
        <v>2005.0</v>
      </c>
      <c r="L773" s="1">
        <v>6.7</v>
      </c>
      <c r="O773" s="3"/>
      <c r="S773" s="4"/>
    </row>
    <row r="774" ht="14.25" customHeight="1">
      <c r="A774" s="1" t="s">
        <v>1669</v>
      </c>
      <c r="B774" s="1">
        <v>90.0</v>
      </c>
      <c r="C774" s="1">
        <v>3.5231365E7</v>
      </c>
      <c r="D774" s="1" t="s">
        <v>1819</v>
      </c>
      <c r="E774" s="1" t="s">
        <v>1820</v>
      </c>
      <c r="F774" s="1" t="s">
        <v>1821</v>
      </c>
      <c r="G774" s="1">
        <v>15517.0</v>
      </c>
      <c r="H774" s="1">
        <v>85.0</v>
      </c>
      <c r="I774" s="1" t="s">
        <v>16</v>
      </c>
      <c r="J774" s="1">
        <v>6.0E7</v>
      </c>
      <c r="K774" s="1">
        <v>2000.0</v>
      </c>
      <c r="L774" s="1">
        <v>3.6</v>
      </c>
      <c r="O774" s="3"/>
      <c r="S774" s="4"/>
    </row>
    <row r="775" ht="14.25" customHeight="1">
      <c r="A775" s="1" t="s">
        <v>1822</v>
      </c>
      <c r="B775" s="1">
        <v>87.0</v>
      </c>
      <c r="C775" s="1">
        <v>5.3715611E7</v>
      </c>
      <c r="D775" s="1" t="s">
        <v>1823</v>
      </c>
      <c r="E775" s="1" t="s">
        <v>1061</v>
      </c>
      <c r="F775" s="1" t="s">
        <v>1824</v>
      </c>
      <c r="G775" s="1">
        <v>92106.0</v>
      </c>
      <c r="H775" s="1">
        <v>171.0</v>
      </c>
      <c r="I775" s="1" t="s">
        <v>16</v>
      </c>
      <c r="J775" s="1">
        <v>6.3E7</v>
      </c>
      <c r="K775" s="1">
        <v>1988.0</v>
      </c>
      <c r="L775" s="1">
        <v>5.7</v>
      </c>
      <c r="O775" s="3"/>
      <c r="S775" s="4"/>
    </row>
    <row r="776" ht="14.25" customHeight="1">
      <c r="A776" s="1" t="s">
        <v>1387</v>
      </c>
      <c r="B776" s="1">
        <v>114.0</v>
      </c>
      <c r="C776" s="1">
        <v>3.1199215E7</v>
      </c>
      <c r="D776" s="1" t="s">
        <v>1825</v>
      </c>
      <c r="E776" s="1" t="s">
        <v>1826</v>
      </c>
      <c r="F776" s="1" t="s">
        <v>1827</v>
      </c>
      <c r="G776" s="1">
        <v>27664.0</v>
      </c>
      <c r="H776" s="1">
        <v>120.0</v>
      </c>
      <c r="I776" s="1" t="s">
        <v>16</v>
      </c>
      <c r="J776" s="1">
        <v>5.8E7</v>
      </c>
      <c r="K776" s="1">
        <v>2008.0</v>
      </c>
      <c r="L776" s="1">
        <v>6.0</v>
      </c>
      <c r="O776" s="3"/>
      <c r="S776" s="4"/>
    </row>
    <row r="777" ht="14.25" customHeight="1">
      <c r="A777" s="1" t="s">
        <v>1623</v>
      </c>
      <c r="B777" s="1">
        <v>103.0</v>
      </c>
      <c r="C777" s="1">
        <v>2.9580087E7</v>
      </c>
      <c r="D777" s="1" t="s">
        <v>593</v>
      </c>
      <c r="E777" s="1" t="s">
        <v>1560</v>
      </c>
      <c r="F777" s="1" t="s">
        <v>1828</v>
      </c>
      <c r="G777" s="1">
        <v>29523.0</v>
      </c>
      <c r="H777" s="1">
        <v>121.0</v>
      </c>
      <c r="I777" s="1" t="s">
        <v>16</v>
      </c>
      <c r="J777" s="1">
        <v>5.8E7</v>
      </c>
      <c r="K777" s="1">
        <v>2009.0</v>
      </c>
      <c r="L777" s="1">
        <v>4.7</v>
      </c>
      <c r="O777" s="3"/>
      <c r="S777" s="4"/>
    </row>
    <row r="778" ht="14.25" customHeight="1">
      <c r="A778" s="1" t="s">
        <v>345</v>
      </c>
      <c r="B778" s="1">
        <v>125.0</v>
      </c>
      <c r="C778" s="1">
        <v>4.4665963E7</v>
      </c>
      <c r="D778" s="1" t="s">
        <v>828</v>
      </c>
      <c r="E778" s="1" t="s">
        <v>354</v>
      </c>
      <c r="F778" s="1" t="s">
        <v>1829</v>
      </c>
      <c r="G778" s="1">
        <v>159931.0</v>
      </c>
      <c r="H778" s="1">
        <v>281.0</v>
      </c>
      <c r="I778" s="1" t="s">
        <v>16</v>
      </c>
      <c r="J778" s="1">
        <v>5.8E7</v>
      </c>
      <c r="K778" s="1">
        <v>2013.0</v>
      </c>
      <c r="L778" s="1">
        <v>6.3</v>
      </c>
      <c r="O778" s="3"/>
      <c r="S778" s="4"/>
    </row>
    <row r="779" ht="14.25" customHeight="1">
      <c r="A779" s="1" t="s">
        <v>983</v>
      </c>
      <c r="B779" s="1">
        <v>97.0</v>
      </c>
      <c r="C779" s="1">
        <v>6.0128566E7</v>
      </c>
      <c r="D779" s="1" t="s">
        <v>1405</v>
      </c>
      <c r="E779" s="1" t="s">
        <v>831</v>
      </c>
      <c r="F779" s="1" t="s">
        <v>1830</v>
      </c>
      <c r="G779" s="1">
        <v>131447.0</v>
      </c>
      <c r="H779" s="1">
        <v>410.0</v>
      </c>
      <c r="I779" s="1" t="s">
        <v>16</v>
      </c>
      <c r="J779" s="1">
        <v>6.0E7</v>
      </c>
      <c r="K779" s="1">
        <v>2010.0</v>
      </c>
      <c r="L779" s="1">
        <v>5.9</v>
      </c>
      <c r="O779" s="3"/>
      <c r="S779" s="4"/>
    </row>
    <row r="780" ht="14.25" customHeight="1">
      <c r="A780" s="1" t="s">
        <v>1831</v>
      </c>
      <c r="B780" s="1">
        <v>125.0</v>
      </c>
      <c r="C780" s="1">
        <v>4.9875589E7</v>
      </c>
      <c r="D780" s="1" t="s">
        <v>464</v>
      </c>
      <c r="E780" s="1" t="s">
        <v>1190</v>
      </c>
      <c r="F780" s="1" t="s">
        <v>1832</v>
      </c>
      <c r="G780" s="1">
        <v>28807.0</v>
      </c>
      <c r="H780" s="1">
        <v>273.0</v>
      </c>
      <c r="I780" s="1" t="s">
        <v>16</v>
      </c>
      <c r="J780" s="1">
        <v>5.8E7</v>
      </c>
      <c r="K780" s="1">
        <v>2012.0</v>
      </c>
      <c r="L780" s="1">
        <v>5.9</v>
      </c>
      <c r="O780" s="3"/>
      <c r="S780" s="4"/>
    </row>
    <row r="781" ht="14.25" customHeight="1">
      <c r="A781" s="1" t="s">
        <v>1535</v>
      </c>
      <c r="B781" s="1">
        <v>136.0</v>
      </c>
      <c r="C781" s="1">
        <v>6.0984028E7</v>
      </c>
      <c r="D781" s="1" t="s">
        <v>806</v>
      </c>
      <c r="E781" s="1" t="s">
        <v>252</v>
      </c>
      <c r="F781" s="1" t="s">
        <v>1833</v>
      </c>
      <c r="G781" s="1">
        <v>259519.0</v>
      </c>
      <c r="H781" s="1">
        <v>431.0</v>
      </c>
      <c r="I781" s="1" t="s">
        <v>16</v>
      </c>
      <c r="J781" s="1">
        <v>5.7E7</v>
      </c>
      <c r="K781" s="1">
        <v>1997.0</v>
      </c>
      <c r="L781" s="1">
        <v>7.5</v>
      </c>
      <c r="O781" s="3"/>
      <c r="S781" s="4"/>
    </row>
    <row r="782" ht="14.25" customHeight="1">
      <c r="A782" s="1" t="s">
        <v>1834</v>
      </c>
      <c r="B782" s="1">
        <v>116.0</v>
      </c>
      <c r="C782" s="1">
        <v>3.6931089E7</v>
      </c>
      <c r="D782" s="1" t="s">
        <v>828</v>
      </c>
      <c r="E782" s="1" t="s">
        <v>923</v>
      </c>
      <c r="F782" s="1" t="s">
        <v>1835</v>
      </c>
      <c r="G782" s="1">
        <v>70681.0</v>
      </c>
      <c r="H782" s="1">
        <v>198.0</v>
      </c>
      <c r="I782" s="1" t="s">
        <v>16</v>
      </c>
      <c r="J782" s="1">
        <v>7.0E7</v>
      </c>
      <c r="K782" s="1">
        <v>2012.0</v>
      </c>
      <c r="L782" s="1">
        <v>5.6</v>
      </c>
      <c r="O782" s="3"/>
      <c r="S782" s="4"/>
    </row>
    <row r="783" ht="14.25" customHeight="1">
      <c r="A783" s="1" t="s">
        <v>214</v>
      </c>
      <c r="B783" s="1">
        <v>103.0</v>
      </c>
      <c r="C783" s="1">
        <v>5.131735E7</v>
      </c>
      <c r="D783" s="1" t="s">
        <v>18</v>
      </c>
      <c r="E783" s="1" t="s">
        <v>870</v>
      </c>
      <c r="F783" s="1" t="s">
        <v>1836</v>
      </c>
      <c r="G783" s="1">
        <v>78343.0</v>
      </c>
      <c r="H783" s="1">
        <v>139.0</v>
      </c>
      <c r="I783" s="1" t="s">
        <v>16</v>
      </c>
      <c r="J783" s="1">
        <v>5.7E7</v>
      </c>
      <c r="K783" s="1">
        <v>1996.0</v>
      </c>
      <c r="L783" s="1">
        <v>6.4</v>
      </c>
      <c r="O783" s="3"/>
      <c r="S783" s="4"/>
    </row>
    <row r="784" ht="14.25" customHeight="1">
      <c r="A784" s="1" t="s">
        <v>113</v>
      </c>
      <c r="B784" s="1">
        <v>97.0</v>
      </c>
      <c r="C784" s="1">
        <v>2.8328132E7</v>
      </c>
      <c r="D784" s="1" t="s">
        <v>1837</v>
      </c>
      <c r="E784" s="1" t="s">
        <v>500</v>
      </c>
      <c r="F784" s="1" t="s">
        <v>1838</v>
      </c>
      <c r="G784" s="1">
        <v>38298.0</v>
      </c>
      <c r="H784" s="1">
        <v>147.0</v>
      </c>
      <c r="I784" s="1" t="s">
        <v>16</v>
      </c>
      <c r="J784" s="1">
        <v>5.8E7</v>
      </c>
      <c r="K784" s="1">
        <v>2004.0</v>
      </c>
      <c r="L784" s="1">
        <v>6.3</v>
      </c>
      <c r="O784" s="3"/>
      <c r="S784" s="4"/>
    </row>
    <row r="785" ht="14.25" customHeight="1">
      <c r="A785" s="1" t="s">
        <v>1839</v>
      </c>
      <c r="B785" s="1">
        <v>96.0</v>
      </c>
      <c r="C785" s="1">
        <v>5.1774002E7</v>
      </c>
      <c r="D785" s="1" t="s">
        <v>569</v>
      </c>
      <c r="E785" s="1" t="s">
        <v>301</v>
      </c>
      <c r="F785" s="1" t="s">
        <v>1840</v>
      </c>
      <c r="G785" s="1">
        <v>87745.0</v>
      </c>
      <c r="H785" s="1">
        <v>331.0</v>
      </c>
      <c r="I785" s="1" t="s">
        <v>16</v>
      </c>
      <c r="J785" s="1">
        <v>5.7E7</v>
      </c>
      <c r="K785" s="1">
        <v>2011.0</v>
      </c>
      <c r="L785" s="1">
        <v>4.3</v>
      </c>
      <c r="O785" s="3"/>
      <c r="S785" s="4"/>
    </row>
    <row r="786" ht="14.25" customHeight="1">
      <c r="A786" s="1" t="s">
        <v>1841</v>
      </c>
      <c r="B786" s="1">
        <v>131.0</v>
      </c>
      <c r="C786" s="1">
        <v>2.5528495E7</v>
      </c>
      <c r="D786" s="1" t="s">
        <v>1842</v>
      </c>
      <c r="E786" s="1" t="s">
        <v>143</v>
      </c>
      <c r="F786" s="1" t="s">
        <v>1843</v>
      </c>
      <c r="G786" s="1">
        <v>28099.0</v>
      </c>
      <c r="H786" s="1">
        <v>220.0</v>
      </c>
      <c r="I786" s="1" t="s">
        <v>16</v>
      </c>
      <c r="J786" s="1">
        <v>5.7E7</v>
      </c>
      <c r="K786" s="1">
        <v>2001.0</v>
      </c>
      <c r="L786" s="1">
        <v>5.9</v>
      </c>
      <c r="O786" s="3"/>
      <c r="S786" s="4"/>
    </row>
    <row r="787" ht="14.25" customHeight="1">
      <c r="A787" s="1" t="s">
        <v>1087</v>
      </c>
      <c r="B787" s="1">
        <v>95.0</v>
      </c>
      <c r="C787" s="1">
        <v>1.1300688E8</v>
      </c>
      <c r="D787" s="1" t="s">
        <v>1844</v>
      </c>
      <c r="E787" s="1" t="s">
        <v>584</v>
      </c>
      <c r="F787" s="1" t="s">
        <v>1845</v>
      </c>
      <c r="G787" s="1">
        <v>66308.0</v>
      </c>
      <c r="H787" s="1">
        <v>225.0</v>
      </c>
      <c r="I787" s="1" t="s">
        <v>16</v>
      </c>
      <c r="J787" s="1">
        <v>5.6E7</v>
      </c>
      <c r="K787" s="1">
        <v>2005.0</v>
      </c>
      <c r="L787" s="1">
        <v>5.5</v>
      </c>
      <c r="O787" s="3"/>
      <c r="S787" s="4"/>
    </row>
    <row r="788" ht="14.25" customHeight="1">
      <c r="A788" s="1" t="s">
        <v>1846</v>
      </c>
      <c r="B788" s="1">
        <v>86.0</v>
      </c>
      <c r="C788" s="1">
        <v>4.5860039E7</v>
      </c>
      <c r="D788" s="1" t="s">
        <v>1847</v>
      </c>
      <c r="E788" s="1" t="s">
        <v>632</v>
      </c>
      <c r="F788" s="1" t="s">
        <v>1848</v>
      </c>
      <c r="G788" s="1">
        <v>53118.0</v>
      </c>
      <c r="H788" s="1">
        <v>221.0</v>
      </c>
      <c r="I788" s="1" t="s">
        <v>16</v>
      </c>
      <c r="J788" s="1">
        <v>5.6E7</v>
      </c>
      <c r="K788" s="1">
        <v>2004.0</v>
      </c>
      <c r="L788" s="1">
        <v>6.2</v>
      </c>
      <c r="O788" s="3"/>
      <c r="S788" s="4"/>
    </row>
    <row r="789" ht="14.25" customHeight="1">
      <c r="A789" s="1" t="s">
        <v>186</v>
      </c>
      <c r="B789" s="1">
        <v>142.0</v>
      </c>
      <c r="C789" s="1">
        <v>3.29691196E8</v>
      </c>
      <c r="D789" s="1" t="s">
        <v>1059</v>
      </c>
      <c r="E789" s="1" t="s">
        <v>140</v>
      </c>
      <c r="F789" s="1" t="s">
        <v>1849</v>
      </c>
      <c r="G789" s="1">
        <v>1251222.0</v>
      </c>
      <c r="H789" s="1">
        <v>1398.0</v>
      </c>
      <c r="I789" s="1" t="s">
        <v>16</v>
      </c>
      <c r="J789" s="1">
        <v>5.5E7</v>
      </c>
      <c r="K789" s="1">
        <v>1994.0</v>
      </c>
      <c r="L789" s="1">
        <v>8.8</v>
      </c>
      <c r="O789" s="3"/>
      <c r="S789" s="4"/>
    </row>
    <row r="790" ht="14.25" customHeight="1">
      <c r="A790" s="1" t="s">
        <v>1594</v>
      </c>
      <c r="B790" s="1">
        <v>92.0</v>
      </c>
      <c r="C790" s="1">
        <v>2.17326336E8</v>
      </c>
      <c r="D790" s="1" t="s">
        <v>1371</v>
      </c>
      <c r="E790" s="1" t="s">
        <v>1850</v>
      </c>
      <c r="F790" s="1" t="s">
        <v>1851</v>
      </c>
      <c r="G790" s="1">
        <v>57276.0</v>
      </c>
      <c r="H790" s="1">
        <v>146.0</v>
      </c>
      <c r="I790" s="1" t="s">
        <v>16</v>
      </c>
      <c r="J790" s="1">
        <v>6.0E7</v>
      </c>
      <c r="K790" s="1">
        <v>2007.0</v>
      </c>
      <c r="L790" s="1">
        <v>5.2</v>
      </c>
      <c r="O790" s="3"/>
      <c r="S790" s="4"/>
    </row>
    <row r="791" ht="14.25" customHeight="1">
      <c r="A791" s="1" t="s">
        <v>827</v>
      </c>
      <c r="B791" s="1">
        <v>108.0</v>
      </c>
      <c r="C791" s="1">
        <v>1.6622504E8</v>
      </c>
      <c r="D791" s="1" t="s">
        <v>828</v>
      </c>
      <c r="E791" s="1" t="s">
        <v>725</v>
      </c>
      <c r="F791" s="1" t="s">
        <v>1852</v>
      </c>
      <c r="G791" s="1">
        <v>260442.0</v>
      </c>
      <c r="H791" s="1">
        <v>507.0</v>
      </c>
      <c r="I791" s="1" t="s">
        <v>16</v>
      </c>
      <c r="J791" s="1">
        <v>5.5E7</v>
      </c>
      <c r="K791" s="1">
        <v>2000.0</v>
      </c>
      <c r="L791" s="1">
        <v>7.0</v>
      </c>
      <c r="O791" s="3"/>
      <c r="S791" s="4"/>
    </row>
    <row r="792" ht="14.25" customHeight="1">
      <c r="A792" s="1" t="s">
        <v>1853</v>
      </c>
      <c r="B792" s="1">
        <v>84.0</v>
      </c>
      <c r="C792" s="1">
        <v>1.416E8</v>
      </c>
      <c r="D792" s="1" t="s">
        <v>1854</v>
      </c>
      <c r="E792" s="1" t="s">
        <v>143</v>
      </c>
      <c r="F792" s="1" t="s">
        <v>1855</v>
      </c>
      <c r="G792" s="1">
        <v>119675.0</v>
      </c>
      <c r="H792" s="1">
        <v>216.0</v>
      </c>
      <c r="I792" s="1" t="s">
        <v>16</v>
      </c>
      <c r="J792" s="1">
        <v>5.5E7</v>
      </c>
      <c r="K792" s="1">
        <v>1995.0</v>
      </c>
      <c r="L792" s="1">
        <v>6.6</v>
      </c>
      <c r="O792" s="3"/>
      <c r="S792" s="4"/>
    </row>
    <row r="793" ht="14.25" customHeight="1">
      <c r="A793" s="1" t="s">
        <v>446</v>
      </c>
      <c r="B793" s="1">
        <v>188.0</v>
      </c>
      <c r="C793" s="1">
        <v>1.34218018E8</v>
      </c>
      <c r="D793" s="1" t="s">
        <v>1856</v>
      </c>
      <c r="E793" s="1" t="s">
        <v>1857</v>
      </c>
      <c r="F793" s="1" t="s">
        <v>1858</v>
      </c>
      <c r="G793" s="1">
        <v>126357.0</v>
      </c>
      <c r="H793" s="1">
        <v>497.0</v>
      </c>
      <c r="I793" s="1" t="s">
        <v>16</v>
      </c>
      <c r="J793" s="1">
        <v>5.5E7</v>
      </c>
      <c r="K793" s="1">
        <v>1978.0</v>
      </c>
      <c r="L793" s="1">
        <v>7.3</v>
      </c>
      <c r="O793" s="3"/>
      <c r="S793" s="4"/>
    </row>
    <row r="794" ht="14.25" customHeight="1">
      <c r="A794" s="1" t="s">
        <v>221</v>
      </c>
      <c r="B794" s="1">
        <v>95.0</v>
      </c>
      <c r="C794" s="1">
        <v>1.28769345E8</v>
      </c>
      <c r="D794" s="1" t="s">
        <v>1037</v>
      </c>
      <c r="E794" s="1" t="s">
        <v>406</v>
      </c>
      <c r="F794" s="1" t="s">
        <v>1859</v>
      </c>
      <c r="G794" s="1">
        <v>86556.0</v>
      </c>
      <c r="H794" s="1">
        <v>99.0</v>
      </c>
      <c r="I794" s="1" t="s">
        <v>16</v>
      </c>
      <c r="J794" s="1">
        <v>5.4E7</v>
      </c>
      <c r="K794" s="1">
        <v>1996.0</v>
      </c>
      <c r="L794" s="1">
        <v>5.6</v>
      </c>
      <c r="O794" s="3"/>
      <c r="S794" s="4"/>
    </row>
    <row r="795" ht="14.25" customHeight="1">
      <c r="A795" s="1" t="s">
        <v>1281</v>
      </c>
      <c r="B795" s="1">
        <v>118.0</v>
      </c>
      <c r="C795" s="1">
        <v>1.77575142E8</v>
      </c>
      <c r="D795" s="1" t="s">
        <v>699</v>
      </c>
      <c r="E795" s="1" t="s">
        <v>71</v>
      </c>
      <c r="F795" s="1" t="s">
        <v>1860</v>
      </c>
      <c r="G795" s="1">
        <v>244840.0</v>
      </c>
      <c r="H795" s="1">
        <v>372.0</v>
      </c>
      <c r="I795" s="1" t="s">
        <v>16</v>
      </c>
      <c r="J795" s="1">
        <v>7.0E7</v>
      </c>
      <c r="K795" s="1">
        <v>2005.0</v>
      </c>
      <c r="L795" s="1">
        <v>6.6</v>
      </c>
      <c r="O795" s="3"/>
      <c r="S795" s="4"/>
    </row>
    <row r="796" ht="14.25" customHeight="1">
      <c r="A796" s="1" t="s">
        <v>1861</v>
      </c>
      <c r="B796" s="1">
        <v>92.0</v>
      </c>
      <c r="C796" s="1">
        <v>1.05263257E8</v>
      </c>
      <c r="D796" s="1" t="s">
        <v>1862</v>
      </c>
      <c r="E796" s="1" t="s">
        <v>1168</v>
      </c>
      <c r="F796" s="1" t="s">
        <v>1863</v>
      </c>
      <c r="G796" s="1">
        <v>56168.0</v>
      </c>
      <c r="H796" s="1">
        <v>103.0</v>
      </c>
      <c r="I796" s="1" t="s">
        <v>16</v>
      </c>
      <c r="J796" s="1">
        <v>5.5E7</v>
      </c>
      <c r="K796" s="1">
        <v>1997.0</v>
      </c>
      <c r="L796" s="1">
        <v>5.4</v>
      </c>
      <c r="O796" s="3"/>
      <c r="S796" s="4"/>
    </row>
    <row r="797" ht="14.25" customHeight="1">
      <c r="A797" s="1" t="s">
        <v>1864</v>
      </c>
      <c r="B797" s="1">
        <v>74.0</v>
      </c>
      <c r="C797" s="1">
        <v>1.04354205E8</v>
      </c>
      <c r="D797" s="1" t="s">
        <v>699</v>
      </c>
      <c r="E797" s="1" t="s">
        <v>1865</v>
      </c>
      <c r="F797" s="1" t="s">
        <v>1866</v>
      </c>
      <c r="G797" s="1">
        <v>162331.0</v>
      </c>
      <c r="H797" s="1">
        <v>332.0</v>
      </c>
      <c r="I797" s="1" t="s">
        <v>16</v>
      </c>
      <c r="J797" s="1">
        <v>5.5E7</v>
      </c>
      <c r="K797" s="1">
        <v>2003.0</v>
      </c>
      <c r="L797" s="1">
        <v>6.3</v>
      </c>
      <c r="O797" s="3"/>
      <c r="S797" s="4"/>
    </row>
    <row r="798" ht="14.25" customHeight="1">
      <c r="A798" s="1" t="s">
        <v>484</v>
      </c>
      <c r="B798" s="1">
        <v>134.0</v>
      </c>
      <c r="C798" s="1">
        <v>1.07100855E8</v>
      </c>
      <c r="D798" s="1" t="s">
        <v>1464</v>
      </c>
      <c r="E798" s="1" t="s">
        <v>140</v>
      </c>
      <c r="F798" s="1" t="s">
        <v>1867</v>
      </c>
      <c r="G798" s="1">
        <v>323353.0</v>
      </c>
      <c r="H798" s="1">
        <v>527.0</v>
      </c>
      <c r="I798" s="1" t="s">
        <v>16</v>
      </c>
      <c r="J798" s="1">
        <v>5.5E7</v>
      </c>
      <c r="K798" s="1">
        <v>2013.0</v>
      </c>
      <c r="L798" s="1">
        <v>7.9</v>
      </c>
      <c r="O798" s="3"/>
      <c r="S798" s="4"/>
    </row>
    <row r="799" ht="14.25" customHeight="1">
      <c r="A799" s="1" t="s">
        <v>345</v>
      </c>
      <c r="B799" s="1">
        <v>101.0</v>
      </c>
      <c r="C799" s="1">
        <v>9.8711404E7</v>
      </c>
      <c r="D799" s="1" t="s">
        <v>1725</v>
      </c>
      <c r="E799" s="1" t="s">
        <v>1868</v>
      </c>
      <c r="F799" s="1" t="s">
        <v>1869</v>
      </c>
      <c r="G799" s="1">
        <v>127571.0</v>
      </c>
      <c r="H799" s="1">
        <v>207.0</v>
      </c>
      <c r="I799" s="1" t="s">
        <v>16</v>
      </c>
      <c r="J799" s="1">
        <v>5.5E7</v>
      </c>
      <c r="K799" s="1">
        <v>2010.0</v>
      </c>
      <c r="L799" s="1">
        <v>6.3</v>
      </c>
      <c r="O799" s="3"/>
      <c r="S799" s="4"/>
    </row>
    <row r="800" ht="14.25" customHeight="1">
      <c r="A800" s="1" t="s">
        <v>781</v>
      </c>
      <c r="B800" s="1">
        <v>100.0</v>
      </c>
      <c r="C800" s="1">
        <v>1.00328194E8</v>
      </c>
      <c r="D800" s="1" t="s">
        <v>222</v>
      </c>
      <c r="E800" s="1" t="s">
        <v>1870</v>
      </c>
      <c r="F800" s="1" t="s">
        <v>1871</v>
      </c>
      <c r="G800" s="1">
        <v>85903.0</v>
      </c>
      <c r="H800" s="1">
        <v>92.0</v>
      </c>
      <c r="I800" s="1" t="s">
        <v>16</v>
      </c>
      <c r="J800" s="1">
        <v>5.0E7</v>
      </c>
      <c r="K800" s="1">
        <v>1995.0</v>
      </c>
      <c r="L800" s="1">
        <v>6.0</v>
      </c>
      <c r="O800" s="3"/>
      <c r="S800" s="4"/>
    </row>
    <row r="801" ht="14.25" customHeight="1">
      <c r="A801" s="1" t="s">
        <v>1263</v>
      </c>
      <c r="B801" s="1">
        <v>132.0</v>
      </c>
      <c r="C801" s="1">
        <v>1.01530738E8</v>
      </c>
      <c r="D801" s="1" t="s">
        <v>146</v>
      </c>
      <c r="E801" s="1" t="s">
        <v>717</v>
      </c>
      <c r="F801" s="1" t="s">
        <v>1872</v>
      </c>
      <c r="G801" s="1">
        <v>229574.0</v>
      </c>
      <c r="H801" s="1">
        <v>436.0</v>
      </c>
      <c r="I801" s="1" t="s">
        <v>16</v>
      </c>
      <c r="J801" s="1">
        <v>5.5E7</v>
      </c>
      <c r="K801" s="1">
        <v>2014.0</v>
      </c>
      <c r="L801" s="1">
        <v>7.2</v>
      </c>
      <c r="O801" s="3"/>
      <c r="S801" s="4"/>
    </row>
    <row r="802" ht="14.25" customHeight="1">
      <c r="A802" s="1" t="s">
        <v>1873</v>
      </c>
      <c r="B802" s="1">
        <v>105.0</v>
      </c>
      <c r="C802" s="1">
        <v>9.3815117E7</v>
      </c>
      <c r="D802" s="1" t="s">
        <v>593</v>
      </c>
      <c r="E802" s="1" t="s">
        <v>1009</v>
      </c>
      <c r="F802" s="1" t="s">
        <v>1874</v>
      </c>
      <c r="G802" s="1">
        <v>68417.0</v>
      </c>
      <c r="H802" s="1">
        <v>242.0</v>
      </c>
      <c r="I802" s="1" t="s">
        <v>16</v>
      </c>
      <c r="J802" s="1">
        <v>5.5E7</v>
      </c>
      <c r="K802" s="1">
        <v>2002.0</v>
      </c>
      <c r="L802" s="1">
        <v>5.1</v>
      </c>
      <c r="O802" s="3"/>
      <c r="S802" s="4"/>
    </row>
    <row r="803" ht="14.25" customHeight="1">
      <c r="A803" s="1" t="s">
        <v>722</v>
      </c>
      <c r="B803" s="1">
        <v>123.0</v>
      </c>
      <c r="C803" s="1">
        <v>9.14E7</v>
      </c>
      <c r="D803" s="1" t="s">
        <v>800</v>
      </c>
      <c r="E803" s="1" t="s">
        <v>717</v>
      </c>
      <c r="F803" s="1" t="s">
        <v>1875</v>
      </c>
      <c r="G803" s="1">
        <v>81026.0</v>
      </c>
      <c r="H803" s="1">
        <v>194.0</v>
      </c>
      <c r="I803" s="1" t="s">
        <v>16</v>
      </c>
      <c r="J803" s="1">
        <v>5.3E7</v>
      </c>
      <c r="K803" s="1">
        <v>1995.0</v>
      </c>
      <c r="L803" s="1">
        <v>7.3</v>
      </c>
      <c r="O803" s="3"/>
      <c r="S803" s="4"/>
    </row>
    <row r="804" ht="14.25" customHeight="1">
      <c r="A804" s="1" t="s">
        <v>1876</v>
      </c>
      <c r="B804" s="1">
        <v>117.0</v>
      </c>
      <c r="C804" s="1">
        <v>1.62586036E8</v>
      </c>
      <c r="D804" s="1" t="s">
        <v>646</v>
      </c>
      <c r="E804" s="1" t="s">
        <v>71</v>
      </c>
      <c r="F804" s="1" t="s">
        <v>1877</v>
      </c>
      <c r="G804" s="1">
        <v>338383.0</v>
      </c>
      <c r="H804" s="1">
        <v>611.0</v>
      </c>
      <c r="I804" s="1" t="s">
        <v>16</v>
      </c>
      <c r="J804" s="1">
        <v>5.5E7</v>
      </c>
      <c r="K804" s="1">
        <v>2006.0</v>
      </c>
      <c r="L804" s="1">
        <v>8.0</v>
      </c>
      <c r="O804" s="3"/>
      <c r="S804" s="4"/>
    </row>
    <row r="805" ht="14.25" customHeight="1">
      <c r="A805" s="1" t="s">
        <v>526</v>
      </c>
      <c r="B805" s="1">
        <v>98.0</v>
      </c>
      <c r="C805" s="1">
        <v>8.9706988E7</v>
      </c>
      <c r="D805" s="1" t="s">
        <v>806</v>
      </c>
      <c r="E805" s="1" t="s">
        <v>1878</v>
      </c>
      <c r="F805" s="1" t="s">
        <v>1879</v>
      </c>
      <c r="G805" s="1">
        <v>126746.0</v>
      </c>
      <c r="H805" s="1">
        <v>600.0</v>
      </c>
      <c r="I805" s="1" t="s">
        <v>16</v>
      </c>
      <c r="J805" s="1">
        <v>5.5E7</v>
      </c>
      <c r="K805" s="1">
        <v>2005.0</v>
      </c>
      <c r="L805" s="1">
        <v>6.2</v>
      </c>
      <c r="O805" s="3"/>
      <c r="S805" s="4"/>
    </row>
    <row r="806" ht="14.25" customHeight="1">
      <c r="A806" s="1" t="s">
        <v>1274</v>
      </c>
      <c r="B806" s="1">
        <v>128.0</v>
      </c>
      <c r="C806" s="1">
        <v>8.3E7</v>
      </c>
      <c r="D806" s="1" t="s">
        <v>1654</v>
      </c>
      <c r="E806" s="1" t="s">
        <v>573</v>
      </c>
      <c r="F806" s="1" t="s">
        <v>1880</v>
      </c>
      <c r="G806" s="1">
        <v>36587.0</v>
      </c>
      <c r="H806" s="1">
        <v>95.0</v>
      </c>
      <c r="I806" s="1" t="s">
        <v>16</v>
      </c>
      <c r="J806" s="1">
        <v>5.5E7</v>
      </c>
      <c r="K806" s="1">
        <v>1994.0</v>
      </c>
      <c r="L806" s="1">
        <v>6.0</v>
      </c>
      <c r="O806" s="3"/>
      <c r="S806" s="4"/>
    </row>
    <row r="807" ht="14.25" customHeight="1">
      <c r="A807" s="1" t="s">
        <v>781</v>
      </c>
      <c r="B807" s="1">
        <v>114.0</v>
      </c>
      <c r="C807" s="1">
        <v>7.8745923E7</v>
      </c>
      <c r="D807" s="1" t="s">
        <v>292</v>
      </c>
      <c r="E807" s="1" t="s">
        <v>301</v>
      </c>
      <c r="F807" s="1" t="s">
        <v>1881</v>
      </c>
      <c r="G807" s="1">
        <v>94407.0</v>
      </c>
      <c r="H807" s="1">
        <v>322.0</v>
      </c>
      <c r="I807" s="1" t="s">
        <v>16</v>
      </c>
      <c r="J807" s="1">
        <v>5.5E7</v>
      </c>
      <c r="K807" s="1">
        <v>1998.0</v>
      </c>
      <c r="L807" s="1">
        <v>6.7</v>
      </c>
      <c r="O807" s="3"/>
      <c r="S807" s="4"/>
    </row>
    <row r="808" ht="14.25" customHeight="1">
      <c r="A808" s="1" t="s">
        <v>734</v>
      </c>
      <c r="B808" s="1">
        <v>111.0</v>
      </c>
      <c r="C808" s="1">
        <v>7.0098138E7</v>
      </c>
      <c r="D808" s="1" t="s">
        <v>553</v>
      </c>
      <c r="E808" s="1" t="s">
        <v>1882</v>
      </c>
      <c r="F808" s="1" t="s">
        <v>1883</v>
      </c>
      <c r="G808" s="1">
        <v>735784.0</v>
      </c>
      <c r="H808" s="1">
        <v>2105.0</v>
      </c>
      <c r="I808" s="1" t="s">
        <v>16</v>
      </c>
      <c r="J808" s="1">
        <v>3.0E7</v>
      </c>
      <c r="K808" s="1">
        <v>2003.0</v>
      </c>
      <c r="L808" s="1">
        <v>8.1</v>
      </c>
      <c r="O808" s="3"/>
      <c r="S808" s="4"/>
    </row>
    <row r="809" ht="14.25" customHeight="1">
      <c r="A809" s="1" t="s">
        <v>820</v>
      </c>
      <c r="B809" s="1">
        <v>85.0</v>
      </c>
      <c r="C809" s="1">
        <v>6.636529E7</v>
      </c>
      <c r="D809" s="1" t="s">
        <v>828</v>
      </c>
      <c r="E809" s="1" t="s">
        <v>96</v>
      </c>
      <c r="F809" s="1" t="s">
        <v>1884</v>
      </c>
      <c r="G809" s="1">
        <v>56874.0</v>
      </c>
      <c r="H809" s="1">
        <v>358.0</v>
      </c>
      <c r="I809" s="1" t="s">
        <v>16</v>
      </c>
      <c r="J809" s="1">
        <v>5.5E7</v>
      </c>
      <c r="K809" s="1">
        <v>1999.0</v>
      </c>
      <c r="L809" s="1">
        <v>6.4</v>
      </c>
      <c r="O809" s="3"/>
      <c r="S809" s="4"/>
    </row>
    <row r="810" ht="14.25" customHeight="1">
      <c r="A810" s="1" t="s">
        <v>734</v>
      </c>
      <c r="B810" s="1">
        <v>137.0</v>
      </c>
      <c r="C810" s="1">
        <v>6.620792E7</v>
      </c>
      <c r="D810" s="1" t="s">
        <v>197</v>
      </c>
      <c r="E810" s="1" t="s">
        <v>272</v>
      </c>
      <c r="F810" s="1" t="s">
        <v>1885</v>
      </c>
      <c r="G810" s="1">
        <v>512749.0</v>
      </c>
      <c r="H810" s="1">
        <v>935.0</v>
      </c>
      <c r="I810" s="1" t="s">
        <v>16</v>
      </c>
      <c r="J810" s="1">
        <v>3.0E7</v>
      </c>
      <c r="K810" s="1">
        <v>2004.0</v>
      </c>
      <c r="L810" s="1">
        <v>8.0</v>
      </c>
      <c r="O810" s="3"/>
      <c r="S810" s="4"/>
    </row>
    <row r="811" ht="14.25" customHeight="1">
      <c r="A811" s="1" t="s">
        <v>968</v>
      </c>
      <c r="B811" s="1">
        <v>97.0</v>
      </c>
      <c r="C811" s="1">
        <v>6.3408614E7</v>
      </c>
      <c r="D811" s="1" t="s">
        <v>180</v>
      </c>
      <c r="E811" s="1" t="s">
        <v>1061</v>
      </c>
      <c r="F811" s="1" t="s">
        <v>1886</v>
      </c>
      <c r="G811" s="1">
        <v>75365.0</v>
      </c>
      <c r="H811" s="1">
        <v>149.0</v>
      </c>
      <c r="I811" s="1" t="s">
        <v>16</v>
      </c>
      <c r="J811" s="1">
        <v>5.5E7</v>
      </c>
      <c r="K811" s="1">
        <v>1989.0</v>
      </c>
      <c r="L811" s="1">
        <v>6.3</v>
      </c>
      <c r="O811" s="3"/>
      <c r="S811" s="4"/>
    </row>
    <row r="812" ht="14.25" customHeight="1">
      <c r="A812" s="1" t="s">
        <v>186</v>
      </c>
      <c r="B812" s="1">
        <v>104.0</v>
      </c>
      <c r="C812" s="1">
        <v>5.842265E7</v>
      </c>
      <c r="D812" s="1" t="s">
        <v>375</v>
      </c>
      <c r="E812" s="1" t="s">
        <v>415</v>
      </c>
      <c r="F812" s="1" t="s">
        <v>1887</v>
      </c>
      <c r="G812" s="1">
        <v>78974.0</v>
      </c>
      <c r="H812" s="1">
        <v>173.0</v>
      </c>
      <c r="I812" s="1" t="s">
        <v>16</v>
      </c>
      <c r="J812" s="1">
        <v>5.5E7</v>
      </c>
      <c r="K812" s="1">
        <v>1992.0</v>
      </c>
      <c r="L812" s="1">
        <v>6.4</v>
      </c>
      <c r="O812" s="3"/>
      <c r="S812" s="4"/>
    </row>
    <row r="813" ht="14.25" customHeight="1">
      <c r="A813" s="1" t="s">
        <v>1888</v>
      </c>
      <c r="B813" s="1">
        <v>110.0</v>
      </c>
      <c r="C813" s="1">
        <v>5.6932305E7</v>
      </c>
      <c r="D813" s="1" t="s">
        <v>1889</v>
      </c>
      <c r="E813" s="1" t="s">
        <v>1890</v>
      </c>
      <c r="F813" s="1" t="s">
        <v>1891</v>
      </c>
      <c r="G813" s="1">
        <v>96690.0</v>
      </c>
      <c r="H813" s="1">
        <v>293.0</v>
      </c>
      <c r="I813" s="1" t="s">
        <v>16</v>
      </c>
      <c r="J813" s="1">
        <v>5.5E7</v>
      </c>
      <c r="K813" s="1">
        <v>2000.0</v>
      </c>
      <c r="L813" s="1">
        <v>6.6</v>
      </c>
      <c r="O813" s="3"/>
      <c r="S813" s="4"/>
    </row>
    <row r="814" ht="14.25" customHeight="1">
      <c r="A814" s="1" t="s">
        <v>1734</v>
      </c>
      <c r="B814" s="1">
        <v>133.0</v>
      </c>
      <c r="C814" s="1">
        <v>6.875E7</v>
      </c>
      <c r="D814" s="1" t="s">
        <v>22</v>
      </c>
      <c r="E814" s="1" t="s">
        <v>184</v>
      </c>
      <c r="F814" s="1" t="s">
        <v>1892</v>
      </c>
      <c r="G814" s="1">
        <v>40858.0</v>
      </c>
      <c r="H814" s="1">
        <v>144.0</v>
      </c>
      <c r="I814" s="1" t="s">
        <v>16</v>
      </c>
      <c r="J814" s="1">
        <v>5.5E7</v>
      </c>
      <c r="K814" s="1">
        <v>1996.0</v>
      </c>
      <c r="L814" s="1">
        <v>6.4</v>
      </c>
      <c r="O814" s="3"/>
      <c r="S814" s="4"/>
    </row>
    <row r="815" ht="14.25" customHeight="1">
      <c r="A815" s="1" t="s">
        <v>863</v>
      </c>
      <c r="B815" s="1">
        <v>94.0</v>
      </c>
      <c r="C815" s="1">
        <v>6.8218041E7</v>
      </c>
      <c r="D815" s="1" t="s">
        <v>222</v>
      </c>
      <c r="E815" s="1" t="s">
        <v>1893</v>
      </c>
      <c r="F815" s="1" t="s">
        <v>1894</v>
      </c>
      <c r="G815" s="1">
        <v>67191.0</v>
      </c>
      <c r="H815" s="1">
        <v>108.0</v>
      </c>
      <c r="I815" s="1" t="s">
        <v>16</v>
      </c>
      <c r="J815" s="1">
        <v>5.5E7</v>
      </c>
      <c r="K815" s="1">
        <v>2011.0</v>
      </c>
      <c r="L815" s="1">
        <v>6.0</v>
      </c>
      <c r="O815" s="3"/>
      <c r="S815" s="4"/>
    </row>
    <row r="816" ht="14.25" customHeight="1">
      <c r="A816" s="1" t="s">
        <v>401</v>
      </c>
      <c r="B816" s="1">
        <v>104.0</v>
      </c>
      <c r="C816" s="1">
        <v>2.5040293E7</v>
      </c>
      <c r="D816" s="1" t="s">
        <v>18</v>
      </c>
      <c r="E816" s="1" t="s">
        <v>216</v>
      </c>
      <c r="F816" s="1" t="s">
        <v>1895</v>
      </c>
      <c r="G816" s="1">
        <v>88049.0</v>
      </c>
      <c r="H816" s="1">
        <v>279.0</v>
      </c>
      <c r="I816" s="1" t="s">
        <v>16</v>
      </c>
      <c r="J816" s="1">
        <v>5.5E7</v>
      </c>
      <c r="K816" s="1">
        <v>2008.0</v>
      </c>
      <c r="L816" s="1">
        <v>6.6</v>
      </c>
      <c r="O816" s="3"/>
      <c r="S816" s="4"/>
    </row>
    <row r="817" ht="14.25" customHeight="1">
      <c r="A817" s="1" t="s">
        <v>1896</v>
      </c>
      <c r="B817" s="1">
        <v>91.0</v>
      </c>
      <c r="C817" s="1">
        <v>5.5747724E7</v>
      </c>
      <c r="D817" s="1" t="s">
        <v>200</v>
      </c>
      <c r="E817" s="1" t="s">
        <v>204</v>
      </c>
      <c r="F817" s="1" t="s">
        <v>1897</v>
      </c>
      <c r="G817" s="1">
        <v>18042.0</v>
      </c>
      <c r="H817" s="1">
        <v>73.0</v>
      </c>
      <c r="I817" s="1" t="s">
        <v>16</v>
      </c>
      <c r="J817" s="1">
        <v>5.5E7</v>
      </c>
      <c r="K817" s="1">
        <v>2013.0</v>
      </c>
      <c r="L817" s="1">
        <v>5.9</v>
      </c>
      <c r="O817" s="3"/>
      <c r="S817" s="4"/>
    </row>
    <row r="818" ht="14.25" customHeight="1">
      <c r="A818" s="1" t="s">
        <v>291</v>
      </c>
      <c r="B818" s="1">
        <v>145.0</v>
      </c>
      <c r="C818" s="1">
        <v>5.54736E7</v>
      </c>
      <c r="D818" s="1" t="s">
        <v>1701</v>
      </c>
      <c r="E818" s="1" t="s">
        <v>1898</v>
      </c>
      <c r="F818" s="1" t="s">
        <v>1899</v>
      </c>
      <c r="G818" s="1">
        <v>207686.0</v>
      </c>
      <c r="H818" s="1">
        <v>776.0</v>
      </c>
      <c r="I818" s="1" t="s">
        <v>16</v>
      </c>
      <c r="J818" s="1">
        <v>5.0E7</v>
      </c>
      <c r="K818" s="1">
        <v>1992.0</v>
      </c>
      <c r="L818" s="1">
        <v>6.4</v>
      </c>
      <c r="O818" s="3"/>
      <c r="S818" s="4"/>
    </row>
    <row r="819" ht="14.25" customHeight="1">
      <c r="A819" s="1" t="s">
        <v>1900</v>
      </c>
      <c r="B819" s="1">
        <v>135.0</v>
      </c>
      <c r="C819" s="1">
        <v>4.9994804E7</v>
      </c>
      <c r="D819" s="1" t="s">
        <v>1901</v>
      </c>
      <c r="E819" s="1" t="s">
        <v>1902</v>
      </c>
      <c r="F819" s="1" t="s">
        <v>1903</v>
      </c>
      <c r="G819" s="1">
        <v>29205.0</v>
      </c>
      <c r="H819" s="1">
        <v>194.0</v>
      </c>
      <c r="I819" s="1" t="s">
        <v>16</v>
      </c>
      <c r="J819" s="1">
        <v>5.5E7</v>
      </c>
      <c r="K819" s="1">
        <v>1996.0</v>
      </c>
      <c r="L819" s="1">
        <v>6.3</v>
      </c>
      <c r="O819" s="3"/>
      <c r="S819" s="4"/>
    </row>
    <row r="820" ht="14.25" customHeight="1">
      <c r="A820" s="1" t="s">
        <v>1904</v>
      </c>
      <c r="B820" s="1">
        <v>122.0</v>
      </c>
      <c r="C820" s="1">
        <v>4.1609593E7</v>
      </c>
      <c r="D820" s="1" t="s">
        <v>1362</v>
      </c>
      <c r="E820" s="1" t="s">
        <v>725</v>
      </c>
      <c r="F820" s="1" t="s">
        <v>1905</v>
      </c>
      <c r="G820" s="1">
        <v>145422.0</v>
      </c>
      <c r="H820" s="1">
        <v>572.0</v>
      </c>
      <c r="I820" s="1" t="s">
        <v>16</v>
      </c>
      <c r="J820" s="1">
        <v>5.5E7</v>
      </c>
      <c r="K820" s="1">
        <v>1998.0</v>
      </c>
      <c r="L820" s="1">
        <v>7.3</v>
      </c>
      <c r="O820" s="3"/>
      <c r="S820" s="4"/>
    </row>
    <row r="821" ht="14.25" customHeight="1">
      <c r="A821" s="1" t="s">
        <v>1127</v>
      </c>
      <c r="B821" s="1">
        <v>110.0</v>
      </c>
      <c r="C821" s="1">
        <v>3.8553833E7</v>
      </c>
      <c r="D821" s="1" t="s">
        <v>1906</v>
      </c>
      <c r="E821" s="1" t="s">
        <v>1907</v>
      </c>
      <c r="F821" s="1" t="s">
        <v>1908</v>
      </c>
      <c r="G821" s="1">
        <v>46239.0</v>
      </c>
      <c r="H821" s="1">
        <v>155.0</v>
      </c>
      <c r="I821" s="1" t="s">
        <v>16</v>
      </c>
      <c r="J821" s="1">
        <v>5.5E7</v>
      </c>
      <c r="K821" s="1">
        <v>1996.0</v>
      </c>
      <c r="L821" s="1">
        <v>6.8</v>
      </c>
      <c r="O821" s="3"/>
      <c r="S821" s="4"/>
    </row>
    <row r="822" ht="14.25" customHeight="1">
      <c r="A822" s="1" t="s">
        <v>1909</v>
      </c>
      <c r="B822" s="1">
        <v>95.0</v>
      </c>
      <c r="C822" s="1">
        <v>7.6137505E7</v>
      </c>
      <c r="D822" s="1" t="s">
        <v>337</v>
      </c>
      <c r="E822" s="1" t="s">
        <v>1910</v>
      </c>
      <c r="F822" s="1" t="s">
        <v>1911</v>
      </c>
      <c r="G822" s="1">
        <v>49207.0</v>
      </c>
      <c r="H822" s="1">
        <v>174.0</v>
      </c>
      <c r="I822" s="1" t="s">
        <v>16</v>
      </c>
      <c r="J822" s="1">
        <v>5.5E7</v>
      </c>
      <c r="K822" s="1">
        <v>2014.0</v>
      </c>
      <c r="L822" s="1">
        <v>7.2</v>
      </c>
      <c r="O822" s="3"/>
      <c r="S822" s="4"/>
    </row>
    <row r="823" ht="14.25" customHeight="1">
      <c r="A823" s="1" t="s">
        <v>1912</v>
      </c>
      <c r="B823" s="1">
        <v>102.0</v>
      </c>
      <c r="C823" s="1">
        <v>3.4350553E7</v>
      </c>
      <c r="D823" s="1" t="s">
        <v>797</v>
      </c>
      <c r="E823" s="1" t="s">
        <v>890</v>
      </c>
      <c r="F823" s="1" t="s">
        <v>1913</v>
      </c>
      <c r="G823" s="1">
        <v>104066.0</v>
      </c>
      <c r="H823" s="1">
        <v>207.0</v>
      </c>
      <c r="I823" s="1" t="s">
        <v>16</v>
      </c>
      <c r="J823" s="1">
        <v>6.8E7</v>
      </c>
      <c r="K823" s="1">
        <v>2012.0</v>
      </c>
      <c r="L823" s="1">
        <v>5.7</v>
      </c>
      <c r="O823" s="3"/>
      <c r="S823" s="4"/>
    </row>
    <row r="824" ht="14.25" customHeight="1">
      <c r="A824" s="1" t="s">
        <v>1914</v>
      </c>
      <c r="B824" s="1">
        <v>94.0</v>
      </c>
      <c r="C824" s="1">
        <v>3.4238611E7</v>
      </c>
      <c r="D824" s="1" t="s">
        <v>197</v>
      </c>
      <c r="E824" s="1" t="s">
        <v>1295</v>
      </c>
      <c r="F824" s="1" t="s">
        <v>1915</v>
      </c>
      <c r="G824" s="1">
        <v>35830.0</v>
      </c>
      <c r="H824" s="1">
        <v>321.0</v>
      </c>
      <c r="I824" s="1" t="s">
        <v>16</v>
      </c>
      <c r="J824" s="1">
        <v>5.5E7</v>
      </c>
      <c r="K824" s="1">
        <v>2003.0</v>
      </c>
      <c r="L824" s="1">
        <v>6.0</v>
      </c>
      <c r="O824" s="3"/>
      <c r="S824" s="4"/>
    </row>
    <row r="825" ht="14.25" customHeight="1">
      <c r="A825" s="1" t="s">
        <v>300</v>
      </c>
      <c r="B825" s="1">
        <v>126.0</v>
      </c>
      <c r="C825" s="1">
        <v>3.4098563E7</v>
      </c>
      <c r="D825" s="1" t="s">
        <v>1654</v>
      </c>
      <c r="E825" s="1" t="s">
        <v>326</v>
      </c>
      <c r="F825" s="1" t="s">
        <v>1916</v>
      </c>
      <c r="G825" s="1">
        <v>27191.0</v>
      </c>
      <c r="H825" s="1">
        <v>232.0</v>
      </c>
      <c r="I825" s="1" t="s">
        <v>16</v>
      </c>
      <c r="J825" s="1">
        <v>5.5E7</v>
      </c>
      <c r="K825" s="1">
        <v>1999.0</v>
      </c>
      <c r="L825" s="1">
        <v>6.5</v>
      </c>
      <c r="O825" s="3"/>
      <c r="S825" s="4"/>
    </row>
    <row r="826" ht="14.25" customHeight="1">
      <c r="A826" s="1" t="s">
        <v>1428</v>
      </c>
      <c r="B826" s="1">
        <v>118.0</v>
      </c>
      <c r="C826" s="1">
        <v>3.3828318E7</v>
      </c>
      <c r="D826" s="1" t="s">
        <v>828</v>
      </c>
      <c r="E826" s="1" t="s">
        <v>486</v>
      </c>
      <c r="F826" s="1" t="s">
        <v>1917</v>
      </c>
      <c r="G826" s="1">
        <v>44453.0</v>
      </c>
      <c r="H826" s="1">
        <v>154.0</v>
      </c>
      <c r="I826" s="1" t="s">
        <v>16</v>
      </c>
      <c r="J826" s="1">
        <v>5.5E7</v>
      </c>
      <c r="K826" s="1">
        <v>2003.0</v>
      </c>
      <c r="L826" s="1">
        <v>5.8</v>
      </c>
      <c r="O826" s="3"/>
      <c r="S826" s="4"/>
    </row>
    <row r="827" ht="14.25" customHeight="1">
      <c r="A827" s="1" t="s">
        <v>1918</v>
      </c>
      <c r="B827" s="1">
        <v>99.0</v>
      </c>
      <c r="C827" s="1">
        <v>3.347285E7</v>
      </c>
      <c r="D827" s="1" t="s">
        <v>1592</v>
      </c>
      <c r="E827" s="1" t="s">
        <v>783</v>
      </c>
      <c r="F827" s="1" t="s">
        <v>1919</v>
      </c>
      <c r="G827" s="1">
        <v>67005.0</v>
      </c>
      <c r="H827" s="1">
        <v>119.0</v>
      </c>
      <c r="I827" s="1" t="s">
        <v>16</v>
      </c>
      <c r="J827" s="1">
        <v>5.5E7</v>
      </c>
      <c r="K827" s="1">
        <v>2008.0</v>
      </c>
      <c r="L827" s="1">
        <v>5.8</v>
      </c>
      <c r="O827" s="3"/>
      <c r="S827" s="4"/>
    </row>
    <row r="828" ht="14.25" customHeight="1">
      <c r="A828" s="1" t="s">
        <v>1920</v>
      </c>
      <c r="B828" s="1">
        <v>88.0</v>
      </c>
      <c r="C828" s="1">
        <v>3.1051126E7</v>
      </c>
      <c r="D828" s="1" t="s">
        <v>200</v>
      </c>
      <c r="E828" s="1" t="s">
        <v>500</v>
      </c>
      <c r="F828" s="1" t="s">
        <v>1921</v>
      </c>
      <c r="G828" s="1">
        <v>36877.0</v>
      </c>
      <c r="H828" s="1">
        <v>101.0</v>
      </c>
      <c r="I828" s="1" t="s">
        <v>16</v>
      </c>
      <c r="J828" s="1">
        <v>5.5E7</v>
      </c>
      <c r="K828" s="1">
        <v>2012.0</v>
      </c>
      <c r="L828" s="1">
        <v>6.7</v>
      </c>
      <c r="O828" s="3"/>
      <c r="S828" s="4"/>
    </row>
    <row r="829" ht="14.25" customHeight="1">
      <c r="A829" s="1" t="s">
        <v>1506</v>
      </c>
      <c r="B829" s="1">
        <v>141.0</v>
      </c>
      <c r="C829" s="1">
        <v>3.5707327E7</v>
      </c>
      <c r="D829" s="1" t="s">
        <v>909</v>
      </c>
      <c r="E829" s="1" t="s">
        <v>245</v>
      </c>
      <c r="F829" s="1" t="s">
        <v>1922</v>
      </c>
      <c r="G829" s="1">
        <v>199056.0</v>
      </c>
      <c r="H829" s="1">
        <v>387.0</v>
      </c>
      <c r="I829" s="1" t="s">
        <v>16</v>
      </c>
      <c r="J829" s="1">
        <v>5.5E7</v>
      </c>
      <c r="K829" s="1">
        <v>2008.0</v>
      </c>
      <c r="L829" s="1">
        <v>7.8</v>
      </c>
      <c r="O829" s="3"/>
      <c r="S829" s="4"/>
    </row>
    <row r="830" ht="14.25" customHeight="1">
      <c r="A830" s="1" t="s">
        <v>1023</v>
      </c>
      <c r="B830" s="1">
        <v>107.0</v>
      </c>
      <c r="C830" s="1">
        <v>2.0550712E7</v>
      </c>
      <c r="D830" s="1" t="s">
        <v>581</v>
      </c>
      <c r="E830" s="1" t="s">
        <v>252</v>
      </c>
      <c r="F830" s="1" t="s">
        <v>1923</v>
      </c>
      <c r="G830" s="1">
        <v>40346.0</v>
      </c>
      <c r="H830" s="1">
        <v>95.0</v>
      </c>
      <c r="I830" s="1" t="s">
        <v>16</v>
      </c>
      <c r="J830" s="1">
        <v>5.0E7</v>
      </c>
      <c r="K830" s="1">
        <v>1996.0</v>
      </c>
      <c r="L830" s="1">
        <v>5.6</v>
      </c>
      <c r="O830" s="3"/>
      <c r="S830" s="4"/>
    </row>
    <row r="831" ht="14.25" customHeight="1">
      <c r="A831" s="1" t="s">
        <v>722</v>
      </c>
      <c r="B831" s="1">
        <v>116.0</v>
      </c>
      <c r="C831" s="1">
        <v>1.8573791E7</v>
      </c>
      <c r="D831" s="1" t="s">
        <v>1924</v>
      </c>
      <c r="E831" s="1" t="s">
        <v>725</v>
      </c>
      <c r="F831" s="1" t="s">
        <v>1925</v>
      </c>
      <c r="G831" s="1">
        <v>38533.0</v>
      </c>
      <c r="H831" s="1">
        <v>89.0</v>
      </c>
      <c r="I831" s="1" t="s">
        <v>16</v>
      </c>
      <c r="J831" s="1">
        <v>5.5E7</v>
      </c>
      <c r="K831" s="1">
        <v>1996.0</v>
      </c>
      <c r="L831" s="1">
        <v>5.8</v>
      </c>
      <c r="O831" s="3"/>
      <c r="S831" s="4"/>
    </row>
    <row r="832" ht="14.25" customHeight="1">
      <c r="A832" s="1" t="s">
        <v>552</v>
      </c>
      <c r="B832" s="1">
        <v>143.0</v>
      </c>
      <c r="C832" s="1">
        <v>5.1225796E7</v>
      </c>
      <c r="D832" s="1" t="s">
        <v>1926</v>
      </c>
      <c r="E832" s="1" t="s">
        <v>275</v>
      </c>
      <c r="F832" s="1" t="s">
        <v>1927</v>
      </c>
      <c r="G832" s="1">
        <v>96654.0</v>
      </c>
      <c r="H832" s="1">
        <v>2047.0</v>
      </c>
      <c r="I832" s="1" t="s">
        <v>16</v>
      </c>
      <c r="J832" s="1">
        <v>7.0E7</v>
      </c>
      <c r="K832" s="1">
        <v>2004.0</v>
      </c>
      <c r="L832" s="1">
        <v>7.4</v>
      </c>
      <c r="O832" s="3"/>
      <c r="S832" s="4"/>
    </row>
    <row r="833" ht="14.25" customHeight="1">
      <c r="A833" s="1" t="s">
        <v>1928</v>
      </c>
      <c r="B833" s="1">
        <v>114.0</v>
      </c>
      <c r="C833" s="1">
        <v>1.6264475E7</v>
      </c>
      <c r="D833" s="1" t="s">
        <v>1323</v>
      </c>
      <c r="E833" s="1" t="s">
        <v>1929</v>
      </c>
      <c r="F833" s="1" t="s">
        <v>1930</v>
      </c>
      <c r="G833" s="1">
        <v>54787.0</v>
      </c>
      <c r="H833" s="1">
        <v>216.0</v>
      </c>
      <c r="I833" s="1" t="s">
        <v>16</v>
      </c>
      <c r="J833" s="1">
        <v>5.5E7</v>
      </c>
      <c r="K833" s="1">
        <v>2007.0</v>
      </c>
      <c r="L833" s="1">
        <v>6.9</v>
      </c>
      <c r="O833" s="3"/>
      <c r="S833" s="4"/>
    </row>
    <row r="834" ht="14.25" customHeight="1">
      <c r="A834" s="1" t="s">
        <v>1931</v>
      </c>
      <c r="B834" s="1">
        <v>93.0</v>
      </c>
      <c r="C834" s="1">
        <v>2.5857987E7</v>
      </c>
      <c r="D834" s="1" t="s">
        <v>278</v>
      </c>
      <c r="E834" s="1" t="s">
        <v>1139</v>
      </c>
      <c r="F834" s="1" t="s">
        <v>1932</v>
      </c>
      <c r="G834" s="1">
        <v>110614.0</v>
      </c>
      <c r="H834" s="1">
        <v>532.0</v>
      </c>
      <c r="I834" s="1" t="s">
        <v>16</v>
      </c>
      <c r="J834" s="1">
        <v>6.2E7</v>
      </c>
      <c r="K834" s="1">
        <v>2005.0</v>
      </c>
      <c r="L834" s="1">
        <v>5.5</v>
      </c>
      <c r="O834" s="3"/>
      <c r="S834" s="4"/>
    </row>
    <row r="835" ht="14.25" customHeight="1">
      <c r="A835" s="1" t="s">
        <v>1933</v>
      </c>
      <c r="B835" s="1">
        <v>280.0</v>
      </c>
      <c r="C835" s="1">
        <v>1.2870569E7</v>
      </c>
      <c r="D835" s="1" t="s">
        <v>824</v>
      </c>
      <c r="E835" s="1" t="s">
        <v>1934</v>
      </c>
      <c r="F835" s="1" t="s">
        <v>1935</v>
      </c>
      <c r="G835" s="1">
        <v>13215.0</v>
      </c>
      <c r="H835" s="1">
        <v>497.0</v>
      </c>
      <c r="I835" s="1" t="s">
        <v>16</v>
      </c>
      <c r="J835" s="1">
        <v>5.6E7</v>
      </c>
      <c r="K835" s="1">
        <v>2003.0</v>
      </c>
      <c r="L835" s="1">
        <v>6.3</v>
      </c>
      <c r="O835" s="3"/>
      <c r="S835" s="4"/>
    </row>
    <row r="836" ht="14.25" customHeight="1">
      <c r="A836" s="1" t="s">
        <v>1936</v>
      </c>
      <c r="B836" s="1">
        <v>100.0</v>
      </c>
      <c r="C836" s="1">
        <v>1.1466088E7</v>
      </c>
      <c r="D836" s="1" t="s">
        <v>26</v>
      </c>
      <c r="E836" s="1" t="s">
        <v>1937</v>
      </c>
      <c r="F836" s="1" t="s">
        <v>1938</v>
      </c>
      <c r="G836" s="1">
        <v>8983.0</v>
      </c>
      <c r="H836" s="1">
        <v>84.0</v>
      </c>
      <c r="I836" s="1" t="s">
        <v>16</v>
      </c>
      <c r="J836" s="1">
        <v>7.1E7</v>
      </c>
      <c r="K836" s="1">
        <v>1997.0</v>
      </c>
      <c r="L836" s="1">
        <v>4.7</v>
      </c>
      <c r="O836" s="3"/>
      <c r="S836" s="4"/>
    </row>
    <row r="837" ht="14.25" customHeight="1">
      <c r="A837" s="1" t="s">
        <v>1939</v>
      </c>
      <c r="B837" s="1">
        <v>107.0</v>
      </c>
      <c r="C837" s="1">
        <v>1.608861E7</v>
      </c>
      <c r="D837" s="1" t="s">
        <v>1940</v>
      </c>
      <c r="E837" s="1" t="s">
        <v>1941</v>
      </c>
      <c r="F837" s="1" t="s">
        <v>1942</v>
      </c>
      <c r="G837" s="1">
        <v>10417.0</v>
      </c>
      <c r="H837" s="1">
        <v>39.0</v>
      </c>
      <c r="I837" s="1" t="s">
        <v>16</v>
      </c>
      <c r="J837" s="1">
        <v>5.5E7</v>
      </c>
      <c r="K837" s="1">
        <v>2009.0</v>
      </c>
      <c r="L837" s="1">
        <v>5.6</v>
      </c>
      <c r="O837" s="3"/>
      <c r="S837" s="4"/>
    </row>
    <row r="838" ht="14.25" customHeight="1">
      <c r="A838" s="1" t="s">
        <v>306</v>
      </c>
      <c r="B838" s="1">
        <v>119.0</v>
      </c>
      <c r="C838" s="1">
        <v>5.1178893E7</v>
      </c>
      <c r="D838" s="1" t="s">
        <v>1943</v>
      </c>
      <c r="E838" s="1" t="s">
        <v>402</v>
      </c>
      <c r="F838" s="1" t="s">
        <v>1944</v>
      </c>
      <c r="G838" s="1">
        <v>24285.0</v>
      </c>
      <c r="H838" s="1">
        <v>110.0</v>
      </c>
      <c r="I838" s="1" t="s">
        <v>16</v>
      </c>
      <c r="J838" s="1">
        <v>5.0E7</v>
      </c>
      <c r="K838" s="1">
        <v>2014.0</v>
      </c>
      <c r="L838" s="1">
        <v>6.4</v>
      </c>
      <c r="O838" s="3"/>
      <c r="S838" s="4"/>
    </row>
    <row r="839" ht="14.25" customHeight="1">
      <c r="A839" s="1" t="s">
        <v>1376</v>
      </c>
      <c r="B839" s="1">
        <v>95.0</v>
      </c>
      <c r="C839" s="1">
        <v>6768055.0</v>
      </c>
      <c r="D839" s="1" t="s">
        <v>1242</v>
      </c>
      <c r="E839" s="1" t="s">
        <v>1945</v>
      </c>
      <c r="F839" s="1" t="s">
        <v>1946</v>
      </c>
      <c r="G839" s="1">
        <v>11148.0</v>
      </c>
      <c r="H839" s="1">
        <v>229.0</v>
      </c>
      <c r="I839" s="1" t="s">
        <v>16</v>
      </c>
      <c r="J839" s="1">
        <v>5.7E7</v>
      </c>
      <c r="K839" s="1">
        <v>2004.0</v>
      </c>
      <c r="L839" s="1">
        <v>4.2</v>
      </c>
      <c r="O839" s="3"/>
      <c r="S839" s="4"/>
    </row>
    <row r="840" ht="14.25" customHeight="1">
      <c r="A840" s="1" t="s">
        <v>1947</v>
      </c>
      <c r="B840" s="1">
        <v>119.0</v>
      </c>
      <c r="C840" s="1">
        <v>3.9440655E7</v>
      </c>
      <c r="D840" s="1" t="s">
        <v>1948</v>
      </c>
      <c r="E840" s="1" t="s">
        <v>1600</v>
      </c>
      <c r="F840" s="1" t="s">
        <v>1949</v>
      </c>
      <c r="G840" s="1">
        <v>61680.0</v>
      </c>
      <c r="H840" s="1">
        <v>222.0</v>
      </c>
      <c r="I840" s="1" t="s">
        <v>16</v>
      </c>
      <c r="J840" s="1">
        <v>5.5E7</v>
      </c>
      <c r="K840" s="1">
        <v>2010.0</v>
      </c>
      <c r="L840" s="1">
        <v>6.4</v>
      </c>
      <c r="O840" s="3"/>
      <c r="S840" s="4"/>
    </row>
    <row r="841" ht="14.25" customHeight="1">
      <c r="A841" s="1" t="s">
        <v>1700</v>
      </c>
      <c r="B841" s="1">
        <v>133.0</v>
      </c>
      <c r="C841" s="1">
        <v>6167817.0</v>
      </c>
      <c r="D841" s="1" t="s">
        <v>1950</v>
      </c>
      <c r="E841" s="1" t="s">
        <v>1951</v>
      </c>
      <c r="F841" s="1" t="s">
        <v>1952</v>
      </c>
      <c r="G841" s="1">
        <v>62607.0</v>
      </c>
      <c r="H841" s="1">
        <v>239.0</v>
      </c>
      <c r="I841" s="1" t="s">
        <v>1189</v>
      </c>
      <c r="J841" s="1">
        <v>4.7E7</v>
      </c>
      <c r="K841" s="1">
        <v>2004.0</v>
      </c>
      <c r="L841" s="1">
        <v>7.7</v>
      </c>
      <c r="O841" s="3"/>
      <c r="S841" s="4"/>
    </row>
    <row r="842" ht="14.25" customHeight="1">
      <c r="A842" s="1" t="s">
        <v>164</v>
      </c>
      <c r="B842" s="1">
        <v>117.0</v>
      </c>
      <c r="C842" s="1">
        <v>8.1645152E7</v>
      </c>
      <c r="D842" s="1" t="s">
        <v>934</v>
      </c>
      <c r="E842" s="1" t="s">
        <v>1953</v>
      </c>
      <c r="F842" s="1" t="s">
        <v>1954</v>
      </c>
      <c r="G842" s="1">
        <v>158267.0</v>
      </c>
      <c r="H842" s="1">
        <v>559.0</v>
      </c>
      <c r="I842" s="1" t="s">
        <v>16</v>
      </c>
      <c r="J842" s="1">
        <v>5.4E7</v>
      </c>
      <c r="K842" s="1">
        <v>2002.0</v>
      </c>
      <c r="L842" s="1">
        <v>6.7</v>
      </c>
      <c r="O842" s="3"/>
      <c r="S842" s="4"/>
    </row>
    <row r="843" ht="14.25" customHeight="1">
      <c r="A843" s="1" t="s">
        <v>1876</v>
      </c>
      <c r="B843" s="1">
        <v>123.0</v>
      </c>
      <c r="C843" s="1">
        <v>6.9951824E7</v>
      </c>
      <c r="D843" s="1" t="s">
        <v>92</v>
      </c>
      <c r="E843" s="1" t="s">
        <v>71</v>
      </c>
      <c r="F843" s="1" t="s">
        <v>1955</v>
      </c>
      <c r="G843" s="1">
        <v>232710.0</v>
      </c>
      <c r="H843" s="1">
        <v>599.0</v>
      </c>
      <c r="I843" s="1" t="s">
        <v>16</v>
      </c>
      <c r="J843" s="1">
        <v>5.5E7</v>
      </c>
      <c r="K843" s="1">
        <v>2008.0</v>
      </c>
      <c r="L843" s="1">
        <v>7.7</v>
      </c>
      <c r="O843" s="3"/>
      <c r="S843" s="4"/>
    </row>
    <row r="844" ht="14.25" customHeight="1">
      <c r="A844" s="1" t="s">
        <v>1776</v>
      </c>
      <c r="B844" s="1">
        <v>92.0</v>
      </c>
      <c r="C844" s="1">
        <v>9483821.0</v>
      </c>
      <c r="D844" s="1" t="s">
        <v>26</v>
      </c>
      <c r="E844" s="1" t="s">
        <v>1061</v>
      </c>
      <c r="F844" s="1" t="s">
        <v>1956</v>
      </c>
      <c r="G844" s="1">
        <v>39247.0</v>
      </c>
      <c r="H844" s="1">
        <v>131.0</v>
      </c>
      <c r="I844" s="1" t="s">
        <v>16</v>
      </c>
      <c r="J844" s="1">
        <v>5.5E7</v>
      </c>
      <c r="K844" s="1">
        <v>2012.0</v>
      </c>
      <c r="L844" s="1">
        <v>5.7</v>
      </c>
      <c r="O844" s="3"/>
      <c r="S844" s="4"/>
    </row>
    <row r="845" ht="14.25" customHeight="1">
      <c r="A845" s="1" t="s">
        <v>1957</v>
      </c>
      <c r="B845" s="1">
        <v>170.0</v>
      </c>
      <c r="C845" s="1">
        <v>6.6676062E7</v>
      </c>
      <c r="D845" s="1" t="s">
        <v>811</v>
      </c>
      <c r="E845" s="1" t="s">
        <v>1002</v>
      </c>
      <c r="F845" s="1" t="s">
        <v>1958</v>
      </c>
      <c r="G845" s="1">
        <v>267980.0</v>
      </c>
      <c r="H845" s="1">
        <v>545.0</v>
      </c>
      <c r="I845" s="1" t="s">
        <v>16</v>
      </c>
      <c r="J845" s="1">
        <v>5.4E7</v>
      </c>
      <c r="K845" s="1">
        <v>1990.0</v>
      </c>
      <c r="L845" s="1">
        <v>7.6</v>
      </c>
      <c r="O845" s="3"/>
      <c r="S845" s="4"/>
    </row>
    <row r="846" ht="14.25" customHeight="1">
      <c r="A846" s="1" t="s">
        <v>1364</v>
      </c>
      <c r="B846" s="1">
        <v>123.0</v>
      </c>
      <c r="C846" s="1">
        <v>2.6838389E7</v>
      </c>
      <c r="D846" s="1" t="s">
        <v>593</v>
      </c>
      <c r="E846" s="1" t="s">
        <v>849</v>
      </c>
      <c r="F846" s="1" t="s">
        <v>1959</v>
      </c>
      <c r="G846" s="1">
        <v>58658.0</v>
      </c>
      <c r="H846" s="1">
        <v>495.0</v>
      </c>
      <c r="I846" s="1" t="s">
        <v>16</v>
      </c>
      <c r="J846" s="1">
        <v>5.7E7</v>
      </c>
      <c r="K846" s="1">
        <v>2005.0</v>
      </c>
      <c r="L846" s="1">
        <v>6.4</v>
      </c>
      <c r="O846" s="3"/>
      <c r="S846" s="4"/>
    </row>
    <row r="847" ht="14.25" customHeight="1">
      <c r="A847" s="1" t="s">
        <v>95</v>
      </c>
      <c r="B847" s="1">
        <v>110.0</v>
      </c>
      <c r="C847" s="1">
        <v>7.560432E7</v>
      </c>
      <c r="D847" s="1" t="s">
        <v>699</v>
      </c>
      <c r="E847" s="1" t="s">
        <v>1960</v>
      </c>
      <c r="F847" s="1" t="s">
        <v>1961</v>
      </c>
      <c r="G847" s="1">
        <v>68417.0</v>
      </c>
      <c r="H847" s="1">
        <v>195.0</v>
      </c>
      <c r="I847" s="1" t="s">
        <v>16</v>
      </c>
      <c r="J847" s="1">
        <v>5.4E7</v>
      </c>
      <c r="K847" s="1">
        <v>2006.0</v>
      </c>
      <c r="L847" s="1">
        <v>5.6</v>
      </c>
      <c r="O847" s="3"/>
      <c r="S847" s="4"/>
    </row>
    <row r="848" ht="14.25" customHeight="1">
      <c r="A848" s="1" t="s">
        <v>1962</v>
      </c>
      <c r="B848" s="1">
        <v>116.0</v>
      </c>
      <c r="C848" s="1">
        <v>1.082E8</v>
      </c>
      <c r="D848" s="1" t="s">
        <v>1963</v>
      </c>
      <c r="E848" s="1" t="s">
        <v>1964</v>
      </c>
      <c r="F848" s="1" t="s">
        <v>1965</v>
      </c>
      <c r="G848" s="1">
        <v>76331.0</v>
      </c>
      <c r="H848" s="1">
        <v>269.0</v>
      </c>
      <c r="I848" s="1" t="s">
        <v>16</v>
      </c>
      <c r="J848" s="1">
        <v>5.4E7</v>
      </c>
      <c r="K848" s="1">
        <v>1980.0</v>
      </c>
      <c r="L848" s="1">
        <v>6.8</v>
      </c>
      <c r="O848" s="3"/>
      <c r="S848" s="4"/>
    </row>
    <row r="849" ht="14.25" customHeight="1">
      <c r="A849" s="1" t="s">
        <v>1021</v>
      </c>
      <c r="B849" s="1">
        <v>121.0</v>
      </c>
      <c r="C849" s="1">
        <v>5660084.0</v>
      </c>
      <c r="D849" s="1" t="s">
        <v>1737</v>
      </c>
      <c r="E849" s="1" t="s">
        <v>1966</v>
      </c>
      <c r="F849" s="1" t="s">
        <v>1967</v>
      </c>
      <c r="G849" s="1">
        <v>41620.0</v>
      </c>
      <c r="H849" s="1">
        <v>418.0</v>
      </c>
      <c r="I849" s="1" t="s">
        <v>16</v>
      </c>
      <c r="J849" s="1">
        <v>5.4E7</v>
      </c>
      <c r="K849" s="1">
        <v>2003.0</v>
      </c>
      <c r="L849" s="1">
        <v>2.4</v>
      </c>
      <c r="O849" s="3"/>
      <c r="S849" s="4"/>
    </row>
    <row r="850" ht="14.25" customHeight="1">
      <c r="A850" s="1" t="s">
        <v>1675</v>
      </c>
      <c r="B850" s="1">
        <v>128.0</v>
      </c>
      <c r="C850" s="1">
        <v>7221458.0</v>
      </c>
      <c r="D850" s="1" t="s">
        <v>1654</v>
      </c>
      <c r="E850" s="1" t="s">
        <v>644</v>
      </c>
      <c r="F850" s="1" t="s">
        <v>1968</v>
      </c>
      <c r="G850" s="1">
        <v>20740.0</v>
      </c>
      <c r="H850" s="1">
        <v>178.0</v>
      </c>
      <c r="I850" s="1" t="s">
        <v>16</v>
      </c>
      <c r="J850" s="1">
        <v>5.5E7</v>
      </c>
      <c r="K850" s="1">
        <v>2006.0</v>
      </c>
      <c r="L850" s="1">
        <v>6.2</v>
      </c>
      <c r="O850" s="3"/>
      <c r="S850" s="4"/>
    </row>
    <row r="851" ht="14.25" customHeight="1">
      <c r="A851" s="1" t="s">
        <v>1205</v>
      </c>
      <c r="B851" s="1">
        <v>99.0</v>
      </c>
      <c r="C851" s="1">
        <v>7.0327868E7</v>
      </c>
      <c r="D851" s="1" t="s">
        <v>146</v>
      </c>
      <c r="E851" s="1" t="s">
        <v>143</v>
      </c>
      <c r="F851" s="1" t="s">
        <v>1969</v>
      </c>
      <c r="G851" s="1">
        <v>58416.0</v>
      </c>
      <c r="H851" s="1">
        <v>301.0</v>
      </c>
      <c r="I851" s="1" t="s">
        <v>16</v>
      </c>
      <c r="J851" s="1">
        <v>4.6E7</v>
      </c>
      <c r="K851" s="1">
        <v>2000.0</v>
      </c>
      <c r="L851" s="1">
        <v>5.9</v>
      </c>
      <c r="O851" s="3"/>
      <c r="S851" s="4"/>
    </row>
    <row r="852" ht="14.25" customHeight="1">
      <c r="A852" s="1" t="s">
        <v>1289</v>
      </c>
      <c r="B852" s="1">
        <v>94.0</v>
      </c>
      <c r="C852" s="1">
        <v>5.829783E7</v>
      </c>
      <c r="D852" s="1" t="s">
        <v>1970</v>
      </c>
      <c r="E852" s="1" t="s">
        <v>1971</v>
      </c>
      <c r="F852" s="1" t="s">
        <v>1972</v>
      </c>
      <c r="G852" s="1">
        <v>86347.0</v>
      </c>
      <c r="H852" s="1">
        <v>191.0</v>
      </c>
      <c r="I852" s="1" t="s">
        <v>16</v>
      </c>
      <c r="J852" s="1">
        <v>5.0E7</v>
      </c>
      <c r="K852" s="1">
        <v>1997.0</v>
      </c>
      <c r="L852" s="1">
        <v>7.1</v>
      </c>
      <c r="O852" s="3"/>
      <c r="S852" s="4"/>
      <c r="AE852" s="8" t="s">
        <v>1973</v>
      </c>
    </row>
    <row r="853" ht="14.25" customHeight="1">
      <c r="A853" s="1" t="s">
        <v>159</v>
      </c>
      <c r="B853" s="1">
        <v>127.0</v>
      </c>
      <c r="C853" s="1">
        <v>5.7386369E7</v>
      </c>
      <c r="D853" s="1" t="s">
        <v>1170</v>
      </c>
      <c r="E853" s="1" t="s">
        <v>194</v>
      </c>
      <c r="F853" s="1" t="s">
        <v>1974</v>
      </c>
      <c r="G853" s="1">
        <v>224013.0</v>
      </c>
      <c r="H853" s="1">
        <v>2319.0</v>
      </c>
      <c r="I853" s="1" t="s">
        <v>16</v>
      </c>
      <c r="J853" s="1">
        <v>5.25E7</v>
      </c>
      <c r="K853" s="1">
        <v>2001.0</v>
      </c>
      <c r="L853" s="1">
        <v>7.6</v>
      </c>
      <c r="O853" s="3"/>
      <c r="S853" s="4"/>
    </row>
    <row r="854" ht="14.25" customHeight="1">
      <c r="A854" s="1" t="s">
        <v>1747</v>
      </c>
      <c r="B854" s="1">
        <v>89.0</v>
      </c>
      <c r="C854" s="1">
        <v>4.5207112E7</v>
      </c>
      <c r="D854" s="1" t="s">
        <v>938</v>
      </c>
      <c r="E854" s="1" t="s">
        <v>119</v>
      </c>
      <c r="F854" s="1" t="s">
        <v>1975</v>
      </c>
      <c r="G854" s="1">
        <v>21283.0</v>
      </c>
      <c r="H854" s="1">
        <v>190.0</v>
      </c>
      <c r="I854" s="1" t="s">
        <v>16</v>
      </c>
      <c r="J854" s="1">
        <v>5.3E7</v>
      </c>
      <c r="K854" s="1">
        <v>2001.0</v>
      </c>
      <c r="L854" s="1">
        <v>5.5</v>
      </c>
      <c r="O854" s="3"/>
      <c r="S854" s="4"/>
    </row>
    <row r="855" ht="14.25" customHeight="1">
      <c r="A855" s="1" t="s">
        <v>1976</v>
      </c>
      <c r="B855" s="1">
        <v>123.0</v>
      </c>
      <c r="C855" s="1">
        <v>6.2563543E7</v>
      </c>
      <c r="D855" s="1" t="s">
        <v>716</v>
      </c>
      <c r="E855" s="1" t="s">
        <v>19</v>
      </c>
      <c r="F855" s="1" t="s">
        <v>1977</v>
      </c>
      <c r="G855" s="1">
        <v>115216.0</v>
      </c>
      <c r="H855" s="1">
        <v>289.0</v>
      </c>
      <c r="I855" s="1" t="s">
        <v>16</v>
      </c>
      <c r="J855" s="1">
        <v>5.3E7</v>
      </c>
      <c r="K855" s="1">
        <v>2015.0</v>
      </c>
      <c r="L855" s="1">
        <v>7.0</v>
      </c>
      <c r="O855" s="3"/>
      <c r="S855" s="4"/>
    </row>
    <row r="856" ht="14.25" customHeight="1">
      <c r="A856" s="1" t="s">
        <v>1506</v>
      </c>
      <c r="B856" s="1">
        <v>135.0</v>
      </c>
      <c r="C856" s="1">
        <v>3.3574332E7</v>
      </c>
      <c r="D856" s="1" t="s">
        <v>824</v>
      </c>
      <c r="E856" s="1" t="s">
        <v>289</v>
      </c>
      <c r="F856" s="1" t="s">
        <v>1978</v>
      </c>
      <c r="G856" s="1">
        <v>101221.0</v>
      </c>
      <c r="H856" s="1">
        <v>415.0</v>
      </c>
      <c r="I856" s="1" t="s">
        <v>16</v>
      </c>
      <c r="J856" s="1">
        <v>9.0E7</v>
      </c>
      <c r="K856" s="1">
        <v>2006.0</v>
      </c>
      <c r="L856" s="1">
        <v>7.1</v>
      </c>
      <c r="O856" s="3"/>
      <c r="S856" s="4"/>
    </row>
    <row r="857" ht="14.25" customHeight="1">
      <c r="A857" s="1" t="s">
        <v>1258</v>
      </c>
      <c r="B857" s="1">
        <v>118.0</v>
      </c>
      <c r="C857" s="1">
        <v>7.3343413E7</v>
      </c>
      <c r="D857" s="1" t="s">
        <v>901</v>
      </c>
      <c r="E857" s="1" t="s">
        <v>275</v>
      </c>
      <c r="F857" s="1" t="s">
        <v>1979</v>
      </c>
      <c r="G857" s="1">
        <v>217480.0</v>
      </c>
      <c r="H857" s="1">
        <v>429.0</v>
      </c>
      <c r="I857" s="1" t="s">
        <v>16</v>
      </c>
      <c r="J857" s="1">
        <v>5.0E7</v>
      </c>
      <c r="K857" s="1">
        <v>2009.0</v>
      </c>
      <c r="L857" s="1">
        <v>7.4</v>
      </c>
      <c r="O857" s="3"/>
      <c r="S857" s="4"/>
    </row>
    <row r="858" ht="14.25" customHeight="1">
      <c r="A858" s="1" t="s">
        <v>1980</v>
      </c>
      <c r="B858" s="1">
        <v>189.0</v>
      </c>
      <c r="C858" s="1">
        <v>2.5031037E7</v>
      </c>
      <c r="D858" s="1" t="s">
        <v>1981</v>
      </c>
      <c r="E858" s="1" t="s">
        <v>734</v>
      </c>
      <c r="F858" s="1" t="s">
        <v>1982</v>
      </c>
      <c r="G858" s="1">
        <v>155496.0</v>
      </c>
      <c r="H858" s="1">
        <v>532.0</v>
      </c>
      <c r="I858" s="1" t="s">
        <v>16</v>
      </c>
      <c r="J858" s="1">
        <v>5.3E7</v>
      </c>
      <c r="K858" s="1">
        <v>2007.0</v>
      </c>
      <c r="L858" s="1">
        <v>7.6</v>
      </c>
      <c r="O858" s="3"/>
      <c r="S858" s="4"/>
    </row>
    <row r="859" ht="14.25" customHeight="1">
      <c r="A859" s="1" t="s">
        <v>1130</v>
      </c>
      <c r="B859" s="1">
        <v>172.0</v>
      </c>
      <c r="C859" s="1">
        <v>2.2843047E7</v>
      </c>
      <c r="D859" s="1" t="s">
        <v>1983</v>
      </c>
      <c r="E859" s="1" t="s">
        <v>693</v>
      </c>
      <c r="F859" s="1" t="s">
        <v>1984</v>
      </c>
      <c r="G859" s="1">
        <v>6082.0</v>
      </c>
      <c r="H859" s="1">
        <v>207.0</v>
      </c>
      <c r="I859" s="1" t="s">
        <v>16</v>
      </c>
      <c r="J859" s="1">
        <v>5.5E7</v>
      </c>
      <c r="K859" s="1">
        <v>1998.0</v>
      </c>
      <c r="L859" s="1">
        <v>5.9</v>
      </c>
      <c r="O859" s="3"/>
      <c r="S859" s="4"/>
    </row>
    <row r="860" ht="14.25" customHeight="1">
      <c r="A860" s="1" t="s">
        <v>1985</v>
      </c>
      <c r="B860" s="1">
        <v>124.0</v>
      </c>
      <c r="C860" s="1">
        <v>5755286.0</v>
      </c>
      <c r="D860" s="1" t="s">
        <v>1986</v>
      </c>
      <c r="E860" s="1" t="s">
        <v>96</v>
      </c>
      <c r="F860" s="1" t="s">
        <v>1987</v>
      </c>
      <c r="G860" s="1">
        <v>18310.0</v>
      </c>
      <c r="H860" s="1">
        <v>63.0</v>
      </c>
      <c r="I860" s="1" t="s">
        <v>16</v>
      </c>
      <c r="J860" s="1">
        <v>5.5E7</v>
      </c>
      <c r="K860" s="1">
        <v>2007.0</v>
      </c>
      <c r="L860" s="1">
        <v>5.9</v>
      </c>
      <c r="O860" s="3"/>
      <c r="S860" s="4"/>
    </row>
    <row r="861" ht="14.25" customHeight="1">
      <c r="A861" s="1" t="s">
        <v>168</v>
      </c>
      <c r="B861" s="1">
        <v>141.0</v>
      </c>
      <c r="C861" s="1">
        <v>1.64435221E8</v>
      </c>
      <c r="D861" s="1" t="s">
        <v>716</v>
      </c>
      <c r="E861" s="1" t="s">
        <v>93</v>
      </c>
      <c r="F861" s="1" t="s">
        <v>1988</v>
      </c>
      <c r="G861" s="1">
        <v>525801.0</v>
      </c>
      <c r="H861" s="1">
        <v>667.0</v>
      </c>
      <c r="I861" s="1" t="s">
        <v>16</v>
      </c>
      <c r="J861" s="1">
        <v>5.2E7</v>
      </c>
      <c r="K861" s="1">
        <v>2002.0</v>
      </c>
      <c r="L861" s="1">
        <v>8.0</v>
      </c>
      <c r="O861" s="3"/>
      <c r="S861" s="4"/>
    </row>
    <row r="862" ht="14.25" customHeight="1">
      <c r="A862" s="1" t="s">
        <v>961</v>
      </c>
      <c r="B862" s="1">
        <v>157.0</v>
      </c>
      <c r="C862" s="1">
        <v>9.5720716E7</v>
      </c>
      <c r="D862" s="1" t="s">
        <v>1156</v>
      </c>
      <c r="E862" s="1" t="s">
        <v>1989</v>
      </c>
      <c r="F862" s="1" t="s">
        <v>1990</v>
      </c>
      <c r="G862" s="1">
        <v>216032.0</v>
      </c>
      <c r="H862" s="1">
        <v>640.0</v>
      </c>
      <c r="I862" s="1" t="s">
        <v>16</v>
      </c>
      <c r="J862" s="1">
        <v>4.0E7</v>
      </c>
      <c r="K862" s="1">
        <v>2012.0</v>
      </c>
      <c r="L862" s="1">
        <v>7.4</v>
      </c>
      <c r="O862" s="3"/>
      <c r="S862" s="4"/>
    </row>
    <row r="863" ht="14.25" customHeight="1">
      <c r="A863" s="1" t="s">
        <v>490</v>
      </c>
      <c r="B863" s="1">
        <v>106.0</v>
      </c>
      <c r="C863" s="1">
        <v>1.18683135E8</v>
      </c>
      <c r="D863" s="1" t="s">
        <v>593</v>
      </c>
      <c r="E863" s="1" t="s">
        <v>206</v>
      </c>
      <c r="F863" s="1" t="s">
        <v>1991</v>
      </c>
      <c r="G863" s="1">
        <v>102167.0</v>
      </c>
      <c r="H863" s="1">
        <v>483.0</v>
      </c>
      <c r="I863" s="1" t="s">
        <v>16</v>
      </c>
      <c r="J863" s="1">
        <v>5.2E7</v>
      </c>
      <c r="K863" s="1">
        <v>2006.0</v>
      </c>
      <c r="L863" s="1">
        <v>5.8</v>
      </c>
      <c r="O863" s="3"/>
      <c r="S863" s="4"/>
    </row>
    <row r="864" ht="14.25" customHeight="1">
      <c r="A864" s="1" t="s">
        <v>1992</v>
      </c>
      <c r="B864" s="1">
        <v>108.0</v>
      </c>
      <c r="C864" s="1">
        <v>1.4370421E8</v>
      </c>
      <c r="D864" s="1" t="s">
        <v>1993</v>
      </c>
      <c r="E864" s="1" t="s">
        <v>1475</v>
      </c>
      <c r="F864" s="1" t="s">
        <v>1994</v>
      </c>
      <c r="G864" s="1">
        <v>145974.0</v>
      </c>
      <c r="H864" s="1">
        <v>611.0</v>
      </c>
      <c r="I864" s="1" t="s">
        <v>16</v>
      </c>
      <c r="J864" s="1">
        <v>5.2E7</v>
      </c>
      <c r="K864" s="1">
        <v>2008.0</v>
      </c>
      <c r="L864" s="1">
        <v>6.3</v>
      </c>
      <c r="O864" s="3"/>
      <c r="S864" s="4"/>
    </row>
    <row r="865" ht="14.25" customHeight="1">
      <c r="A865" s="1" t="s">
        <v>1349</v>
      </c>
      <c r="B865" s="1">
        <v>125.0</v>
      </c>
      <c r="C865" s="1">
        <v>1.10476776E8</v>
      </c>
      <c r="D865" s="1" t="s">
        <v>699</v>
      </c>
      <c r="E865" s="1" t="s">
        <v>282</v>
      </c>
      <c r="F865" s="1" t="s">
        <v>1995</v>
      </c>
      <c r="G865" s="1">
        <v>95437.0</v>
      </c>
      <c r="H865" s="1">
        <v>211.0</v>
      </c>
      <c r="I865" s="1" t="s">
        <v>16</v>
      </c>
      <c r="J865" s="1">
        <v>5.2E7</v>
      </c>
      <c r="K865" s="1">
        <v>2010.0</v>
      </c>
      <c r="L865" s="1">
        <v>5.7</v>
      </c>
      <c r="O865" s="3"/>
      <c r="S865" s="4"/>
    </row>
    <row r="866" ht="14.25" customHeight="1">
      <c r="A866" s="1" t="s">
        <v>1996</v>
      </c>
      <c r="B866" s="1">
        <v>107.0</v>
      </c>
      <c r="C866" s="1">
        <v>8.0270227E7</v>
      </c>
      <c r="D866" s="1" t="s">
        <v>678</v>
      </c>
      <c r="E866" s="1" t="s">
        <v>1997</v>
      </c>
      <c r="F866" s="1" t="s">
        <v>1998</v>
      </c>
      <c r="G866" s="1">
        <v>66382.0</v>
      </c>
      <c r="H866" s="1">
        <v>612.0</v>
      </c>
      <c r="I866" s="1" t="s">
        <v>16</v>
      </c>
      <c r="J866" s="1">
        <v>5.0E7</v>
      </c>
      <c r="K866" s="1">
        <v>2005.0</v>
      </c>
      <c r="L866" s="1">
        <v>5.1</v>
      </c>
      <c r="O866" s="3"/>
      <c r="S866" s="4"/>
    </row>
    <row r="867" ht="14.25" customHeight="1">
      <c r="A867" s="1" t="s">
        <v>1999</v>
      </c>
      <c r="B867" s="1">
        <v>215.0</v>
      </c>
      <c r="C867" s="1">
        <v>3.6385763E7</v>
      </c>
      <c r="D867" s="1" t="s">
        <v>1384</v>
      </c>
      <c r="E867" s="1" t="s">
        <v>279</v>
      </c>
      <c r="F867" s="1" t="s">
        <v>2000</v>
      </c>
      <c r="G867" s="1">
        <v>138941.0</v>
      </c>
      <c r="H867" s="1">
        <v>1448.0</v>
      </c>
      <c r="I867" s="1" t="s">
        <v>16</v>
      </c>
      <c r="J867" s="1">
        <v>5.2E7</v>
      </c>
      <c r="K867" s="1">
        <v>1998.0</v>
      </c>
      <c r="L867" s="1">
        <v>7.6</v>
      </c>
      <c r="O867" s="3"/>
      <c r="S867" s="4"/>
    </row>
    <row r="868" ht="14.25" customHeight="1">
      <c r="A868" s="1" t="s">
        <v>2001</v>
      </c>
      <c r="B868" s="1">
        <v>118.0</v>
      </c>
      <c r="C868" s="1">
        <v>3.7035845E7</v>
      </c>
      <c r="D868" s="1" t="s">
        <v>1148</v>
      </c>
      <c r="E868" s="1" t="s">
        <v>137</v>
      </c>
      <c r="F868" s="1" t="s">
        <v>2002</v>
      </c>
      <c r="G868" s="1">
        <v>136680.0</v>
      </c>
      <c r="H868" s="1">
        <v>149.0</v>
      </c>
      <c r="I868" s="1" t="s">
        <v>16</v>
      </c>
      <c r="J868" s="1">
        <v>5.2E7</v>
      </c>
      <c r="K868" s="1">
        <v>2011.0</v>
      </c>
      <c r="L868" s="1">
        <v>6.4</v>
      </c>
      <c r="O868" s="3"/>
      <c r="S868" s="4"/>
    </row>
    <row r="869" ht="14.25" customHeight="1">
      <c r="A869" s="1" t="s">
        <v>2003</v>
      </c>
      <c r="B869" s="1">
        <v>118.0</v>
      </c>
      <c r="C869" s="1">
        <v>3.4580635E7</v>
      </c>
      <c r="D869" s="1" t="s">
        <v>1696</v>
      </c>
      <c r="E869" s="1" t="s">
        <v>2004</v>
      </c>
      <c r="F869" s="1" t="s">
        <v>2005</v>
      </c>
      <c r="G869" s="1">
        <v>100743.0</v>
      </c>
      <c r="H869" s="1">
        <v>549.0</v>
      </c>
      <c r="I869" s="1" t="s">
        <v>16</v>
      </c>
      <c r="J869" s="1">
        <v>5.2E7</v>
      </c>
      <c r="K869" s="1">
        <v>1999.0</v>
      </c>
      <c r="L869" s="1">
        <v>7.4</v>
      </c>
      <c r="O869" s="3"/>
      <c r="S869" s="4"/>
    </row>
    <row r="870" ht="14.25" customHeight="1">
      <c r="A870" s="1" t="s">
        <v>208</v>
      </c>
      <c r="B870" s="1">
        <v>178.0</v>
      </c>
      <c r="C870" s="1">
        <v>4.24383E7</v>
      </c>
      <c r="D870" s="1" t="s">
        <v>716</v>
      </c>
      <c r="E870" s="1" t="s">
        <v>725</v>
      </c>
      <c r="F870" s="1" t="s">
        <v>2006</v>
      </c>
      <c r="G870" s="1">
        <v>333542.0</v>
      </c>
      <c r="H870" s="1">
        <v>533.0</v>
      </c>
      <c r="I870" s="1" t="s">
        <v>16</v>
      </c>
      <c r="J870" s="1">
        <v>5.2E7</v>
      </c>
      <c r="K870" s="1">
        <v>1995.0</v>
      </c>
      <c r="L870" s="1">
        <v>8.2</v>
      </c>
      <c r="O870" s="3"/>
      <c r="S870" s="4"/>
    </row>
    <row r="871" ht="14.25" customHeight="1">
      <c r="A871" s="1" t="s">
        <v>2007</v>
      </c>
      <c r="B871" s="1">
        <v>92.0</v>
      </c>
      <c r="C871" s="1">
        <v>2.3324666E7</v>
      </c>
      <c r="D871" s="1" t="s">
        <v>26</v>
      </c>
      <c r="E871" s="1" t="s">
        <v>2008</v>
      </c>
      <c r="F871" s="1" t="s">
        <v>2009</v>
      </c>
      <c r="G871" s="1">
        <v>97775.0</v>
      </c>
      <c r="H871" s="1">
        <v>211.0</v>
      </c>
      <c r="I871" s="1" t="s">
        <v>16</v>
      </c>
      <c r="J871" s="1">
        <v>5.2E7</v>
      </c>
      <c r="K871" s="1">
        <v>2010.0</v>
      </c>
      <c r="L871" s="1">
        <v>6.5</v>
      </c>
      <c r="O871" s="3"/>
      <c r="S871" s="4"/>
    </row>
    <row r="872" ht="14.25" customHeight="1">
      <c r="A872" s="1" t="s">
        <v>2010</v>
      </c>
      <c r="B872" s="1">
        <v>104.0</v>
      </c>
      <c r="C872" s="1">
        <v>2.3020488E7</v>
      </c>
      <c r="D872" s="1" t="s">
        <v>527</v>
      </c>
      <c r="E872" s="1" t="s">
        <v>2011</v>
      </c>
      <c r="F872" s="1" t="s">
        <v>2012</v>
      </c>
      <c r="G872" s="1">
        <v>42324.0</v>
      </c>
      <c r="H872" s="1">
        <v>180.0</v>
      </c>
      <c r="I872" s="1" t="s">
        <v>16</v>
      </c>
      <c r="J872" s="1">
        <v>5.2E7</v>
      </c>
      <c r="K872" s="1">
        <v>2003.0</v>
      </c>
      <c r="L872" s="1">
        <v>5.5</v>
      </c>
      <c r="O872" s="3"/>
      <c r="S872" s="4"/>
    </row>
    <row r="873" ht="14.25" customHeight="1">
      <c r="A873" s="1" t="s">
        <v>1428</v>
      </c>
      <c r="B873" s="1">
        <v>116.0</v>
      </c>
      <c r="C873" s="1">
        <v>9.0567722E7</v>
      </c>
      <c r="D873" s="1" t="s">
        <v>828</v>
      </c>
      <c r="E873" s="1" t="s">
        <v>1777</v>
      </c>
      <c r="F873" s="1" t="s">
        <v>2013</v>
      </c>
      <c r="G873" s="1">
        <v>185878.0</v>
      </c>
      <c r="H873" s="1">
        <v>481.0</v>
      </c>
      <c r="I873" s="1" t="s">
        <v>16</v>
      </c>
      <c r="J873" s="1">
        <v>5.1E7</v>
      </c>
      <c r="K873" s="1">
        <v>2000.0</v>
      </c>
      <c r="L873" s="1">
        <v>6.5</v>
      </c>
      <c r="O873" s="3"/>
      <c r="S873" s="4"/>
    </row>
    <row r="874" ht="14.25" customHeight="1">
      <c r="A874" s="1" t="s">
        <v>2014</v>
      </c>
      <c r="B874" s="1">
        <v>90.0</v>
      </c>
      <c r="C874" s="1">
        <v>7.2601713E7</v>
      </c>
      <c r="D874" s="1" t="s">
        <v>1215</v>
      </c>
      <c r="E874" s="1" t="s">
        <v>2015</v>
      </c>
      <c r="F874" s="1" t="s">
        <v>2016</v>
      </c>
      <c r="G874" s="1">
        <v>21396.0</v>
      </c>
      <c r="H874" s="1">
        <v>155.0</v>
      </c>
      <c r="I874" s="1" t="s">
        <v>16</v>
      </c>
      <c r="J874" s="1">
        <v>5.1E7</v>
      </c>
      <c r="K874" s="1">
        <v>2006.0</v>
      </c>
      <c r="L874" s="1">
        <v>5.6</v>
      </c>
      <c r="O874" s="3"/>
      <c r="S874" s="4"/>
    </row>
    <row r="875" ht="14.25" customHeight="1">
      <c r="A875" s="1" t="s">
        <v>85</v>
      </c>
      <c r="B875" s="1">
        <v>130.0</v>
      </c>
      <c r="C875" s="1">
        <v>2.96623634E8</v>
      </c>
      <c r="D875" s="1" t="s">
        <v>468</v>
      </c>
      <c r="E875" s="1" t="s">
        <v>328</v>
      </c>
      <c r="F875" s="1" t="s">
        <v>2017</v>
      </c>
      <c r="G875" s="1">
        <v>220758.0</v>
      </c>
      <c r="H875" s="1">
        <v>919.0</v>
      </c>
      <c r="I875" s="1" t="s">
        <v>16</v>
      </c>
      <c r="J875" s="1">
        <v>5.0E7</v>
      </c>
      <c r="K875" s="1">
        <v>2009.0</v>
      </c>
      <c r="L875" s="1">
        <v>4.6</v>
      </c>
      <c r="O875" s="3"/>
      <c r="S875" s="4"/>
    </row>
    <row r="876" ht="14.25" customHeight="1">
      <c r="A876" s="1" t="s">
        <v>62</v>
      </c>
      <c r="B876" s="1">
        <v>90.0</v>
      </c>
      <c r="C876" s="1">
        <v>2.67652016E8</v>
      </c>
      <c r="D876" s="1" t="s">
        <v>118</v>
      </c>
      <c r="E876" s="1" t="s">
        <v>2018</v>
      </c>
      <c r="F876" s="1" t="s">
        <v>2019</v>
      </c>
      <c r="G876" s="1">
        <v>467113.0</v>
      </c>
      <c r="H876" s="1">
        <v>945.0</v>
      </c>
      <c r="I876" s="1" t="s">
        <v>16</v>
      </c>
      <c r="J876" s="1">
        <v>6.0E7</v>
      </c>
      <c r="K876" s="1">
        <v>2001.0</v>
      </c>
      <c r="L876" s="1">
        <v>7.9</v>
      </c>
      <c r="O876" s="3"/>
      <c r="S876" s="4"/>
    </row>
    <row r="877" ht="14.25" customHeight="1">
      <c r="A877" s="1" t="s">
        <v>2020</v>
      </c>
      <c r="B877" s="1">
        <v>106.0</v>
      </c>
      <c r="C877" s="1">
        <v>6.2453315E7</v>
      </c>
      <c r="D877" s="1" t="s">
        <v>2021</v>
      </c>
      <c r="E877" s="1" t="s">
        <v>486</v>
      </c>
      <c r="F877" s="1" t="s">
        <v>2022</v>
      </c>
      <c r="G877" s="1">
        <v>200035.0</v>
      </c>
      <c r="H877" s="1">
        <v>407.0</v>
      </c>
      <c r="I877" s="1" t="s">
        <v>16</v>
      </c>
      <c r="J877" s="1">
        <v>5.02E7</v>
      </c>
      <c r="K877" s="1">
        <v>2011.0</v>
      </c>
      <c r="L877" s="1">
        <v>7.1</v>
      </c>
      <c r="O877" s="3"/>
      <c r="S877" s="4"/>
    </row>
    <row r="878" ht="14.25" customHeight="1">
      <c r="A878" s="1" t="s">
        <v>228</v>
      </c>
      <c r="B878" s="1">
        <v>155.0</v>
      </c>
      <c r="C878" s="1">
        <v>1.655E8</v>
      </c>
      <c r="D878" s="1" t="s">
        <v>89</v>
      </c>
      <c r="E878" s="1" t="s">
        <v>46</v>
      </c>
      <c r="F878" s="1" t="s">
        <v>2023</v>
      </c>
      <c r="G878" s="1">
        <v>145257.0</v>
      </c>
      <c r="H878" s="1">
        <v>322.0</v>
      </c>
      <c r="I878" s="1" t="s">
        <v>16</v>
      </c>
      <c r="J878" s="1">
        <v>4.8E7</v>
      </c>
      <c r="K878" s="1">
        <v>1991.0</v>
      </c>
      <c r="L878" s="1">
        <v>6.9</v>
      </c>
      <c r="O878" s="3"/>
      <c r="S878" s="4"/>
    </row>
    <row r="879" ht="14.25" customHeight="1">
      <c r="A879" s="1" t="s">
        <v>1364</v>
      </c>
      <c r="B879" s="1">
        <v>139.0</v>
      </c>
      <c r="C879" s="1">
        <v>1.53620822E8</v>
      </c>
      <c r="D879" s="1" t="s">
        <v>1825</v>
      </c>
      <c r="E879" s="1" t="s">
        <v>226</v>
      </c>
      <c r="F879" s="1" t="s">
        <v>2024</v>
      </c>
      <c r="G879" s="1">
        <v>189923.0</v>
      </c>
      <c r="H879" s="1">
        <v>318.0</v>
      </c>
      <c r="I879" s="1" t="s">
        <v>16</v>
      </c>
      <c r="J879" s="1">
        <v>5.0E7</v>
      </c>
      <c r="K879" s="1">
        <v>1996.0</v>
      </c>
      <c r="L879" s="1">
        <v>7.3</v>
      </c>
      <c r="O879" s="3"/>
      <c r="S879" s="4"/>
    </row>
    <row r="880" ht="14.25" customHeight="1">
      <c r="A880" s="1" t="s">
        <v>1053</v>
      </c>
      <c r="B880" s="1">
        <v>112.0</v>
      </c>
      <c r="C880" s="1">
        <v>2.1862868E8</v>
      </c>
      <c r="D880" s="1" t="s">
        <v>1148</v>
      </c>
      <c r="E880" s="1" t="s">
        <v>1868</v>
      </c>
      <c r="F880" s="1" t="s">
        <v>2025</v>
      </c>
      <c r="G880" s="1">
        <v>471644.0</v>
      </c>
      <c r="H880" s="1">
        <v>623.0</v>
      </c>
      <c r="I880" s="1" t="s">
        <v>16</v>
      </c>
      <c r="J880" s="1">
        <v>5.0E7</v>
      </c>
      <c r="K880" s="1">
        <v>2012.0</v>
      </c>
      <c r="L880" s="1">
        <v>7.0</v>
      </c>
      <c r="O880" s="3"/>
      <c r="S880" s="4"/>
    </row>
    <row r="881" ht="14.25" customHeight="1">
      <c r="A881" s="1" t="s">
        <v>592</v>
      </c>
      <c r="B881" s="1">
        <v>139.0</v>
      </c>
      <c r="C881" s="1">
        <v>1.47637474E8</v>
      </c>
      <c r="D881" s="1" t="s">
        <v>593</v>
      </c>
      <c r="E881" s="1" t="s">
        <v>2026</v>
      </c>
      <c r="F881" s="1" t="s">
        <v>2027</v>
      </c>
      <c r="G881" s="1">
        <v>224671.0</v>
      </c>
      <c r="H881" s="1">
        <v>470.0</v>
      </c>
      <c r="I881" s="1" t="s">
        <v>16</v>
      </c>
      <c r="J881" s="1">
        <v>5.0E7</v>
      </c>
      <c r="K881" s="1">
        <v>1997.0</v>
      </c>
      <c r="L881" s="1">
        <v>7.7</v>
      </c>
      <c r="O881" s="3"/>
      <c r="S881" s="4"/>
    </row>
    <row r="882" ht="14.25" customHeight="1">
      <c r="A882" s="1" t="s">
        <v>221</v>
      </c>
      <c r="B882" s="1">
        <v>115.0</v>
      </c>
      <c r="C882" s="1">
        <v>1.35014968E8</v>
      </c>
      <c r="D882" s="1" t="s">
        <v>2028</v>
      </c>
      <c r="E882" s="1" t="s">
        <v>346</v>
      </c>
      <c r="F882" s="1" t="s">
        <v>2029</v>
      </c>
      <c r="G882" s="1">
        <v>80580.0</v>
      </c>
      <c r="H882" s="1">
        <v>375.0</v>
      </c>
      <c r="I882" s="1" t="s">
        <v>16</v>
      </c>
      <c r="J882" s="1">
        <v>5.0E7</v>
      </c>
      <c r="K882" s="1">
        <v>1998.0</v>
      </c>
      <c r="L882" s="1">
        <v>6.7</v>
      </c>
      <c r="O882" s="3"/>
      <c r="S882" s="4"/>
    </row>
    <row r="883" ht="14.25" customHeight="1">
      <c r="A883" s="1" t="s">
        <v>727</v>
      </c>
      <c r="B883" s="1">
        <v>143.0</v>
      </c>
      <c r="C883" s="1">
        <v>2175312.0</v>
      </c>
      <c r="D883" s="1" t="s">
        <v>828</v>
      </c>
      <c r="E883" s="1" t="s">
        <v>169</v>
      </c>
      <c r="F883" s="1" t="s">
        <v>2030</v>
      </c>
      <c r="G883" s="1">
        <v>131227.0</v>
      </c>
      <c r="H883" s="1">
        <v>346.0</v>
      </c>
      <c r="I883" s="1" t="s">
        <v>16</v>
      </c>
      <c r="J883" s="1">
        <v>5.0E7</v>
      </c>
      <c r="K883" s="1">
        <v>2013.0</v>
      </c>
      <c r="L883" s="1">
        <v>6.3</v>
      </c>
      <c r="O883" s="3"/>
      <c r="S883" s="4"/>
    </row>
    <row r="884" ht="14.25" customHeight="1">
      <c r="A884" s="1" t="s">
        <v>1147</v>
      </c>
      <c r="B884" s="1">
        <v>96.0</v>
      </c>
      <c r="C884" s="1">
        <v>1.2620332E8</v>
      </c>
      <c r="D884" s="1" t="s">
        <v>699</v>
      </c>
      <c r="E884" s="1" t="s">
        <v>119</v>
      </c>
      <c r="F884" s="1" t="s">
        <v>2031</v>
      </c>
      <c r="G884" s="1">
        <v>110432.0</v>
      </c>
      <c r="H884" s="1">
        <v>309.0</v>
      </c>
      <c r="I884" s="1" t="s">
        <v>16</v>
      </c>
      <c r="J884" s="1">
        <v>5.0E7</v>
      </c>
      <c r="K884" s="1">
        <v>2002.0</v>
      </c>
      <c r="L884" s="1">
        <v>5.8</v>
      </c>
      <c r="O884" s="3"/>
      <c r="S884" s="4"/>
    </row>
    <row r="885" ht="14.25" customHeight="1">
      <c r="A885" s="1" t="s">
        <v>154</v>
      </c>
      <c r="B885" s="1">
        <v>112.0</v>
      </c>
      <c r="C885" s="1">
        <v>1.26975169E8</v>
      </c>
      <c r="D885" s="1" t="s">
        <v>2032</v>
      </c>
      <c r="E885" s="1" t="s">
        <v>2033</v>
      </c>
      <c r="F885" s="1" t="s">
        <v>2034</v>
      </c>
      <c r="G885" s="1">
        <v>287822.0</v>
      </c>
      <c r="H885" s="1">
        <v>849.0</v>
      </c>
      <c r="I885" s="1" t="s">
        <v>16</v>
      </c>
      <c r="J885" s="1">
        <v>5.0E7</v>
      </c>
      <c r="K885" s="1">
        <v>2011.0</v>
      </c>
      <c r="L885" s="1">
        <v>7.1</v>
      </c>
      <c r="O885" s="3"/>
      <c r="S885" s="4"/>
    </row>
    <row r="886" ht="14.25" customHeight="1">
      <c r="A886" s="1" t="s">
        <v>639</v>
      </c>
      <c r="B886" s="1">
        <v>131.0</v>
      </c>
      <c r="C886" s="1">
        <v>1.25548685E8</v>
      </c>
      <c r="D886" s="1" t="s">
        <v>646</v>
      </c>
      <c r="E886" s="1" t="s">
        <v>1028</v>
      </c>
      <c r="F886" s="1" t="s">
        <v>2035</v>
      </c>
      <c r="G886" s="1">
        <v>135246.0</v>
      </c>
      <c r="H886" s="1">
        <v>498.0</v>
      </c>
      <c r="I886" s="1" t="s">
        <v>16</v>
      </c>
      <c r="J886" s="1">
        <v>5.2E7</v>
      </c>
      <c r="K886" s="1">
        <v>2000.0</v>
      </c>
      <c r="L886" s="1">
        <v>7.3</v>
      </c>
      <c r="O886" s="3"/>
      <c r="S886" s="4"/>
    </row>
    <row r="887" ht="14.25" customHeight="1">
      <c r="A887" s="1" t="s">
        <v>1727</v>
      </c>
      <c r="B887" s="1">
        <v>116.0</v>
      </c>
      <c r="C887" s="1">
        <v>1.0580752E8</v>
      </c>
      <c r="D887" s="1" t="s">
        <v>699</v>
      </c>
      <c r="E887" s="1" t="s">
        <v>285</v>
      </c>
      <c r="F887" s="1" t="s">
        <v>2036</v>
      </c>
      <c r="G887" s="1">
        <v>156717.0</v>
      </c>
      <c r="H887" s="1">
        <v>357.0</v>
      </c>
      <c r="I887" s="1" t="s">
        <v>16</v>
      </c>
      <c r="J887" s="1">
        <v>5.0E7</v>
      </c>
      <c r="K887" s="1">
        <v>2003.0</v>
      </c>
      <c r="L887" s="1">
        <v>6.4</v>
      </c>
      <c r="O887" s="3"/>
      <c r="S887" s="4"/>
    </row>
    <row r="888" ht="14.25" customHeight="1">
      <c r="A888" s="1" t="s">
        <v>888</v>
      </c>
      <c r="B888" s="1">
        <v>112.0</v>
      </c>
      <c r="C888" s="1">
        <v>1.91616238E8</v>
      </c>
      <c r="D888" s="1" t="s">
        <v>728</v>
      </c>
      <c r="E888" s="1" t="s">
        <v>191</v>
      </c>
      <c r="F888" s="1" t="s">
        <v>2037</v>
      </c>
      <c r="G888" s="1">
        <v>258186.0</v>
      </c>
      <c r="H888" s="1">
        <v>322.0</v>
      </c>
      <c r="I888" s="1" t="s">
        <v>16</v>
      </c>
      <c r="J888" s="1">
        <v>5.0E7</v>
      </c>
      <c r="K888" s="1">
        <v>2014.0</v>
      </c>
      <c r="L888" s="1">
        <v>7.1</v>
      </c>
      <c r="O888" s="3"/>
      <c r="S888" s="4"/>
    </row>
    <row r="889" ht="14.25" customHeight="1">
      <c r="A889" s="1" t="s">
        <v>2038</v>
      </c>
      <c r="B889" s="1">
        <v>123.0</v>
      </c>
      <c r="C889" s="1">
        <v>1.05264608E8</v>
      </c>
      <c r="D889" s="1" t="s">
        <v>2039</v>
      </c>
      <c r="E889" s="1" t="s">
        <v>293</v>
      </c>
      <c r="F889" s="1" t="s">
        <v>2040</v>
      </c>
      <c r="G889" s="1">
        <v>239752.0</v>
      </c>
      <c r="H889" s="1">
        <v>406.0</v>
      </c>
      <c r="I889" s="1" t="s">
        <v>16</v>
      </c>
      <c r="J889" s="1">
        <v>6.0E7</v>
      </c>
      <c r="K889" s="1">
        <v>1994.0</v>
      </c>
      <c r="L889" s="1">
        <v>7.6</v>
      </c>
      <c r="O889" s="3"/>
      <c r="S889" s="4"/>
    </row>
    <row r="890" ht="14.25" customHeight="1">
      <c r="A890" s="1" t="s">
        <v>490</v>
      </c>
      <c r="B890" s="1">
        <v>104.0</v>
      </c>
      <c r="C890" s="1">
        <v>9.7680195E7</v>
      </c>
      <c r="D890" s="1" t="s">
        <v>699</v>
      </c>
      <c r="E890" s="1" t="s">
        <v>282</v>
      </c>
      <c r="F890" s="1" t="s">
        <v>2041</v>
      </c>
      <c r="G890" s="1">
        <v>271691.0</v>
      </c>
      <c r="H890" s="1">
        <v>243.0</v>
      </c>
      <c r="I890" s="1" t="s">
        <v>16</v>
      </c>
      <c r="J890" s="1">
        <v>7.0E7</v>
      </c>
      <c r="K890" s="1">
        <v>2008.0</v>
      </c>
      <c r="L890" s="1">
        <v>6.8</v>
      </c>
      <c r="O890" s="3"/>
      <c r="S890" s="4"/>
    </row>
    <row r="891" ht="14.25" customHeight="1">
      <c r="A891" s="1" t="s">
        <v>2042</v>
      </c>
      <c r="B891" s="1">
        <v>107.0</v>
      </c>
      <c r="C891" s="1">
        <v>1.26088877E8</v>
      </c>
      <c r="D891" s="1" t="s">
        <v>728</v>
      </c>
      <c r="E891" s="1" t="s">
        <v>632</v>
      </c>
      <c r="F891" s="1" t="s">
        <v>2043</v>
      </c>
      <c r="G891" s="1">
        <v>33354.0</v>
      </c>
      <c r="H891" s="1">
        <v>110.0</v>
      </c>
      <c r="I891" s="1" t="s">
        <v>16</v>
      </c>
      <c r="J891" s="1">
        <v>5.0E7</v>
      </c>
      <c r="K891" s="1">
        <v>2016.0</v>
      </c>
      <c r="L891" s="1">
        <v>6.6</v>
      </c>
      <c r="O891" s="3"/>
      <c r="S891" s="4"/>
    </row>
    <row r="892" ht="14.25" customHeight="1">
      <c r="A892" s="1" t="s">
        <v>524</v>
      </c>
      <c r="B892" s="1">
        <v>124.0</v>
      </c>
      <c r="C892" s="1">
        <v>9.1030827E7</v>
      </c>
      <c r="D892" s="1" t="s">
        <v>1059</v>
      </c>
      <c r="E892" s="1" t="s">
        <v>1028</v>
      </c>
      <c r="F892" s="1" t="s">
        <v>2044</v>
      </c>
      <c r="G892" s="1">
        <v>46482.0</v>
      </c>
      <c r="H892" s="1">
        <v>252.0</v>
      </c>
      <c r="I892" s="1" t="s">
        <v>16</v>
      </c>
      <c r="J892" s="1">
        <v>5.0E7</v>
      </c>
      <c r="K892" s="1">
        <v>1998.0</v>
      </c>
      <c r="L892" s="1">
        <v>6.7</v>
      </c>
      <c r="O892" s="3"/>
      <c r="S892" s="4"/>
    </row>
    <row r="893" ht="14.25" customHeight="1">
      <c r="A893" s="1" t="s">
        <v>1834</v>
      </c>
      <c r="B893" s="1">
        <v>96.0</v>
      </c>
      <c r="C893" s="1">
        <v>1.50315155E8</v>
      </c>
      <c r="D893" s="1" t="s">
        <v>1247</v>
      </c>
      <c r="E893" s="1" t="s">
        <v>783</v>
      </c>
      <c r="F893" s="1" t="s">
        <v>2045</v>
      </c>
      <c r="G893" s="1">
        <v>54010.0</v>
      </c>
      <c r="H893" s="1">
        <v>130.0</v>
      </c>
      <c r="I893" s="1" t="s">
        <v>16</v>
      </c>
      <c r="J893" s="1">
        <v>5.0E7</v>
      </c>
      <c r="K893" s="1">
        <v>2015.0</v>
      </c>
      <c r="L893" s="1">
        <v>6.1</v>
      </c>
      <c r="O893" s="3"/>
      <c r="S893" s="4"/>
    </row>
    <row r="894" ht="14.25" customHeight="1">
      <c r="A894" s="1" t="s">
        <v>67</v>
      </c>
      <c r="B894" s="1">
        <v>125.0</v>
      </c>
      <c r="C894" s="1">
        <v>1.27997349E8</v>
      </c>
      <c r="D894" s="1" t="s">
        <v>2046</v>
      </c>
      <c r="E894" s="1" t="s">
        <v>19</v>
      </c>
      <c r="F894" s="1" t="s">
        <v>2047</v>
      </c>
      <c r="G894" s="1">
        <v>101178.0</v>
      </c>
      <c r="H894" s="1">
        <v>779.0</v>
      </c>
      <c r="I894" s="1" t="s">
        <v>16</v>
      </c>
      <c r="J894" s="1">
        <v>5.0E7</v>
      </c>
      <c r="K894" s="1">
        <v>2014.0</v>
      </c>
      <c r="L894" s="1">
        <v>6.0</v>
      </c>
      <c r="O894" s="3"/>
      <c r="S894" s="4"/>
    </row>
    <row r="895" ht="14.25" customHeight="1">
      <c r="A895" s="1" t="s">
        <v>2048</v>
      </c>
      <c r="B895" s="1">
        <v>129.0</v>
      </c>
      <c r="C895" s="1">
        <v>8.850464E7</v>
      </c>
      <c r="D895" s="1" t="s">
        <v>909</v>
      </c>
      <c r="E895" s="1" t="s">
        <v>717</v>
      </c>
      <c r="F895" s="1" t="s">
        <v>2049</v>
      </c>
      <c r="G895" s="1">
        <v>273108.0</v>
      </c>
      <c r="H895" s="1">
        <v>646.0</v>
      </c>
      <c r="I895" s="1" t="s">
        <v>16</v>
      </c>
      <c r="J895" s="1">
        <v>4.5E7</v>
      </c>
      <c r="K895" s="1">
        <v>2006.0</v>
      </c>
      <c r="L895" s="1">
        <v>7.6</v>
      </c>
      <c r="O895" s="3"/>
      <c r="S895" s="4"/>
    </row>
    <row r="896" ht="14.25" customHeight="1">
      <c r="A896" s="1" t="s">
        <v>2050</v>
      </c>
      <c r="B896" s="1">
        <v>90.0</v>
      </c>
      <c r="C896" s="1">
        <v>8.1517441E7</v>
      </c>
      <c r="D896" s="1" t="s">
        <v>197</v>
      </c>
      <c r="E896" s="1" t="s">
        <v>2051</v>
      </c>
      <c r="F896" s="1" t="s">
        <v>2052</v>
      </c>
      <c r="G896" s="1">
        <v>111368.0</v>
      </c>
      <c r="H896" s="1">
        <v>394.0</v>
      </c>
      <c r="I896" s="1" t="s">
        <v>16</v>
      </c>
      <c r="J896" s="1">
        <v>5.0E7</v>
      </c>
      <c r="K896" s="1">
        <v>1999.0</v>
      </c>
      <c r="L896" s="1">
        <v>7.1</v>
      </c>
      <c r="O896" s="3"/>
      <c r="S896" s="4"/>
    </row>
    <row r="897" ht="14.25" customHeight="1">
      <c r="A897" s="1" t="s">
        <v>2053</v>
      </c>
      <c r="B897" s="1">
        <v>109.0</v>
      </c>
      <c r="C897" s="1">
        <v>8.1022333E7</v>
      </c>
      <c r="D897" s="1" t="s">
        <v>599</v>
      </c>
      <c r="E897" s="1" t="s">
        <v>2054</v>
      </c>
      <c r="F897" s="1" t="s">
        <v>2055</v>
      </c>
      <c r="G897" s="1">
        <v>34471.0</v>
      </c>
      <c r="H897" s="1">
        <v>147.0</v>
      </c>
      <c r="I897" s="1" t="s">
        <v>16</v>
      </c>
      <c r="J897" s="1">
        <v>5.0E7</v>
      </c>
      <c r="K897" s="1">
        <v>1995.0</v>
      </c>
      <c r="L897" s="1">
        <v>5.0</v>
      </c>
      <c r="O897" s="3"/>
      <c r="S897" s="4"/>
    </row>
    <row r="898" ht="14.25" customHeight="1">
      <c r="A898" s="1" t="s">
        <v>439</v>
      </c>
      <c r="B898" s="1">
        <v>121.0</v>
      </c>
      <c r="C898" s="1">
        <v>7.9948113E7</v>
      </c>
      <c r="D898" s="1" t="s">
        <v>932</v>
      </c>
      <c r="E898" s="1" t="s">
        <v>301</v>
      </c>
      <c r="F898" s="1" t="s">
        <v>2056</v>
      </c>
      <c r="G898" s="1">
        <v>186879.0</v>
      </c>
      <c r="H898" s="1">
        <v>791.0</v>
      </c>
      <c r="I898" s="1" t="s">
        <v>16</v>
      </c>
      <c r="J898" s="1">
        <v>5.0E7</v>
      </c>
      <c r="K898" s="1">
        <v>2009.0</v>
      </c>
      <c r="L898" s="1">
        <v>6.2</v>
      </c>
      <c r="O898" s="3"/>
      <c r="S898" s="4"/>
    </row>
    <row r="899" ht="14.25" customHeight="1">
      <c r="A899" s="1" t="s">
        <v>1888</v>
      </c>
      <c r="B899" s="1">
        <v>95.0</v>
      </c>
      <c r="C899" s="1">
        <v>8.8658172E7</v>
      </c>
      <c r="D899" s="1" t="s">
        <v>699</v>
      </c>
      <c r="E899" s="1" t="s">
        <v>282</v>
      </c>
      <c r="F899" s="1" t="s">
        <v>2057</v>
      </c>
      <c r="G899" s="1">
        <v>58412.0</v>
      </c>
      <c r="H899" s="1">
        <v>242.0</v>
      </c>
      <c r="I899" s="1" t="s">
        <v>16</v>
      </c>
      <c r="J899" s="1">
        <v>5.0E7</v>
      </c>
      <c r="K899" s="1">
        <v>2006.0</v>
      </c>
      <c r="L899" s="1">
        <v>5.6</v>
      </c>
      <c r="O899" s="3"/>
      <c r="S899" s="4"/>
    </row>
    <row r="900" ht="14.25" customHeight="1">
      <c r="A900" s="1" t="s">
        <v>1523</v>
      </c>
      <c r="B900" s="1">
        <v>118.0</v>
      </c>
      <c r="C900" s="1">
        <v>8.4244877E7</v>
      </c>
      <c r="D900" s="1" t="s">
        <v>593</v>
      </c>
      <c r="E900" s="1" t="s">
        <v>1717</v>
      </c>
      <c r="F900" s="1" t="s">
        <v>2058</v>
      </c>
      <c r="G900" s="1">
        <v>375456.0</v>
      </c>
      <c r="H900" s="1">
        <v>292.0</v>
      </c>
      <c r="I900" s="1" t="s">
        <v>16</v>
      </c>
      <c r="J900" s="1">
        <v>5.0E7</v>
      </c>
      <c r="K900" s="1">
        <v>2011.0</v>
      </c>
      <c r="L900" s="1">
        <v>7.4</v>
      </c>
      <c r="O900" s="3"/>
      <c r="S900" s="4"/>
    </row>
    <row r="901" ht="14.25" customHeight="1">
      <c r="A901" s="1" t="s">
        <v>2059</v>
      </c>
      <c r="B901" s="1">
        <v>80.0</v>
      </c>
      <c r="C901" s="1">
        <v>7.5367693E7</v>
      </c>
      <c r="D901" s="1" t="s">
        <v>337</v>
      </c>
      <c r="E901" s="1" t="s">
        <v>899</v>
      </c>
      <c r="F901" s="1" t="s">
        <v>2060</v>
      </c>
      <c r="G901" s="1">
        <v>58961.0</v>
      </c>
      <c r="H901" s="1">
        <v>232.0</v>
      </c>
      <c r="I901" s="1" t="s">
        <v>16</v>
      </c>
      <c r="J901" s="1">
        <v>3.5E7</v>
      </c>
      <c r="K901" s="1">
        <v>2004.0</v>
      </c>
      <c r="L901" s="1">
        <v>5.0</v>
      </c>
      <c r="O901" s="3"/>
      <c r="S901" s="4"/>
    </row>
    <row r="902" ht="14.25" customHeight="1">
      <c r="A902" s="1" t="s">
        <v>2061</v>
      </c>
      <c r="B902" s="1">
        <v>99.0</v>
      </c>
      <c r="C902" s="1">
        <v>7.3701902E7</v>
      </c>
      <c r="D902" s="1" t="s">
        <v>1247</v>
      </c>
      <c r="E902" s="1" t="s">
        <v>720</v>
      </c>
      <c r="F902" s="1" t="s">
        <v>2062</v>
      </c>
      <c r="G902" s="1">
        <v>27548.0</v>
      </c>
      <c r="H902" s="1">
        <v>209.0</v>
      </c>
      <c r="I902" s="1" t="s">
        <v>16</v>
      </c>
      <c r="J902" s="1">
        <v>6.0E7</v>
      </c>
      <c r="K902" s="1">
        <v>2004.0</v>
      </c>
      <c r="L902" s="1">
        <v>5.2</v>
      </c>
      <c r="O902" s="3"/>
      <c r="S902" s="4"/>
    </row>
    <row r="903" ht="14.25" customHeight="1">
      <c r="A903" s="1" t="s">
        <v>2063</v>
      </c>
      <c r="B903" s="1">
        <v>133.0</v>
      </c>
      <c r="C903" s="1">
        <v>7.5605492E7</v>
      </c>
      <c r="D903" s="1" t="s">
        <v>681</v>
      </c>
      <c r="E903" s="1" t="s">
        <v>390</v>
      </c>
      <c r="F903" s="1" t="s">
        <v>2064</v>
      </c>
      <c r="G903" s="1">
        <v>283563.0</v>
      </c>
      <c r="H903" s="1">
        <v>312.0</v>
      </c>
      <c r="I903" s="1" t="s">
        <v>16</v>
      </c>
      <c r="J903" s="1">
        <v>5.0E7</v>
      </c>
      <c r="K903" s="1">
        <v>2011.0</v>
      </c>
      <c r="L903" s="1">
        <v>7.6</v>
      </c>
      <c r="O903" s="3"/>
      <c r="S903" s="4"/>
    </row>
    <row r="904" ht="14.25" customHeight="1">
      <c r="A904" s="1" t="s">
        <v>303</v>
      </c>
      <c r="B904" s="1">
        <v>127.0</v>
      </c>
      <c r="C904" s="1">
        <v>6.7823573E7</v>
      </c>
      <c r="D904" s="1" t="s">
        <v>392</v>
      </c>
      <c r="E904" s="1" t="s">
        <v>52</v>
      </c>
      <c r="F904" s="1" t="s">
        <v>2065</v>
      </c>
      <c r="G904" s="1">
        <v>91176.0</v>
      </c>
      <c r="H904" s="1">
        <v>130.0</v>
      </c>
      <c r="I904" s="1" t="s">
        <v>16</v>
      </c>
      <c r="J904" s="1">
        <v>5.0E7</v>
      </c>
      <c r="K904" s="1">
        <v>1995.0</v>
      </c>
      <c r="L904" s="1">
        <v>6.6</v>
      </c>
      <c r="O904" s="3"/>
      <c r="S904" s="4"/>
    </row>
    <row r="905" ht="14.25" customHeight="1">
      <c r="A905" s="1" t="s">
        <v>2066</v>
      </c>
      <c r="B905" s="1">
        <v>106.0</v>
      </c>
      <c r="C905" s="1">
        <v>9.14394E7</v>
      </c>
      <c r="D905" s="1" t="s">
        <v>485</v>
      </c>
      <c r="E905" s="1" t="s">
        <v>100</v>
      </c>
      <c r="F905" s="1" t="s">
        <v>2067</v>
      </c>
      <c r="G905" s="1">
        <v>200647.0</v>
      </c>
      <c r="H905" s="1">
        <v>384.0</v>
      </c>
      <c r="I905" s="1" t="s">
        <v>16</v>
      </c>
      <c r="J905" s="1">
        <v>5.0E7</v>
      </c>
      <c r="K905" s="1">
        <v>2014.0</v>
      </c>
      <c r="L905" s="1">
        <v>7.0</v>
      </c>
      <c r="O905" s="3"/>
      <c r="S905" s="4"/>
    </row>
    <row r="906" ht="14.25" customHeight="1">
      <c r="A906" s="1" t="s">
        <v>2068</v>
      </c>
      <c r="B906" s="1">
        <v>98.0</v>
      </c>
      <c r="C906" s="1">
        <v>6.7128202E7</v>
      </c>
      <c r="D906" s="1" t="s">
        <v>2069</v>
      </c>
      <c r="E906" s="1" t="s">
        <v>632</v>
      </c>
      <c r="F906" s="1" t="s">
        <v>2070</v>
      </c>
      <c r="G906" s="1">
        <v>43328.0</v>
      </c>
      <c r="H906" s="1">
        <v>110.0</v>
      </c>
      <c r="I906" s="1" t="s">
        <v>16</v>
      </c>
      <c r="J906" s="1">
        <v>6.5E7</v>
      </c>
      <c r="K906" s="1">
        <v>2009.0</v>
      </c>
      <c r="L906" s="1">
        <v>5.7</v>
      </c>
      <c r="O906" s="3"/>
      <c r="S906" s="4"/>
    </row>
    <row r="907" ht="14.25" customHeight="1">
      <c r="A907" s="1" t="s">
        <v>2071</v>
      </c>
      <c r="B907" s="1">
        <v>132.0</v>
      </c>
      <c r="C907" s="1">
        <v>7.0496802E7</v>
      </c>
      <c r="D907" s="1" t="s">
        <v>392</v>
      </c>
      <c r="E907" s="1" t="s">
        <v>603</v>
      </c>
      <c r="F907" s="1" t="s">
        <v>2072</v>
      </c>
      <c r="G907" s="1">
        <v>791783.0</v>
      </c>
      <c r="H907" s="1">
        <v>2042.0</v>
      </c>
      <c r="I907" s="1" t="s">
        <v>16</v>
      </c>
      <c r="J907" s="1">
        <v>5.4E7</v>
      </c>
      <c r="K907" s="1">
        <v>2005.0</v>
      </c>
      <c r="L907" s="1">
        <v>8.2</v>
      </c>
      <c r="O907" s="3"/>
      <c r="S907" s="4"/>
    </row>
    <row r="908" ht="14.25" customHeight="1">
      <c r="A908" s="1" t="s">
        <v>2001</v>
      </c>
      <c r="B908" s="1">
        <v>114.0</v>
      </c>
      <c r="C908" s="1">
        <v>6.047022E7</v>
      </c>
      <c r="D908" s="1" t="s">
        <v>678</v>
      </c>
      <c r="E908" s="1" t="s">
        <v>2073</v>
      </c>
      <c r="F908" s="1" t="s">
        <v>2074</v>
      </c>
      <c r="G908" s="1">
        <v>81444.0</v>
      </c>
      <c r="H908" s="1">
        <v>192.0</v>
      </c>
      <c r="I908" s="1" t="s">
        <v>16</v>
      </c>
      <c r="J908" s="1">
        <v>5.0E7</v>
      </c>
      <c r="K908" s="1">
        <v>2003.0</v>
      </c>
      <c r="L908" s="1">
        <v>6.2</v>
      </c>
      <c r="O908" s="3"/>
      <c r="S908" s="4"/>
    </row>
    <row r="909" ht="14.25" customHeight="1">
      <c r="A909" s="1" t="s">
        <v>2075</v>
      </c>
      <c r="B909" s="1">
        <v>78.0</v>
      </c>
      <c r="C909" s="1">
        <v>5.8336565E7</v>
      </c>
      <c r="D909" s="1" t="s">
        <v>200</v>
      </c>
      <c r="E909" s="1" t="s">
        <v>783</v>
      </c>
      <c r="F909" s="1" t="s">
        <v>2076</v>
      </c>
      <c r="G909" s="1">
        <v>12845.0</v>
      </c>
      <c r="H909" s="1">
        <v>118.0</v>
      </c>
      <c r="I909" s="1" t="s">
        <v>16</v>
      </c>
      <c r="J909" s="1">
        <v>5.0E7</v>
      </c>
      <c r="K909" s="1">
        <v>2006.0</v>
      </c>
      <c r="L909" s="1">
        <v>6.6</v>
      </c>
      <c r="O909" s="3"/>
      <c r="S909" s="4"/>
    </row>
    <row r="910" ht="14.25" customHeight="1">
      <c r="A910" s="1" t="s">
        <v>2077</v>
      </c>
      <c r="B910" s="1">
        <v>101.0</v>
      </c>
      <c r="C910" s="1">
        <v>6.6002004E7</v>
      </c>
      <c r="D910" s="1" t="s">
        <v>2078</v>
      </c>
      <c r="E910" s="1" t="s">
        <v>2079</v>
      </c>
      <c r="F910" s="1" t="s">
        <v>2080</v>
      </c>
      <c r="G910" s="1">
        <v>36431.0</v>
      </c>
      <c r="H910" s="1">
        <v>168.0</v>
      </c>
      <c r="I910" s="1" t="s">
        <v>16</v>
      </c>
      <c r="J910" s="1">
        <v>5.0E7</v>
      </c>
      <c r="K910" s="1">
        <v>2005.0</v>
      </c>
      <c r="L910" s="1">
        <v>4.7</v>
      </c>
      <c r="O910" s="3"/>
      <c r="S910" s="4"/>
    </row>
    <row r="911" ht="14.25" customHeight="1">
      <c r="A911" s="1" t="s">
        <v>2081</v>
      </c>
      <c r="B911" s="1">
        <v>113.0</v>
      </c>
      <c r="C911" s="1">
        <v>5.4997476E7</v>
      </c>
      <c r="D911" s="1" t="s">
        <v>909</v>
      </c>
      <c r="E911" s="1" t="s">
        <v>184</v>
      </c>
      <c r="F911" s="1" t="s">
        <v>2082</v>
      </c>
      <c r="G911" s="1">
        <v>40362.0</v>
      </c>
      <c r="H911" s="1">
        <v>248.0</v>
      </c>
      <c r="I911" s="1" t="s">
        <v>16</v>
      </c>
      <c r="J911" s="1">
        <v>5.0E7</v>
      </c>
      <c r="K911" s="1">
        <v>2001.0</v>
      </c>
      <c r="L911" s="1">
        <v>6.3</v>
      </c>
      <c r="O911" s="3"/>
      <c r="S911" s="4"/>
    </row>
    <row r="912" ht="14.25" customHeight="1">
      <c r="A912" s="1" t="s">
        <v>2083</v>
      </c>
      <c r="B912" s="1">
        <v>98.0</v>
      </c>
      <c r="C912" s="1">
        <v>5.568207E7</v>
      </c>
      <c r="D912" s="1" t="s">
        <v>1410</v>
      </c>
      <c r="E912" s="1" t="s">
        <v>550</v>
      </c>
      <c r="F912" s="1" t="s">
        <v>2084</v>
      </c>
      <c r="G912" s="1">
        <v>159868.0</v>
      </c>
      <c r="H912" s="1">
        <v>304.0</v>
      </c>
      <c r="I912" s="1" t="s">
        <v>16</v>
      </c>
      <c r="J912" s="1">
        <v>5.0E7</v>
      </c>
      <c r="K912" s="1">
        <v>2013.0</v>
      </c>
      <c r="L912" s="1">
        <v>6.1</v>
      </c>
      <c r="O912" s="3"/>
      <c r="S912" s="4"/>
    </row>
    <row r="913" ht="14.25" customHeight="1">
      <c r="A913" s="1" t="s">
        <v>2085</v>
      </c>
      <c r="B913" s="1">
        <v>124.0</v>
      </c>
      <c r="C913" s="1">
        <v>5.2752475E7</v>
      </c>
      <c r="D913" s="1" t="s">
        <v>1654</v>
      </c>
      <c r="E913" s="1" t="s">
        <v>2086</v>
      </c>
      <c r="F913" s="1" t="s">
        <v>2087</v>
      </c>
      <c r="G913" s="1">
        <v>63067.0</v>
      </c>
      <c r="H913" s="1">
        <v>533.0</v>
      </c>
      <c r="I913" s="1" t="s">
        <v>16</v>
      </c>
      <c r="J913" s="1">
        <v>5.0E7</v>
      </c>
      <c r="K913" s="1">
        <v>2002.0</v>
      </c>
      <c r="L913" s="1">
        <v>6.7</v>
      </c>
      <c r="O913" s="3"/>
      <c r="S913" s="4"/>
    </row>
    <row r="914" ht="14.25" customHeight="1">
      <c r="A914" s="1" t="s">
        <v>1093</v>
      </c>
      <c r="B914" s="1">
        <v>109.0</v>
      </c>
      <c r="C914" s="1">
        <v>5.509283E7</v>
      </c>
      <c r="D914" s="1" t="s">
        <v>99</v>
      </c>
      <c r="E914" s="1" t="s">
        <v>2088</v>
      </c>
      <c r="F914" s="1" t="s">
        <v>2089</v>
      </c>
      <c r="G914" s="1">
        <v>195043.0</v>
      </c>
      <c r="H914" s="1">
        <v>329.0</v>
      </c>
      <c r="I914" s="1" t="s">
        <v>16</v>
      </c>
      <c r="J914" s="1">
        <v>6.0E7</v>
      </c>
      <c r="K914" s="1">
        <v>2011.0</v>
      </c>
      <c r="L914" s="1">
        <v>6.1</v>
      </c>
      <c r="O914" s="3"/>
      <c r="S914" s="4"/>
    </row>
    <row r="915" ht="14.25" customHeight="1">
      <c r="A915" s="1" t="s">
        <v>2090</v>
      </c>
      <c r="B915" s="1">
        <v>128.0</v>
      </c>
      <c r="C915" s="1">
        <v>5.0815288E7</v>
      </c>
      <c r="D915" s="1" t="s">
        <v>1654</v>
      </c>
      <c r="E915" s="1" t="s">
        <v>486</v>
      </c>
      <c r="F915" s="1" t="s">
        <v>2091</v>
      </c>
      <c r="G915" s="1">
        <v>109188.0</v>
      </c>
      <c r="H915" s="1">
        <v>625.0</v>
      </c>
      <c r="I915" s="1" t="s">
        <v>16</v>
      </c>
      <c r="J915" s="1">
        <v>5.0E7</v>
      </c>
      <c r="K915" s="1">
        <v>2005.0</v>
      </c>
      <c r="L915" s="1">
        <v>7.0</v>
      </c>
      <c r="O915" s="3"/>
      <c r="S915" s="4"/>
    </row>
    <row r="916" ht="14.25" customHeight="1">
      <c r="A916" s="1" t="s">
        <v>121</v>
      </c>
      <c r="B916" s="1">
        <v>144.0</v>
      </c>
      <c r="C916" s="1">
        <v>5.2822418E7</v>
      </c>
      <c r="D916" s="1" t="s">
        <v>800</v>
      </c>
      <c r="E916" s="1" t="s">
        <v>409</v>
      </c>
      <c r="F916" s="1" t="s">
        <v>2092</v>
      </c>
      <c r="G916" s="1">
        <v>47764.0</v>
      </c>
      <c r="H916" s="1">
        <v>219.0</v>
      </c>
      <c r="I916" s="1" t="s">
        <v>16</v>
      </c>
      <c r="J916" s="1">
        <v>5.0E7</v>
      </c>
      <c r="K916" s="1">
        <v>2016.0</v>
      </c>
      <c r="L916" s="1">
        <v>7.4</v>
      </c>
      <c r="O916" s="3"/>
      <c r="S916" s="4"/>
    </row>
    <row r="917" ht="14.25" customHeight="1">
      <c r="A917" s="1" t="s">
        <v>2093</v>
      </c>
      <c r="B917" s="1">
        <v>95.0</v>
      </c>
      <c r="C917" s="1">
        <v>5.0150619E7</v>
      </c>
      <c r="D917" s="1" t="s">
        <v>1345</v>
      </c>
      <c r="E917" s="1" t="s">
        <v>191</v>
      </c>
      <c r="F917" s="1" t="s">
        <v>2094</v>
      </c>
      <c r="G917" s="1">
        <v>45580.0</v>
      </c>
      <c r="H917" s="1">
        <v>102.0</v>
      </c>
      <c r="I917" s="1" t="s">
        <v>16</v>
      </c>
      <c r="J917" s="1">
        <v>5.0E7</v>
      </c>
      <c r="K917" s="1">
        <v>2014.0</v>
      </c>
      <c r="L917" s="1">
        <v>7.3</v>
      </c>
      <c r="O917" s="3"/>
      <c r="S917" s="4"/>
    </row>
    <row r="918" ht="14.25" customHeight="1">
      <c r="A918" s="1" t="s">
        <v>2095</v>
      </c>
      <c r="B918" s="1">
        <v>105.0</v>
      </c>
      <c r="C918" s="1">
        <v>4.874515E7</v>
      </c>
      <c r="D918" s="1" t="s">
        <v>640</v>
      </c>
      <c r="E918" s="1" t="s">
        <v>223</v>
      </c>
      <c r="F918" s="1" t="s">
        <v>2096</v>
      </c>
      <c r="G918" s="1">
        <v>50170.0</v>
      </c>
      <c r="H918" s="1">
        <v>306.0</v>
      </c>
      <c r="I918" s="1" t="s">
        <v>16</v>
      </c>
      <c r="J918" s="1">
        <v>5.0E7</v>
      </c>
      <c r="K918" s="1">
        <v>2006.0</v>
      </c>
      <c r="L918" s="1">
        <v>5.8</v>
      </c>
      <c r="O918" s="3"/>
      <c r="S918" s="4"/>
    </row>
    <row r="919" ht="14.25" customHeight="1">
      <c r="A919" s="1" t="s">
        <v>1506</v>
      </c>
      <c r="B919" s="1">
        <v>121.0</v>
      </c>
      <c r="C919" s="1">
        <v>5.0007168E7</v>
      </c>
      <c r="D919" s="1" t="s">
        <v>197</v>
      </c>
      <c r="E919" s="1" t="s">
        <v>1506</v>
      </c>
      <c r="F919" s="1" t="s">
        <v>2097</v>
      </c>
      <c r="G919" s="1">
        <v>39529.0</v>
      </c>
      <c r="H919" s="1">
        <v>142.0</v>
      </c>
      <c r="I919" s="1" t="s">
        <v>16</v>
      </c>
      <c r="J919" s="1">
        <v>5.0E7</v>
      </c>
      <c r="K919" s="1">
        <v>1997.0</v>
      </c>
      <c r="L919" s="1">
        <v>6.7</v>
      </c>
      <c r="O919" s="3"/>
      <c r="S919" s="4"/>
    </row>
    <row r="920" ht="14.25" customHeight="1">
      <c r="A920" s="1" t="s">
        <v>80</v>
      </c>
      <c r="B920" s="1">
        <v>125.0</v>
      </c>
      <c r="C920" s="1">
        <v>4.8154732E7</v>
      </c>
      <c r="D920" s="1" t="s">
        <v>611</v>
      </c>
      <c r="E920" s="1" t="s">
        <v>2098</v>
      </c>
      <c r="F920" s="1" t="s">
        <v>2099</v>
      </c>
      <c r="G920" s="1">
        <v>60326.0</v>
      </c>
      <c r="H920" s="1">
        <v>142.0</v>
      </c>
      <c r="I920" s="1" t="s">
        <v>16</v>
      </c>
      <c r="J920" s="1">
        <v>5.0E7</v>
      </c>
      <c r="K920" s="1">
        <v>1997.0</v>
      </c>
      <c r="L920" s="1">
        <v>5.8</v>
      </c>
      <c r="O920" s="3"/>
      <c r="S920" s="4"/>
    </row>
    <row r="921" ht="14.25" customHeight="1">
      <c r="A921" s="1" t="s">
        <v>291</v>
      </c>
      <c r="B921" s="1">
        <v>129.0</v>
      </c>
      <c r="C921" s="1">
        <v>4.8265581E7</v>
      </c>
      <c r="D921" s="1" t="s">
        <v>806</v>
      </c>
      <c r="E921" s="1" t="s">
        <v>2100</v>
      </c>
      <c r="F921" s="1" t="s">
        <v>2101</v>
      </c>
      <c r="G921" s="1">
        <v>261069.0</v>
      </c>
      <c r="H921" s="1">
        <v>506.0</v>
      </c>
      <c r="I921" s="1" t="s">
        <v>16</v>
      </c>
      <c r="J921" s="1">
        <v>5.0E7</v>
      </c>
      <c r="K921" s="1">
        <v>1997.0</v>
      </c>
      <c r="L921" s="1">
        <v>7.8</v>
      </c>
      <c r="O921" s="3"/>
      <c r="S921" s="4"/>
    </row>
    <row r="922" ht="14.25" customHeight="1">
      <c r="A922" s="1" t="s">
        <v>2102</v>
      </c>
      <c r="B922" s="1">
        <v>132.0</v>
      </c>
      <c r="C922" s="1">
        <v>4.6982632E7</v>
      </c>
      <c r="D922" s="1" t="s">
        <v>2103</v>
      </c>
      <c r="E922" s="1" t="s">
        <v>2104</v>
      </c>
      <c r="F922" s="1" t="s">
        <v>2105</v>
      </c>
      <c r="G922" s="1">
        <v>172792.0</v>
      </c>
      <c r="H922" s="1">
        <v>1740.0</v>
      </c>
      <c r="I922" s="1" t="s">
        <v>16</v>
      </c>
      <c r="J922" s="1">
        <v>5.0E7</v>
      </c>
      <c r="K922" s="1">
        <v>2006.0</v>
      </c>
      <c r="L922" s="1">
        <v>6.6</v>
      </c>
      <c r="O922" s="3"/>
      <c r="S922" s="4"/>
    </row>
    <row r="923" ht="14.25" customHeight="1">
      <c r="A923" s="1" t="s">
        <v>2106</v>
      </c>
      <c r="B923" s="1">
        <v>118.0</v>
      </c>
      <c r="C923" s="1">
        <v>4.4737059E7</v>
      </c>
      <c r="D923" s="1" t="s">
        <v>1592</v>
      </c>
      <c r="E923" s="1" t="s">
        <v>252</v>
      </c>
      <c r="F923" s="1" t="s">
        <v>2107</v>
      </c>
      <c r="G923" s="1">
        <v>48322.0</v>
      </c>
      <c r="H923" s="1">
        <v>261.0</v>
      </c>
      <c r="I923" s="1" t="s">
        <v>16</v>
      </c>
      <c r="J923" s="1">
        <v>5.0E7</v>
      </c>
      <c r="K923" s="1">
        <v>2000.0</v>
      </c>
      <c r="L923" s="1">
        <v>6.5</v>
      </c>
      <c r="O923" s="3"/>
      <c r="S923" s="4"/>
    </row>
    <row r="924" ht="14.25" customHeight="1">
      <c r="A924" s="1" t="s">
        <v>2108</v>
      </c>
      <c r="B924" s="1">
        <v>113.0</v>
      </c>
      <c r="C924" s="1">
        <v>5.672408E7</v>
      </c>
      <c r="D924" s="1" t="s">
        <v>828</v>
      </c>
      <c r="E924" s="1" t="s">
        <v>1865</v>
      </c>
      <c r="F924" s="1" t="s">
        <v>2109</v>
      </c>
      <c r="G924" s="1">
        <v>172112.0</v>
      </c>
      <c r="H924" s="1">
        <v>181.0</v>
      </c>
      <c r="I924" s="1" t="s">
        <v>16</v>
      </c>
      <c r="J924" s="1">
        <v>5.0E7</v>
      </c>
      <c r="K924" s="1">
        <v>2012.0</v>
      </c>
      <c r="L924" s="1">
        <v>6.7</v>
      </c>
      <c r="O924" s="3"/>
      <c r="S924" s="4"/>
    </row>
    <row r="925" ht="14.25" customHeight="1">
      <c r="A925" s="1" t="s">
        <v>1258</v>
      </c>
      <c r="B925" s="1">
        <v>140.0</v>
      </c>
      <c r="C925" s="1">
        <v>4.4484065E7</v>
      </c>
      <c r="D925" s="1" t="s">
        <v>998</v>
      </c>
      <c r="E925" s="1" t="s">
        <v>52</v>
      </c>
      <c r="F925" s="1" t="s">
        <v>2110</v>
      </c>
      <c r="G925" s="1">
        <v>107227.0</v>
      </c>
      <c r="H925" s="1">
        <v>279.0</v>
      </c>
      <c r="I925" s="1" t="s">
        <v>16</v>
      </c>
      <c r="J925" s="1">
        <v>5.0E7</v>
      </c>
      <c r="K925" s="1">
        <v>1998.0</v>
      </c>
      <c r="L925" s="1">
        <v>7.3</v>
      </c>
      <c r="O925" s="3"/>
      <c r="S925" s="4"/>
    </row>
    <row r="926" ht="14.25" customHeight="1">
      <c r="A926" s="1" t="s">
        <v>2111</v>
      </c>
      <c r="B926" s="1">
        <v>89.0</v>
      </c>
      <c r="C926" s="1">
        <v>4.7553512E7</v>
      </c>
      <c r="D926" s="1" t="s">
        <v>26</v>
      </c>
      <c r="E926" s="1" t="s">
        <v>2112</v>
      </c>
      <c r="F926" s="1" t="s">
        <v>2113</v>
      </c>
      <c r="G926" s="1">
        <v>54101.0</v>
      </c>
      <c r="H926" s="1">
        <v>210.0</v>
      </c>
      <c r="I926" s="1" t="s">
        <v>16</v>
      </c>
      <c r="J926" s="1">
        <v>5.0E7</v>
      </c>
      <c r="K926" s="1">
        <v>2014.0</v>
      </c>
      <c r="L926" s="1">
        <v>5.8</v>
      </c>
      <c r="O926" s="3"/>
      <c r="S926" s="4"/>
    </row>
    <row r="927" ht="14.25" customHeight="1">
      <c r="A927" s="1" t="s">
        <v>2114</v>
      </c>
      <c r="B927" s="1">
        <v>104.0</v>
      </c>
      <c r="C927" s="1">
        <v>4.261E7</v>
      </c>
      <c r="D927" s="1" t="s">
        <v>180</v>
      </c>
      <c r="E927" s="1" t="s">
        <v>2115</v>
      </c>
      <c r="F927" s="1" t="s">
        <v>2116</v>
      </c>
      <c r="G927" s="1">
        <v>60293.0</v>
      </c>
      <c r="H927" s="1">
        <v>114.0</v>
      </c>
      <c r="I927" s="1" t="s">
        <v>16</v>
      </c>
      <c r="J927" s="1">
        <v>5.5E7</v>
      </c>
      <c r="K927" s="1">
        <v>1994.0</v>
      </c>
      <c r="L927" s="1">
        <v>5.5</v>
      </c>
      <c r="O927" s="3"/>
      <c r="S927" s="4"/>
    </row>
    <row r="928" ht="14.25" customHeight="1">
      <c r="A928" s="1" t="s">
        <v>1167</v>
      </c>
      <c r="B928" s="1">
        <v>106.0</v>
      </c>
      <c r="C928" s="1">
        <v>4.1482207E7</v>
      </c>
      <c r="D928" s="1" t="s">
        <v>375</v>
      </c>
      <c r="E928" s="1" t="s">
        <v>87</v>
      </c>
      <c r="F928" s="1" t="s">
        <v>2117</v>
      </c>
      <c r="G928" s="1">
        <v>68428.0</v>
      </c>
      <c r="H928" s="1">
        <v>148.0</v>
      </c>
      <c r="I928" s="1" t="s">
        <v>16</v>
      </c>
      <c r="J928" s="1">
        <v>5.0E7</v>
      </c>
      <c r="K928" s="1">
        <v>1990.0</v>
      </c>
      <c r="L928" s="1">
        <v>6.3</v>
      </c>
      <c r="O928" s="3"/>
      <c r="S928" s="4"/>
    </row>
    <row r="929" ht="14.25" customHeight="1">
      <c r="A929" s="1" t="s">
        <v>2001</v>
      </c>
      <c r="B929" s="1">
        <v>141.0</v>
      </c>
      <c r="C929" s="1">
        <v>4.7105085E7</v>
      </c>
      <c r="D929" s="1" t="s">
        <v>811</v>
      </c>
      <c r="E929" s="1" t="s">
        <v>96</v>
      </c>
      <c r="F929" s="1" t="s">
        <v>2118</v>
      </c>
      <c r="G929" s="1">
        <v>136973.0</v>
      </c>
      <c r="H929" s="1">
        <v>275.0</v>
      </c>
      <c r="I929" s="1" t="s">
        <v>16</v>
      </c>
      <c r="J929" s="1">
        <v>5.0E7</v>
      </c>
      <c r="K929" s="1">
        <v>2014.0</v>
      </c>
      <c r="L929" s="1">
        <v>7.4</v>
      </c>
      <c r="O929" s="3"/>
      <c r="S929" s="4"/>
    </row>
    <row r="930" ht="14.25" customHeight="1">
      <c r="A930" s="1" t="s">
        <v>1072</v>
      </c>
      <c r="B930" s="1">
        <v>124.0</v>
      </c>
      <c r="C930" s="1">
        <v>4.1256277E7</v>
      </c>
      <c r="D930" s="1" t="s">
        <v>26</v>
      </c>
      <c r="E930" s="1" t="s">
        <v>2119</v>
      </c>
      <c r="F930" s="1" t="s">
        <v>2120</v>
      </c>
      <c r="G930" s="1">
        <v>46451.0</v>
      </c>
      <c r="H930" s="1">
        <v>156.0</v>
      </c>
      <c r="I930" s="1" t="s">
        <v>16</v>
      </c>
      <c r="J930" s="1">
        <v>5.0E7</v>
      </c>
      <c r="K930" s="1">
        <v>1997.0</v>
      </c>
      <c r="L930" s="1">
        <v>5.9</v>
      </c>
      <c r="O930" s="3"/>
      <c r="S930" s="4"/>
    </row>
    <row r="931" ht="14.25" customHeight="1">
      <c r="A931" s="1" t="s">
        <v>2121</v>
      </c>
      <c r="B931" s="1">
        <v>98.0</v>
      </c>
      <c r="C931" s="1">
        <v>5.0740078E7</v>
      </c>
      <c r="D931" s="1" t="s">
        <v>934</v>
      </c>
      <c r="E931" s="1" t="s">
        <v>831</v>
      </c>
      <c r="F931" s="1" t="s">
        <v>2122</v>
      </c>
      <c r="G931" s="1">
        <v>151580.0</v>
      </c>
      <c r="H931" s="1">
        <v>672.0</v>
      </c>
      <c r="I931" s="1" t="s">
        <v>16</v>
      </c>
      <c r="J931" s="1">
        <v>4.5E7</v>
      </c>
      <c r="K931" s="1">
        <v>2004.0</v>
      </c>
      <c r="L931" s="1">
        <v>6.2</v>
      </c>
      <c r="O931" s="3"/>
      <c r="S931" s="4"/>
    </row>
    <row r="932" ht="14.25" customHeight="1">
      <c r="A932" s="1" t="s">
        <v>2123</v>
      </c>
      <c r="B932" s="1">
        <v>108.0</v>
      </c>
      <c r="C932" s="1">
        <v>4.020302E7</v>
      </c>
      <c r="D932" s="1" t="s">
        <v>593</v>
      </c>
      <c r="E932" s="1" t="s">
        <v>1475</v>
      </c>
      <c r="F932" s="1" t="s">
        <v>2124</v>
      </c>
      <c r="G932" s="1">
        <v>74315.0</v>
      </c>
      <c r="H932" s="1">
        <v>259.0</v>
      </c>
      <c r="I932" s="1" t="s">
        <v>16</v>
      </c>
      <c r="J932" s="1">
        <v>4.0E7</v>
      </c>
      <c r="K932" s="1">
        <v>2004.0</v>
      </c>
      <c r="L932" s="1">
        <v>5.9</v>
      </c>
      <c r="O932" s="3"/>
      <c r="S932" s="4"/>
    </row>
    <row r="933" ht="14.25" customHeight="1">
      <c r="A933" s="1" t="s">
        <v>2125</v>
      </c>
      <c r="B933" s="1">
        <v>114.0</v>
      </c>
      <c r="C933" s="1">
        <v>4.0905277E7</v>
      </c>
      <c r="D933" s="1" t="s">
        <v>2126</v>
      </c>
      <c r="E933" s="1" t="s">
        <v>717</v>
      </c>
      <c r="F933" s="1" t="s">
        <v>2127</v>
      </c>
      <c r="G933" s="1">
        <v>45895.0</v>
      </c>
      <c r="H933" s="1">
        <v>157.0</v>
      </c>
      <c r="I933" s="1" t="s">
        <v>16</v>
      </c>
      <c r="J933" s="1">
        <v>5.0E7</v>
      </c>
      <c r="K933" s="1">
        <v>2003.0</v>
      </c>
      <c r="L933" s="1">
        <v>6.5</v>
      </c>
      <c r="O933" s="3"/>
      <c r="S933" s="4"/>
    </row>
    <row r="934" ht="14.25" customHeight="1">
      <c r="A934" s="1" t="s">
        <v>2128</v>
      </c>
      <c r="B934" s="1">
        <v>101.0</v>
      </c>
      <c r="C934" s="1">
        <v>3.85905E7</v>
      </c>
      <c r="D934" s="1" t="s">
        <v>22</v>
      </c>
      <c r="E934" s="1" t="s">
        <v>2129</v>
      </c>
      <c r="F934" s="1" t="s">
        <v>2130</v>
      </c>
      <c r="G934" s="1">
        <v>17997.0</v>
      </c>
      <c r="H934" s="1">
        <v>140.0</v>
      </c>
      <c r="I934" s="1" t="s">
        <v>16</v>
      </c>
      <c r="J934" s="1">
        <v>5.0E7</v>
      </c>
      <c r="K934" s="1">
        <v>1994.0</v>
      </c>
      <c r="L934" s="1">
        <v>4.4</v>
      </c>
      <c r="O934" s="3"/>
      <c r="S934" s="4"/>
    </row>
    <row r="935" ht="14.25" customHeight="1">
      <c r="A935" s="1" t="s">
        <v>1980</v>
      </c>
      <c r="B935" s="1">
        <v>93.0</v>
      </c>
      <c r="C935" s="1">
        <v>3.9177541E7</v>
      </c>
      <c r="D935" s="1" t="s">
        <v>63</v>
      </c>
      <c r="E935" s="1" t="s">
        <v>1630</v>
      </c>
      <c r="F935" s="1" t="s">
        <v>2131</v>
      </c>
      <c r="G935" s="1">
        <v>20310.0</v>
      </c>
      <c r="H935" s="1">
        <v>177.0</v>
      </c>
      <c r="I935" s="1" t="s">
        <v>16</v>
      </c>
      <c r="J935" s="1">
        <v>5.0E7</v>
      </c>
      <c r="K935" s="1">
        <v>2005.0</v>
      </c>
      <c r="L935" s="1">
        <v>3.5</v>
      </c>
      <c r="O935" s="3"/>
      <c r="S935" s="4"/>
    </row>
    <row r="936" ht="14.25" customHeight="1">
      <c r="A936" s="1" t="s">
        <v>2132</v>
      </c>
      <c r="B936" s="1">
        <v>119.0</v>
      </c>
      <c r="C936" s="1">
        <v>3.9778599E7</v>
      </c>
      <c r="D936" s="1" t="s">
        <v>761</v>
      </c>
      <c r="E936" s="1" t="s">
        <v>93</v>
      </c>
      <c r="F936" s="1" t="s">
        <v>2133</v>
      </c>
      <c r="G936" s="1">
        <v>176169.0</v>
      </c>
      <c r="H936" s="1">
        <v>548.0</v>
      </c>
      <c r="I936" s="1" t="s">
        <v>16</v>
      </c>
      <c r="J936" s="1">
        <v>5.0E7</v>
      </c>
      <c r="K936" s="1">
        <v>2000.0</v>
      </c>
      <c r="L936" s="1">
        <v>6.6</v>
      </c>
      <c r="O936" s="3"/>
      <c r="S936" s="4"/>
    </row>
    <row r="937" ht="14.25" customHeight="1">
      <c r="A937" s="1" t="s">
        <v>1349</v>
      </c>
      <c r="B937" s="1">
        <v>119.0</v>
      </c>
      <c r="C937" s="1">
        <v>3.7486138E7</v>
      </c>
      <c r="D937" s="1" t="s">
        <v>593</v>
      </c>
      <c r="E937" s="1" t="s">
        <v>2134</v>
      </c>
      <c r="F937" s="1" t="s">
        <v>2135</v>
      </c>
      <c r="G937" s="1">
        <v>30890.0</v>
      </c>
      <c r="H937" s="1">
        <v>106.0</v>
      </c>
      <c r="I937" s="1" t="s">
        <v>16</v>
      </c>
      <c r="J937" s="1">
        <v>5.0E7</v>
      </c>
      <c r="K937" s="1">
        <v>2004.0</v>
      </c>
      <c r="L937" s="1">
        <v>6.0</v>
      </c>
      <c r="O937" s="3"/>
      <c r="S937" s="4"/>
    </row>
    <row r="938" ht="14.25" customHeight="1">
      <c r="A938" s="1" t="s">
        <v>2071</v>
      </c>
      <c r="B938" s="1">
        <v>99.0</v>
      </c>
      <c r="C938" s="1">
        <v>3.8105077E7</v>
      </c>
      <c r="D938" s="1" t="s">
        <v>146</v>
      </c>
      <c r="E938" s="1" t="s">
        <v>2136</v>
      </c>
      <c r="F938" s="1" t="s">
        <v>2137</v>
      </c>
      <c r="G938" s="1">
        <v>58349.0</v>
      </c>
      <c r="H938" s="1">
        <v>194.0</v>
      </c>
      <c r="I938" s="1" t="s">
        <v>16</v>
      </c>
      <c r="J938" s="1">
        <v>4.0E7</v>
      </c>
      <c r="K938" s="1">
        <v>2009.0</v>
      </c>
      <c r="L938" s="1">
        <v>6.4</v>
      </c>
      <c r="O938" s="3"/>
      <c r="S938" s="4"/>
    </row>
    <row r="939" ht="14.25" customHeight="1">
      <c r="A939" s="1" t="s">
        <v>33</v>
      </c>
      <c r="B939" s="1">
        <v>137.0</v>
      </c>
      <c r="C939" s="1">
        <v>3.5168395E7</v>
      </c>
      <c r="D939" s="1" t="s">
        <v>1986</v>
      </c>
      <c r="E939" s="1" t="s">
        <v>35</v>
      </c>
      <c r="F939" s="1" t="s">
        <v>2138</v>
      </c>
      <c r="G939" s="1">
        <v>26034.0</v>
      </c>
      <c r="H939" s="1">
        <v>226.0</v>
      </c>
      <c r="I939" s="1" t="s">
        <v>16</v>
      </c>
      <c r="J939" s="1">
        <v>5.0E7</v>
      </c>
      <c r="K939" s="1">
        <v>1999.0</v>
      </c>
      <c r="L939" s="1">
        <v>6.5</v>
      </c>
      <c r="O939" s="3"/>
      <c r="S939" s="4"/>
    </row>
    <row r="940" ht="14.25" customHeight="1">
      <c r="A940" s="1" t="s">
        <v>2139</v>
      </c>
      <c r="B940" s="1">
        <v>117.0</v>
      </c>
      <c r="C940" s="1">
        <v>3.28E7</v>
      </c>
      <c r="D940" s="1" t="s">
        <v>2140</v>
      </c>
      <c r="E940" s="1" t="s">
        <v>573</v>
      </c>
      <c r="F940" s="1" t="s">
        <v>2141</v>
      </c>
      <c r="G940" s="1">
        <v>34896.0</v>
      </c>
      <c r="H940" s="1">
        <v>118.0</v>
      </c>
      <c r="I940" s="1" t="s">
        <v>16</v>
      </c>
      <c r="J940" s="1">
        <v>4.0E7</v>
      </c>
      <c r="K940" s="1">
        <v>1996.0</v>
      </c>
      <c r="L940" s="1">
        <v>4.3</v>
      </c>
      <c r="O940" s="3"/>
      <c r="S940" s="4"/>
    </row>
    <row r="941" ht="14.25" customHeight="1">
      <c r="A941" s="1" t="s">
        <v>1888</v>
      </c>
      <c r="B941" s="1">
        <v>87.0</v>
      </c>
      <c r="C941" s="1">
        <v>3.3643461E7</v>
      </c>
      <c r="D941" s="1" t="s">
        <v>1247</v>
      </c>
      <c r="E941" s="1" t="s">
        <v>78</v>
      </c>
      <c r="F941" s="1" t="s">
        <v>2142</v>
      </c>
      <c r="G941" s="1">
        <v>11257.0</v>
      </c>
      <c r="H941" s="1">
        <v>65.0</v>
      </c>
      <c r="I941" s="1" t="s">
        <v>16</v>
      </c>
      <c r="J941" s="1">
        <v>5.0E7</v>
      </c>
      <c r="K941" s="1">
        <v>2010.0</v>
      </c>
      <c r="L941" s="1">
        <v>4.2</v>
      </c>
      <c r="O941" s="3"/>
      <c r="S941" s="4"/>
    </row>
    <row r="942" ht="14.25" customHeight="1">
      <c r="A942" s="1" t="s">
        <v>1506</v>
      </c>
      <c r="B942" s="1">
        <v>129.0</v>
      </c>
      <c r="C942" s="1">
        <v>3.2741596E7</v>
      </c>
      <c r="D942" s="1" t="s">
        <v>2143</v>
      </c>
      <c r="E942" s="1" t="s">
        <v>486</v>
      </c>
      <c r="F942" s="1" t="s">
        <v>2144</v>
      </c>
      <c r="G942" s="1">
        <v>80140.0</v>
      </c>
      <c r="H942" s="1">
        <v>323.0</v>
      </c>
      <c r="I942" s="1" t="s">
        <v>16</v>
      </c>
      <c r="J942" s="1">
        <v>5.0E7</v>
      </c>
      <c r="K942" s="1">
        <v>2010.0</v>
      </c>
      <c r="L942" s="1">
        <v>6.5</v>
      </c>
      <c r="O942" s="3"/>
      <c r="S942" s="4"/>
    </row>
    <row r="943" ht="14.25" customHeight="1">
      <c r="A943" s="1" t="s">
        <v>2145</v>
      </c>
      <c r="B943" s="1">
        <v>115.0</v>
      </c>
      <c r="C943" s="1">
        <v>3.1874869E7</v>
      </c>
      <c r="D943" s="1" t="s">
        <v>938</v>
      </c>
      <c r="E943" s="1" t="s">
        <v>1717</v>
      </c>
      <c r="F943" s="1" t="s">
        <v>2146</v>
      </c>
      <c r="G943" s="1">
        <v>43574.0</v>
      </c>
      <c r="H943" s="1">
        <v>302.0</v>
      </c>
      <c r="I943" s="1" t="s">
        <v>16</v>
      </c>
      <c r="J943" s="1">
        <v>5.0E7</v>
      </c>
      <c r="K943" s="1">
        <v>2002.0</v>
      </c>
      <c r="L943" s="1">
        <v>6.1</v>
      </c>
      <c r="O943" s="3"/>
      <c r="S943" s="4"/>
    </row>
    <row r="944" ht="14.25" customHeight="1">
      <c r="A944" s="1" t="s">
        <v>446</v>
      </c>
      <c r="B944" s="1">
        <v>132.0</v>
      </c>
      <c r="C944" s="1">
        <v>3.0306268E7</v>
      </c>
      <c r="D944" s="1" t="s">
        <v>146</v>
      </c>
      <c r="E944" s="1" t="s">
        <v>2147</v>
      </c>
      <c r="F944" s="1" t="s">
        <v>2148</v>
      </c>
      <c r="G944" s="1">
        <v>62981.0</v>
      </c>
      <c r="H944" s="1">
        <v>84.0</v>
      </c>
      <c r="I944" s="1" t="s">
        <v>16</v>
      </c>
      <c r="J944" s="1">
        <v>5.0E7</v>
      </c>
      <c r="K944" s="1">
        <v>1995.0</v>
      </c>
      <c r="L944" s="1">
        <v>6.3</v>
      </c>
      <c r="O944" s="3"/>
      <c r="S944" s="4"/>
    </row>
    <row r="945" ht="14.25" customHeight="1">
      <c r="A945" s="1" t="s">
        <v>2149</v>
      </c>
      <c r="B945" s="1">
        <v>131.0</v>
      </c>
      <c r="C945" s="1">
        <v>2.7667947E7</v>
      </c>
      <c r="D945" s="1" t="s">
        <v>901</v>
      </c>
      <c r="E945" s="1" t="s">
        <v>1015</v>
      </c>
      <c r="F945" s="1" t="s">
        <v>2150</v>
      </c>
      <c r="G945" s="1">
        <v>86374.0</v>
      </c>
      <c r="H945" s="1">
        <v>392.0</v>
      </c>
      <c r="I945" s="1" t="s">
        <v>16</v>
      </c>
      <c r="J945" s="1">
        <v>5.0E7</v>
      </c>
      <c r="K945" s="1">
        <v>2007.0</v>
      </c>
      <c r="L945" s="1">
        <v>6.2</v>
      </c>
      <c r="O945" s="3"/>
      <c r="S945" s="4"/>
    </row>
    <row r="946" ht="14.25" customHeight="1">
      <c r="A946" s="1" t="s">
        <v>1580</v>
      </c>
      <c r="B946" s="1">
        <v>95.0</v>
      </c>
      <c r="C946" s="1">
        <v>2.706716E7</v>
      </c>
      <c r="D946" s="1" t="s">
        <v>593</v>
      </c>
      <c r="E946" s="1" t="s">
        <v>415</v>
      </c>
      <c r="F946" s="1" t="s">
        <v>2151</v>
      </c>
      <c r="G946" s="1">
        <v>18404.0</v>
      </c>
      <c r="H946" s="1">
        <v>150.0</v>
      </c>
      <c r="I946" s="1" t="s">
        <v>16</v>
      </c>
      <c r="J946" s="1">
        <v>5.0E7</v>
      </c>
      <c r="K946" s="1">
        <v>1999.0</v>
      </c>
      <c r="L946" s="1">
        <v>5.9</v>
      </c>
      <c r="O946" s="3"/>
      <c r="S946" s="4"/>
    </row>
    <row r="947" ht="14.25" customHeight="1">
      <c r="A947" s="1" t="s">
        <v>2152</v>
      </c>
      <c r="B947" s="1">
        <v>125.0</v>
      </c>
      <c r="C947" s="1">
        <v>2.6616999E7</v>
      </c>
      <c r="D947" s="1" t="s">
        <v>696</v>
      </c>
      <c r="E947" s="1" t="s">
        <v>2153</v>
      </c>
      <c r="F947" s="1" t="s">
        <v>2154</v>
      </c>
      <c r="G947" s="1">
        <v>92461.0</v>
      </c>
      <c r="H947" s="1">
        <v>347.0</v>
      </c>
      <c r="I947" s="1" t="s">
        <v>16</v>
      </c>
      <c r="J947" s="1">
        <v>4.0E7</v>
      </c>
      <c r="K947" s="1">
        <v>2013.0</v>
      </c>
      <c r="L947" s="1">
        <v>5.9</v>
      </c>
      <c r="O947" s="3"/>
      <c r="S947" s="4"/>
    </row>
    <row r="948" ht="14.25" customHeight="1">
      <c r="A948" s="1" t="s">
        <v>545</v>
      </c>
      <c r="B948" s="1">
        <v>98.0</v>
      </c>
      <c r="C948" s="1">
        <v>2.653612E7</v>
      </c>
      <c r="D948" s="1" t="s">
        <v>998</v>
      </c>
      <c r="E948" s="1" t="s">
        <v>1295</v>
      </c>
      <c r="F948" s="1" t="s">
        <v>2155</v>
      </c>
      <c r="G948" s="1">
        <v>49926.0</v>
      </c>
      <c r="H948" s="1">
        <v>286.0</v>
      </c>
      <c r="I948" s="1" t="s">
        <v>16</v>
      </c>
      <c r="J948" s="1">
        <v>5.0E7</v>
      </c>
      <c r="K948" s="1">
        <v>2003.0</v>
      </c>
      <c r="L948" s="1">
        <v>6.5</v>
      </c>
      <c r="O948" s="3"/>
      <c r="S948" s="4"/>
    </row>
    <row r="949" ht="14.25" customHeight="1">
      <c r="A949" s="1" t="s">
        <v>1506</v>
      </c>
      <c r="B949" s="1">
        <v>110.0</v>
      </c>
      <c r="C949" s="1">
        <v>2.6199517E7</v>
      </c>
      <c r="D949" s="1" t="s">
        <v>998</v>
      </c>
      <c r="E949" s="1" t="s">
        <v>1506</v>
      </c>
      <c r="F949" s="1" t="s">
        <v>2156</v>
      </c>
      <c r="G949" s="1">
        <v>34356.0</v>
      </c>
      <c r="H949" s="1">
        <v>260.0</v>
      </c>
      <c r="I949" s="1" t="s">
        <v>16</v>
      </c>
      <c r="J949" s="1">
        <v>5.0E7</v>
      </c>
      <c r="K949" s="1">
        <v>2002.0</v>
      </c>
      <c r="L949" s="1">
        <v>6.4</v>
      </c>
      <c r="O949" s="3"/>
      <c r="S949" s="4"/>
    </row>
    <row r="950" ht="14.25" customHeight="1">
      <c r="A950" s="1" t="s">
        <v>769</v>
      </c>
      <c r="B950" s="1">
        <v>118.0</v>
      </c>
      <c r="C950" s="1">
        <v>2.5450527E7</v>
      </c>
      <c r="D950" s="1" t="s">
        <v>998</v>
      </c>
      <c r="E950" s="1" t="s">
        <v>90</v>
      </c>
      <c r="F950" s="1" t="s">
        <v>2157</v>
      </c>
      <c r="G950" s="1">
        <v>80196.0</v>
      </c>
      <c r="H950" s="1">
        <v>190.0</v>
      </c>
      <c r="I950" s="1" t="s">
        <v>16</v>
      </c>
      <c r="J950" s="1">
        <v>5.0E7</v>
      </c>
      <c r="K950" s="1">
        <v>2009.0</v>
      </c>
      <c r="L950" s="1">
        <v>6.5</v>
      </c>
      <c r="O950" s="3"/>
      <c r="S950" s="4"/>
    </row>
    <row r="951" ht="14.25" customHeight="1">
      <c r="A951" s="1" t="s">
        <v>2158</v>
      </c>
      <c r="B951" s="1">
        <v>101.0</v>
      </c>
      <c r="C951" s="1">
        <v>2.540725E7</v>
      </c>
      <c r="D951" s="1" t="s">
        <v>99</v>
      </c>
      <c r="E951" s="1" t="s">
        <v>119</v>
      </c>
      <c r="F951" s="1" t="s">
        <v>2159</v>
      </c>
      <c r="G951" s="1">
        <v>54021.0</v>
      </c>
      <c r="H951" s="1">
        <v>227.0</v>
      </c>
      <c r="I951" s="1" t="s">
        <v>16</v>
      </c>
      <c r="J951" s="1">
        <v>5.0E7</v>
      </c>
      <c r="K951" s="1">
        <v>1996.0</v>
      </c>
      <c r="L951" s="1">
        <v>5.7</v>
      </c>
      <c r="O951" s="3"/>
      <c r="S951" s="4"/>
    </row>
    <row r="952" ht="14.25" customHeight="1">
      <c r="A952" s="1" t="s">
        <v>258</v>
      </c>
      <c r="B952" s="1">
        <v>90.0</v>
      </c>
      <c r="C952" s="1">
        <v>2.3159305E7</v>
      </c>
      <c r="D952" s="1" t="s">
        <v>263</v>
      </c>
      <c r="E952" s="1" t="s">
        <v>584</v>
      </c>
      <c r="F952" s="1" t="s">
        <v>2160</v>
      </c>
      <c r="G952" s="1">
        <v>128455.0</v>
      </c>
      <c r="H952" s="1">
        <v>514.0</v>
      </c>
      <c r="I952" s="1" t="s">
        <v>16</v>
      </c>
      <c r="J952" s="1">
        <v>7.0E7</v>
      </c>
      <c r="K952" s="1">
        <v>1999.0</v>
      </c>
      <c r="L952" s="1">
        <v>8.0</v>
      </c>
      <c r="O952" s="3"/>
      <c r="S952" s="4"/>
    </row>
    <row r="953" ht="14.25" customHeight="1">
      <c r="A953" s="1" t="s">
        <v>2161</v>
      </c>
      <c r="B953" s="1">
        <v>119.0</v>
      </c>
      <c r="C953" s="1">
        <v>2.4006726E7</v>
      </c>
      <c r="D953" s="1" t="s">
        <v>2162</v>
      </c>
      <c r="E953" s="1" t="s">
        <v>899</v>
      </c>
      <c r="F953" s="1" t="s">
        <v>2163</v>
      </c>
      <c r="G953" s="1">
        <v>139535.0</v>
      </c>
      <c r="H953" s="1">
        <v>632.0</v>
      </c>
      <c r="I953" s="1" t="s">
        <v>16</v>
      </c>
      <c r="J953" s="1">
        <v>5.0E7</v>
      </c>
      <c r="K953" s="1">
        <v>2004.0</v>
      </c>
      <c r="L953" s="1">
        <v>7.3</v>
      </c>
      <c r="O953" s="3"/>
      <c r="S953" s="4"/>
    </row>
    <row r="954" ht="14.25" customHeight="1">
      <c r="A954" s="1" t="s">
        <v>972</v>
      </c>
      <c r="B954" s="1">
        <v>139.0</v>
      </c>
      <c r="C954" s="1">
        <v>2.0389967E7</v>
      </c>
      <c r="D954" s="1" t="s">
        <v>2164</v>
      </c>
      <c r="E954" s="1" t="s">
        <v>285</v>
      </c>
      <c r="F954" s="1" t="s">
        <v>2165</v>
      </c>
      <c r="G954" s="1">
        <v>3077.0</v>
      </c>
      <c r="H954" s="1">
        <v>47.0</v>
      </c>
      <c r="I954" s="1" t="s">
        <v>16</v>
      </c>
      <c r="J954" s="1">
        <v>5.0E7</v>
      </c>
      <c r="K954" s="1">
        <v>2016.0</v>
      </c>
      <c r="L954" s="1">
        <v>6.7</v>
      </c>
      <c r="O954" s="3"/>
      <c r="S954" s="4"/>
    </row>
    <row r="955" ht="14.25" customHeight="1">
      <c r="A955" s="1" t="s">
        <v>1900</v>
      </c>
      <c r="B955" s="1">
        <v>130.0</v>
      </c>
      <c r="C955" s="1">
        <v>1.959374E7</v>
      </c>
      <c r="D955" s="1" t="s">
        <v>901</v>
      </c>
      <c r="E955" s="1" t="s">
        <v>52</v>
      </c>
      <c r="F955" s="1" t="s">
        <v>2166</v>
      </c>
      <c r="G955" s="1">
        <v>88270.0</v>
      </c>
      <c r="H955" s="1">
        <v>420.0</v>
      </c>
      <c r="I955" s="1" t="s">
        <v>16</v>
      </c>
      <c r="J955" s="1">
        <v>5.0E7</v>
      </c>
      <c r="K955" s="1">
        <v>2003.0</v>
      </c>
      <c r="L955" s="1">
        <v>7.5</v>
      </c>
      <c r="O955" s="3"/>
      <c r="S955" s="4"/>
    </row>
    <row r="956" ht="14.25" customHeight="1">
      <c r="A956" s="1" t="s">
        <v>1809</v>
      </c>
      <c r="B956" s="1">
        <v>100.0</v>
      </c>
      <c r="C956" s="1">
        <v>1.9118247E7</v>
      </c>
      <c r="D956" s="1" t="s">
        <v>907</v>
      </c>
      <c r="E956" s="1" t="s">
        <v>2167</v>
      </c>
      <c r="F956" s="1" t="s">
        <v>2168</v>
      </c>
      <c r="G956" s="1">
        <v>19829.0</v>
      </c>
      <c r="H956" s="1">
        <v>94.0</v>
      </c>
      <c r="I956" s="1" t="s">
        <v>16</v>
      </c>
      <c r="J956" s="1">
        <v>4.0E7</v>
      </c>
      <c r="K956" s="1">
        <v>2005.0</v>
      </c>
      <c r="L956" s="1">
        <v>5.4</v>
      </c>
      <c r="O956" s="3"/>
      <c r="S956" s="4"/>
    </row>
    <row r="957" ht="14.25" customHeight="1">
      <c r="A957" s="1" t="s">
        <v>2066</v>
      </c>
      <c r="B957" s="1">
        <v>114.0</v>
      </c>
      <c r="C957" s="1">
        <v>2.6442251E7</v>
      </c>
      <c r="D957" s="1" t="s">
        <v>197</v>
      </c>
      <c r="E957" s="1" t="s">
        <v>100</v>
      </c>
      <c r="F957" s="1" t="s">
        <v>2169</v>
      </c>
      <c r="G957" s="1">
        <v>76010.0</v>
      </c>
      <c r="H957" s="1">
        <v>205.0</v>
      </c>
      <c r="I957" s="1" t="s">
        <v>16</v>
      </c>
      <c r="J957" s="1">
        <v>5.0E7</v>
      </c>
      <c r="K957" s="1">
        <v>2015.0</v>
      </c>
      <c r="L957" s="1">
        <v>6.6</v>
      </c>
      <c r="O957" s="3"/>
      <c r="S957" s="4"/>
    </row>
    <row r="958" ht="14.25" customHeight="1">
      <c r="A958" s="1" t="s">
        <v>2170</v>
      </c>
      <c r="B958" s="1">
        <v>96.0</v>
      </c>
      <c r="C958" s="1">
        <v>1.7114882E7</v>
      </c>
      <c r="D958" s="1" t="s">
        <v>938</v>
      </c>
      <c r="E958" s="1" t="s">
        <v>2098</v>
      </c>
      <c r="F958" s="1" t="s">
        <v>2171</v>
      </c>
      <c r="G958" s="1">
        <v>189249.0</v>
      </c>
      <c r="H958" s="1">
        <v>398.0</v>
      </c>
      <c r="I958" s="1" t="s">
        <v>16</v>
      </c>
      <c r="J958" s="1">
        <v>2.5E7</v>
      </c>
      <c r="K958" s="1">
        <v>2007.0</v>
      </c>
      <c r="L958" s="1">
        <v>7.7</v>
      </c>
      <c r="O958" s="3"/>
      <c r="S958" s="4"/>
    </row>
    <row r="959" ht="14.25" customHeight="1">
      <c r="A959" s="1" t="s">
        <v>2172</v>
      </c>
      <c r="B959" s="1">
        <v>110.0</v>
      </c>
      <c r="C959" s="1">
        <v>1.8472363E7</v>
      </c>
      <c r="D959" s="1" t="s">
        <v>1362</v>
      </c>
      <c r="E959" s="1" t="s">
        <v>289</v>
      </c>
      <c r="F959" s="1" t="s">
        <v>2173</v>
      </c>
      <c r="G959" s="1">
        <v>63599.0</v>
      </c>
      <c r="H959" s="1">
        <v>208.0</v>
      </c>
      <c r="I959" s="1" t="s">
        <v>16</v>
      </c>
      <c r="J959" s="1">
        <v>5.0E7</v>
      </c>
      <c r="K959" s="1">
        <v>2005.0</v>
      </c>
      <c r="L959" s="1">
        <v>5.8</v>
      </c>
      <c r="O959" s="3"/>
      <c r="S959" s="4"/>
    </row>
    <row r="960" ht="14.25" customHeight="1">
      <c r="A960" s="1" t="s">
        <v>830</v>
      </c>
      <c r="B960" s="1">
        <v>158.0</v>
      </c>
      <c r="C960" s="1">
        <v>1.4131298E7</v>
      </c>
      <c r="D960" s="1" t="s">
        <v>1400</v>
      </c>
      <c r="E960" s="1" t="s">
        <v>2174</v>
      </c>
      <c r="F960" s="1" t="s">
        <v>2175</v>
      </c>
      <c r="G960" s="1">
        <v>55889.0</v>
      </c>
      <c r="H960" s="1">
        <v>390.0</v>
      </c>
      <c r="I960" s="1" t="s">
        <v>16</v>
      </c>
      <c r="J960" s="1">
        <v>3.9E8</v>
      </c>
      <c r="K960" s="1">
        <v>1999.0</v>
      </c>
      <c r="L960" s="1">
        <v>6.4</v>
      </c>
      <c r="O960" s="3"/>
      <c r="S960" s="4"/>
    </row>
    <row r="961" ht="14.25" customHeight="1">
      <c r="A961" s="1" t="s">
        <v>2176</v>
      </c>
      <c r="B961" s="1">
        <v>102.0</v>
      </c>
      <c r="C961" s="1">
        <v>2.155724E7</v>
      </c>
      <c r="D961" s="1" t="s">
        <v>2177</v>
      </c>
      <c r="E961" s="1" t="s">
        <v>603</v>
      </c>
      <c r="F961" s="1" t="s">
        <v>2178</v>
      </c>
      <c r="G961" s="1">
        <v>85237.0</v>
      </c>
      <c r="H961" s="1">
        <v>274.0</v>
      </c>
      <c r="I961" s="1" t="s">
        <v>16</v>
      </c>
      <c r="J961" s="1">
        <v>4.99E7</v>
      </c>
      <c r="K961" s="1">
        <v>2011.0</v>
      </c>
      <c r="L961" s="1">
        <v>5.6</v>
      </c>
      <c r="O961" s="3"/>
      <c r="S961" s="4"/>
    </row>
    <row r="962" ht="14.25" customHeight="1">
      <c r="A962" s="1" t="s">
        <v>2179</v>
      </c>
      <c r="B962" s="1">
        <v>84.0</v>
      </c>
      <c r="C962" s="1">
        <v>2.128344E7</v>
      </c>
      <c r="D962" s="1" t="s">
        <v>806</v>
      </c>
      <c r="E962" s="1" t="s">
        <v>90</v>
      </c>
      <c r="F962" s="1" t="s">
        <v>2180</v>
      </c>
      <c r="G962" s="1">
        <v>46239.0</v>
      </c>
      <c r="H962" s="1">
        <v>137.0</v>
      </c>
      <c r="I962" s="1" t="s">
        <v>16</v>
      </c>
      <c r="J962" s="1">
        <v>5.5E7</v>
      </c>
      <c r="K962" s="1">
        <v>2011.0</v>
      </c>
      <c r="L962" s="1">
        <v>6.0</v>
      </c>
      <c r="O962" s="3"/>
      <c r="S962" s="4"/>
    </row>
    <row r="963" ht="14.25" customHeight="1">
      <c r="A963" s="1" t="s">
        <v>2181</v>
      </c>
      <c r="B963" s="1">
        <v>115.0</v>
      </c>
      <c r="C963" s="1">
        <v>1.0556196E7</v>
      </c>
      <c r="D963" s="1" t="s">
        <v>901</v>
      </c>
      <c r="E963" s="1" t="s">
        <v>2182</v>
      </c>
      <c r="F963" s="1" t="s">
        <v>2183</v>
      </c>
      <c r="G963" s="1">
        <v>16562.0</v>
      </c>
      <c r="H963" s="1">
        <v>73.0</v>
      </c>
      <c r="I963" s="1" t="s">
        <v>16</v>
      </c>
      <c r="J963" s="1">
        <v>5.0E7</v>
      </c>
      <c r="K963" s="1">
        <v>1997.0</v>
      </c>
      <c r="L963" s="1">
        <v>6.2</v>
      </c>
      <c r="O963" s="3"/>
      <c r="S963" s="4"/>
    </row>
    <row r="964" ht="14.25" customHeight="1">
      <c r="A964" s="1" t="s">
        <v>2184</v>
      </c>
      <c r="B964" s="1">
        <v>99.0</v>
      </c>
      <c r="C964" s="1">
        <v>1.6671505E7</v>
      </c>
      <c r="D964" s="1" t="s">
        <v>2185</v>
      </c>
      <c r="E964" s="1" t="s">
        <v>134</v>
      </c>
      <c r="F964" s="1" t="s">
        <v>2186</v>
      </c>
      <c r="G964" s="1">
        <v>33186.0</v>
      </c>
      <c r="H964" s="1">
        <v>78.0</v>
      </c>
      <c r="I964" s="1" t="s">
        <v>16</v>
      </c>
      <c r="J964" s="1">
        <v>5.0E7</v>
      </c>
      <c r="K964" s="1">
        <v>1994.0</v>
      </c>
      <c r="L964" s="1">
        <v>5.9</v>
      </c>
      <c r="O964" s="3"/>
      <c r="S964" s="4"/>
    </row>
    <row r="965" ht="14.25" customHeight="1">
      <c r="A965" s="1" t="s">
        <v>2187</v>
      </c>
      <c r="B965" s="1">
        <v>135.0</v>
      </c>
      <c r="C965" s="1">
        <v>1.04E7</v>
      </c>
      <c r="D965" s="1" t="s">
        <v>92</v>
      </c>
      <c r="E965" s="1" t="s">
        <v>249</v>
      </c>
      <c r="F965" s="1" t="s">
        <v>2188</v>
      </c>
      <c r="G965" s="1">
        <v>12037.0</v>
      </c>
      <c r="H965" s="1">
        <v>90.0</v>
      </c>
      <c r="I965" s="1" t="s">
        <v>16</v>
      </c>
      <c r="J965" s="1">
        <v>5.0E7</v>
      </c>
      <c r="K965" s="1">
        <v>1995.0</v>
      </c>
      <c r="L965" s="1">
        <v>5.1</v>
      </c>
      <c r="O965" s="3"/>
      <c r="S965" s="4"/>
    </row>
    <row r="966" ht="14.25" customHeight="1">
      <c r="A966" s="1" t="s">
        <v>225</v>
      </c>
      <c r="B966" s="1">
        <v>108.0</v>
      </c>
      <c r="C966" s="1">
        <v>9528092.0</v>
      </c>
      <c r="D966" s="1" t="s">
        <v>1464</v>
      </c>
      <c r="E966" s="1" t="s">
        <v>90</v>
      </c>
      <c r="F966" s="1" t="s">
        <v>2189</v>
      </c>
      <c r="G966" s="1">
        <v>38513.0</v>
      </c>
      <c r="H966" s="1">
        <v>127.0</v>
      </c>
      <c r="I966" s="1" t="s">
        <v>16</v>
      </c>
      <c r="J966" s="1">
        <v>2.2E7</v>
      </c>
      <c r="K966" s="1">
        <v>2010.0</v>
      </c>
      <c r="L966" s="1">
        <v>6.8</v>
      </c>
      <c r="O966" s="3"/>
      <c r="S966" s="4"/>
    </row>
    <row r="967" ht="14.25" customHeight="1">
      <c r="A967" s="1" t="s">
        <v>722</v>
      </c>
      <c r="B967" s="1">
        <v>127.0</v>
      </c>
      <c r="C967" s="1">
        <v>1.0137232E7</v>
      </c>
      <c r="D967" s="1" t="s">
        <v>2190</v>
      </c>
      <c r="E967" s="1" t="s">
        <v>2191</v>
      </c>
      <c r="F967" s="1" t="s">
        <v>2192</v>
      </c>
      <c r="G967" s="1">
        <v>58015.0</v>
      </c>
      <c r="H967" s="1">
        <v>374.0</v>
      </c>
      <c r="I967" s="1" t="s">
        <v>16</v>
      </c>
      <c r="J967" s="1">
        <v>5.0E7</v>
      </c>
      <c r="K967" s="1">
        <v>2005.0</v>
      </c>
      <c r="L967" s="1">
        <v>6.0</v>
      </c>
      <c r="O967" s="3"/>
      <c r="S967" s="4"/>
    </row>
    <row r="968" ht="14.25" customHeight="1">
      <c r="A968" s="1" t="s">
        <v>1914</v>
      </c>
      <c r="B968" s="1">
        <v>107.0</v>
      </c>
      <c r="C968" s="1">
        <v>9795017.0</v>
      </c>
      <c r="D968" s="1" t="s">
        <v>901</v>
      </c>
      <c r="E968" s="1" t="s">
        <v>1389</v>
      </c>
      <c r="F968" s="1" t="s">
        <v>2193</v>
      </c>
      <c r="G968" s="1">
        <v>9227.0</v>
      </c>
      <c r="H968" s="1">
        <v>70.0</v>
      </c>
      <c r="I968" s="1" t="s">
        <v>16</v>
      </c>
      <c r="J968" s="1">
        <v>5.0E7</v>
      </c>
      <c r="K968" s="1">
        <v>1995.0</v>
      </c>
      <c r="L968" s="1">
        <v>5.1</v>
      </c>
      <c r="O968" s="3"/>
      <c r="S968" s="4"/>
    </row>
    <row r="969" ht="14.25" customHeight="1">
      <c r="A969" s="1" t="s">
        <v>1839</v>
      </c>
      <c r="B969" s="1">
        <v>95.0</v>
      </c>
      <c r="C969" s="1">
        <v>2.0488579E7</v>
      </c>
      <c r="D969" s="1" t="s">
        <v>1154</v>
      </c>
      <c r="E969" s="1" t="s">
        <v>275</v>
      </c>
      <c r="F969" s="1" t="s">
        <v>2194</v>
      </c>
      <c r="G969" s="1">
        <v>113483.0</v>
      </c>
      <c r="H969" s="1">
        <v>245.0</v>
      </c>
      <c r="I969" s="1" t="s">
        <v>16</v>
      </c>
      <c r="J969" s="1">
        <v>5.0E7</v>
      </c>
      <c r="K969" s="1">
        <v>2009.0</v>
      </c>
      <c r="L969" s="1">
        <v>5.8</v>
      </c>
      <c r="O969" s="3"/>
      <c r="S969" s="4"/>
    </row>
    <row r="970" ht="14.25" customHeight="1">
      <c r="A970" s="1" t="s">
        <v>2195</v>
      </c>
      <c r="B970" s="1">
        <v>124.0</v>
      </c>
      <c r="C970" s="1">
        <v>1.9445217E7</v>
      </c>
      <c r="D970" s="1" t="s">
        <v>292</v>
      </c>
      <c r="E970" s="1" t="s">
        <v>2196</v>
      </c>
      <c r="F970" s="1" t="s">
        <v>2197</v>
      </c>
      <c r="G970" s="1">
        <v>67796.0</v>
      </c>
      <c r="H970" s="1">
        <v>258.0</v>
      </c>
      <c r="I970" s="1" t="s">
        <v>16</v>
      </c>
      <c r="J970" s="1">
        <v>6.0E7</v>
      </c>
      <c r="K970" s="1">
        <v>2013.0</v>
      </c>
      <c r="L970" s="1">
        <v>6.2</v>
      </c>
      <c r="O970" s="3"/>
      <c r="S970" s="4"/>
    </row>
    <row r="971" ht="14.25" customHeight="1">
      <c r="A971" s="1" t="s">
        <v>2198</v>
      </c>
      <c r="B971" s="1">
        <v>109.0</v>
      </c>
      <c r="C971" s="1">
        <v>8355815.0</v>
      </c>
      <c r="D971" s="1" t="s">
        <v>2140</v>
      </c>
      <c r="E971" s="1" t="s">
        <v>346</v>
      </c>
      <c r="F971" s="1" t="s">
        <v>2199</v>
      </c>
      <c r="G971" s="1">
        <v>34730.0</v>
      </c>
      <c r="H971" s="1">
        <v>341.0</v>
      </c>
      <c r="I971" s="1" t="s">
        <v>16</v>
      </c>
      <c r="J971" s="1">
        <v>5.5E7</v>
      </c>
      <c r="K971" s="1">
        <v>2002.0</v>
      </c>
      <c r="L971" s="1">
        <v>6.4</v>
      </c>
      <c r="O971" s="3"/>
      <c r="S971" s="4"/>
    </row>
    <row r="972" ht="14.25" customHeight="1">
      <c r="A972" s="1" t="s">
        <v>894</v>
      </c>
      <c r="B972" s="1">
        <v>102.0</v>
      </c>
      <c r="C972" s="1">
        <v>2.8837115E7</v>
      </c>
      <c r="D972" s="1" t="s">
        <v>828</v>
      </c>
      <c r="E972" s="1" t="s">
        <v>831</v>
      </c>
      <c r="F972" s="1" t="s">
        <v>2200</v>
      </c>
      <c r="G972" s="1">
        <v>34964.0</v>
      </c>
      <c r="H972" s="1">
        <v>150.0</v>
      </c>
      <c r="I972" s="1" t="s">
        <v>16</v>
      </c>
      <c r="J972" s="1">
        <v>5.0E7</v>
      </c>
      <c r="K972" s="1">
        <v>2016.0</v>
      </c>
      <c r="L972" s="1">
        <v>4.8</v>
      </c>
      <c r="O972" s="3"/>
      <c r="S972" s="4"/>
    </row>
    <row r="973" ht="14.25" customHeight="1">
      <c r="A973" s="1" t="s">
        <v>2201</v>
      </c>
      <c r="B973" s="1">
        <v>88.0</v>
      </c>
      <c r="C973" s="1">
        <v>6471394.0</v>
      </c>
      <c r="D973" s="1" t="s">
        <v>427</v>
      </c>
      <c r="E973" s="1" t="s">
        <v>600</v>
      </c>
      <c r="F973" s="1" t="s">
        <v>2202</v>
      </c>
      <c r="G973" s="1">
        <v>15880.0</v>
      </c>
      <c r="H973" s="1">
        <v>93.0</v>
      </c>
      <c r="I973" s="1" t="s">
        <v>16</v>
      </c>
      <c r="J973" s="1">
        <v>5.0E7</v>
      </c>
      <c r="K973" s="1">
        <v>2004.0</v>
      </c>
      <c r="L973" s="1">
        <v>4.9</v>
      </c>
      <c r="O973" s="3"/>
      <c r="S973" s="4"/>
    </row>
    <row r="974" ht="14.25" customHeight="1">
      <c r="A974" s="1" t="s">
        <v>1251</v>
      </c>
      <c r="B974" s="1">
        <v>87.0</v>
      </c>
      <c r="C974" s="1">
        <v>6291602.0</v>
      </c>
      <c r="D974" s="1" t="s">
        <v>2203</v>
      </c>
      <c r="E974" s="1" t="s">
        <v>260</v>
      </c>
      <c r="F974" s="1" t="s">
        <v>2204</v>
      </c>
      <c r="G974" s="1">
        <v>8070.0</v>
      </c>
      <c r="H974" s="1">
        <v>91.0</v>
      </c>
      <c r="I974" s="1" t="s">
        <v>16</v>
      </c>
      <c r="J974" s="1">
        <v>5.0E7</v>
      </c>
      <c r="K974" s="1">
        <v>2000.0</v>
      </c>
      <c r="L974" s="1">
        <v>5.6</v>
      </c>
      <c r="O974" s="3"/>
      <c r="S974" s="4"/>
    </row>
    <row r="975" ht="14.25" customHeight="1">
      <c r="A975" s="1" t="s">
        <v>2205</v>
      </c>
      <c r="B975" s="1">
        <v>104.0</v>
      </c>
      <c r="C975" s="1">
        <v>1.0706786E7</v>
      </c>
      <c r="D975" s="1" t="s">
        <v>569</v>
      </c>
      <c r="E975" s="1" t="s">
        <v>301</v>
      </c>
      <c r="F975" s="1" t="s">
        <v>2206</v>
      </c>
      <c r="G975" s="1">
        <v>81800.0</v>
      </c>
      <c r="H975" s="1">
        <v>211.0</v>
      </c>
      <c r="I975" s="1" t="s">
        <v>16</v>
      </c>
      <c r="J975" s="1">
        <v>5.0E7</v>
      </c>
      <c r="K975" s="1">
        <v>2011.0</v>
      </c>
      <c r="L975" s="1">
        <v>5.5</v>
      </c>
      <c r="O975" s="3"/>
      <c r="S975" s="4"/>
    </row>
    <row r="976" ht="14.25" customHeight="1">
      <c r="A976" s="1" t="s">
        <v>1404</v>
      </c>
      <c r="B976" s="1">
        <v>96.0</v>
      </c>
      <c r="C976" s="1">
        <v>8742261.0</v>
      </c>
      <c r="D976" s="1" t="s">
        <v>998</v>
      </c>
      <c r="E976" s="1" t="s">
        <v>2207</v>
      </c>
      <c r="F976" s="1" t="s">
        <v>2208</v>
      </c>
      <c r="G976" s="1">
        <v>19824.0</v>
      </c>
      <c r="H976" s="1">
        <v>179.0</v>
      </c>
      <c r="I976" s="1" t="s">
        <v>16</v>
      </c>
      <c r="J976" s="1">
        <v>1.8E7</v>
      </c>
      <c r="K976" s="1">
        <v>2009.0</v>
      </c>
      <c r="L976" s="1">
        <v>3.7</v>
      </c>
      <c r="O976" s="3"/>
      <c r="S976" s="4"/>
    </row>
    <row r="977" ht="14.25" customHeight="1">
      <c r="A977" s="1" t="s">
        <v>2209</v>
      </c>
      <c r="B977" s="1">
        <v>85.0</v>
      </c>
      <c r="C977" s="1">
        <v>4.3905746E7</v>
      </c>
      <c r="D977" s="1" t="s">
        <v>1154</v>
      </c>
      <c r="E977" s="1" t="s">
        <v>147</v>
      </c>
      <c r="F977" s="1" t="s">
        <v>2210</v>
      </c>
      <c r="G977" s="1">
        <v>77684.0</v>
      </c>
      <c r="H977" s="1">
        <v>294.0</v>
      </c>
      <c r="I977" s="1" t="s">
        <v>16</v>
      </c>
      <c r="J977" s="1">
        <v>4.9E7</v>
      </c>
      <c r="K977" s="1">
        <v>2001.0</v>
      </c>
      <c r="L977" s="1">
        <v>5.9</v>
      </c>
      <c r="O977" s="3"/>
      <c r="S977" s="4"/>
    </row>
    <row r="978" ht="14.25" customHeight="1">
      <c r="A978" s="1" t="s">
        <v>875</v>
      </c>
      <c r="B978" s="1">
        <v>104.0</v>
      </c>
      <c r="C978" s="1">
        <v>2.1413502E7</v>
      </c>
      <c r="D978" s="1" t="s">
        <v>2211</v>
      </c>
      <c r="E978" s="1" t="s">
        <v>2212</v>
      </c>
      <c r="F978" s="1" t="s">
        <v>2213</v>
      </c>
      <c r="G978" s="1">
        <v>14429.0</v>
      </c>
      <c r="H978" s="1">
        <v>113.0</v>
      </c>
      <c r="I978" s="1" t="s">
        <v>16</v>
      </c>
      <c r="J978" s="1">
        <v>4.0E7</v>
      </c>
      <c r="K978" s="1">
        <v>1990.0</v>
      </c>
      <c r="L978" s="1">
        <v>6.3</v>
      </c>
      <c r="O978" s="3"/>
      <c r="S978" s="4"/>
    </row>
    <row r="979" ht="14.25" customHeight="1">
      <c r="A979" s="1" t="s">
        <v>639</v>
      </c>
      <c r="B979" s="1">
        <v>190.0</v>
      </c>
      <c r="C979" s="1">
        <v>1.24107476E8</v>
      </c>
      <c r="D979" s="1" t="s">
        <v>901</v>
      </c>
      <c r="E979" s="1" t="s">
        <v>2214</v>
      </c>
      <c r="F979" s="1" t="s">
        <v>2215</v>
      </c>
      <c r="G979" s="1">
        <v>170684.0</v>
      </c>
      <c r="H979" s="1">
        <v>867.0</v>
      </c>
      <c r="I979" s="1" t="s">
        <v>16</v>
      </c>
      <c r="J979" s="1">
        <v>4.8E7</v>
      </c>
      <c r="K979" s="1">
        <v>2000.0</v>
      </c>
      <c r="L979" s="1">
        <v>7.6</v>
      </c>
      <c r="O979" s="3"/>
      <c r="S979" s="4"/>
    </row>
    <row r="980" ht="14.25" customHeight="1">
      <c r="A980" s="1" t="s">
        <v>168</v>
      </c>
      <c r="B980" s="1">
        <v>127.0</v>
      </c>
      <c r="C980" s="1">
        <v>1.97171806E8</v>
      </c>
      <c r="D980" s="1" t="s">
        <v>18</v>
      </c>
      <c r="E980" s="1" t="s">
        <v>169</v>
      </c>
      <c r="F980" s="1" t="s">
        <v>2216</v>
      </c>
      <c r="G980" s="1">
        <v>515306.0</v>
      </c>
      <c r="H980" s="1">
        <v>477.0</v>
      </c>
      <c r="I980" s="1" t="s">
        <v>16</v>
      </c>
      <c r="J980" s="1">
        <v>4.8E7</v>
      </c>
      <c r="K980" s="1">
        <v>1989.0</v>
      </c>
      <c r="L980" s="1">
        <v>8.3</v>
      </c>
      <c r="O980" s="3"/>
      <c r="S980" s="4"/>
    </row>
    <row r="981" ht="14.25" customHeight="1">
      <c r="A981" s="1" t="s">
        <v>580</v>
      </c>
      <c r="B981" s="1">
        <v>120.0</v>
      </c>
      <c r="C981" s="1">
        <v>3.1569268E7</v>
      </c>
      <c r="D981" s="1" t="s">
        <v>2217</v>
      </c>
      <c r="E981" s="1" t="s">
        <v>115</v>
      </c>
      <c r="F981" s="1" t="s">
        <v>2218</v>
      </c>
      <c r="G981" s="1">
        <v>172965.0</v>
      </c>
      <c r="H981" s="1">
        <v>627.0</v>
      </c>
      <c r="I981" s="1" t="s">
        <v>16</v>
      </c>
      <c r="J981" s="1">
        <v>4.9E7</v>
      </c>
      <c r="K981" s="1">
        <v>2015.0</v>
      </c>
      <c r="L981" s="1">
        <v>6.9</v>
      </c>
      <c r="O981" s="3"/>
      <c r="S981" s="4"/>
    </row>
    <row r="982" ht="14.25" customHeight="1">
      <c r="A982" s="1" t="s">
        <v>502</v>
      </c>
      <c r="B982" s="1">
        <v>118.0</v>
      </c>
      <c r="C982" s="1">
        <v>6.648809E7</v>
      </c>
      <c r="D982" s="1" t="s">
        <v>909</v>
      </c>
      <c r="E982" s="1" t="s">
        <v>717</v>
      </c>
      <c r="F982" s="1" t="s">
        <v>2219</v>
      </c>
      <c r="G982" s="1">
        <v>120202.0</v>
      </c>
      <c r="H982" s="1">
        <v>397.0</v>
      </c>
      <c r="I982" s="1" t="s">
        <v>16</v>
      </c>
      <c r="J982" s="1">
        <v>4.8E7</v>
      </c>
      <c r="K982" s="1">
        <v>1999.0</v>
      </c>
      <c r="L982" s="1">
        <v>6.7</v>
      </c>
      <c r="O982" s="3"/>
      <c r="S982" s="4"/>
    </row>
    <row r="983" ht="14.25" customHeight="1">
      <c r="A983" s="1" t="s">
        <v>291</v>
      </c>
      <c r="B983" s="1">
        <v>112.0</v>
      </c>
      <c r="C983" s="1">
        <v>9.5308367E7</v>
      </c>
      <c r="D983" s="1" t="s">
        <v>901</v>
      </c>
      <c r="E983" s="1" t="s">
        <v>1050</v>
      </c>
      <c r="F983" s="1" t="s">
        <v>2220</v>
      </c>
      <c r="G983" s="1">
        <v>206104.0</v>
      </c>
      <c r="H983" s="1">
        <v>850.0</v>
      </c>
      <c r="I983" s="1" t="s">
        <v>16</v>
      </c>
      <c r="J983" s="1">
        <v>4.8E7</v>
      </c>
      <c r="K983" s="1">
        <v>2002.0</v>
      </c>
      <c r="L983" s="1">
        <v>6.8</v>
      </c>
      <c r="O983" s="3"/>
      <c r="S983" s="4"/>
    </row>
    <row r="984" ht="14.25" customHeight="1">
      <c r="A984" s="1" t="s">
        <v>1695</v>
      </c>
      <c r="B984" s="1">
        <v>114.0</v>
      </c>
      <c r="C984" s="1">
        <v>6.0652036E7</v>
      </c>
      <c r="D984" s="1" t="s">
        <v>2221</v>
      </c>
      <c r="E984" s="1" t="s">
        <v>260</v>
      </c>
      <c r="F984" s="1" t="s">
        <v>2222</v>
      </c>
      <c r="G984" s="1">
        <v>137854.0</v>
      </c>
      <c r="H984" s="1">
        <v>560.0</v>
      </c>
      <c r="I984" s="1" t="s">
        <v>16</v>
      </c>
      <c r="J984" s="1">
        <v>4.8E7</v>
      </c>
      <c r="K984" s="1">
        <v>1999.0</v>
      </c>
      <c r="L984" s="1">
        <v>7.1</v>
      </c>
      <c r="O984" s="3"/>
      <c r="S984" s="4"/>
    </row>
    <row r="985" ht="14.25" customHeight="1">
      <c r="A985" s="1" t="s">
        <v>991</v>
      </c>
      <c r="B985" s="1">
        <v>137.0</v>
      </c>
      <c r="C985" s="1">
        <v>1206135.0</v>
      </c>
      <c r="D985" s="1" t="s">
        <v>901</v>
      </c>
      <c r="E985" s="1" t="s">
        <v>27</v>
      </c>
      <c r="F985" s="1" t="s">
        <v>2223</v>
      </c>
      <c r="G985" s="1">
        <v>40568.0</v>
      </c>
      <c r="H985" s="1">
        <v>185.0</v>
      </c>
      <c r="I985" s="1" t="s">
        <v>16</v>
      </c>
      <c r="J985" s="1">
        <v>5.0E7</v>
      </c>
      <c r="K985" s="1">
        <v>2015.0</v>
      </c>
      <c r="L985" s="1">
        <v>6.4</v>
      </c>
      <c r="O985" s="3"/>
      <c r="S985" s="4"/>
    </row>
    <row r="986" ht="14.25" customHeight="1">
      <c r="A986" s="1" t="s">
        <v>1277</v>
      </c>
      <c r="B986" s="1">
        <v>112.0</v>
      </c>
      <c r="C986" s="1">
        <v>5.6607223E7</v>
      </c>
      <c r="D986" s="1" t="s">
        <v>1720</v>
      </c>
      <c r="E986" s="1" t="s">
        <v>2224</v>
      </c>
      <c r="F986" s="1" t="s">
        <v>2225</v>
      </c>
      <c r="G986" s="1">
        <v>93367.0</v>
      </c>
      <c r="H986" s="1">
        <v>497.0</v>
      </c>
      <c r="I986" s="1" t="s">
        <v>16</v>
      </c>
      <c r="J986" s="1">
        <v>4.8E7</v>
      </c>
      <c r="K986" s="1">
        <v>2001.0</v>
      </c>
      <c r="L986" s="1">
        <v>6.4</v>
      </c>
      <c r="O986" s="3"/>
      <c r="S986" s="4"/>
    </row>
    <row r="987" ht="14.25" customHeight="1">
      <c r="A987" s="1" t="s">
        <v>1794</v>
      </c>
      <c r="B987" s="1">
        <v>120.0</v>
      </c>
      <c r="C987" s="1">
        <v>5.017319E7</v>
      </c>
      <c r="D987" s="1" t="s">
        <v>2226</v>
      </c>
      <c r="E987" s="1" t="s">
        <v>52</v>
      </c>
      <c r="F987" s="1" t="s">
        <v>2227</v>
      </c>
      <c r="G987" s="1">
        <v>148490.0</v>
      </c>
      <c r="H987" s="1">
        <v>537.0</v>
      </c>
      <c r="I987" s="1" t="s">
        <v>16</v>
      </c>
      <c r="J987" s="1">
        <v>4.8E7</v>
      </c>
      <c r="K987" s="1">
        <v>2001.0</v>
      </c>
      <c r="L987" s="1">
        <v>7.4</v>
      </c>
      <c r="O987" s="3"/>
      <c r="S987" s="4"/>
    </row>
    <row r="988" ht="14.25" customHeight="1">
      <c r="A988" s="1" t="s">
        <v>596</v>
      </c>
      <c r="B988" s="1">
        <v>123.0</v>
      </c>
      <c r="C988" s="1">
        <v>4.7095453E7</v>
      </c>
      <c r="D988" s="1" t="s">
        <v>1481</v>
      </c>
      <c r="E988" s="1" t="s">
        <v>115</v>
      </c>
      <c r="F988" s="1" t="s">
        <v>2228</v>
      </c>
      <c r="G988" s="1">
        <v>64595.0</v>
      </c>
      <c r="H988" s="1">
        <v>316.0</v>
      </c>
      <c r="I988" s="1" t="s">
        <v>16</v>
      </c>
      <c r="J988" s="1">
        <v>4.8E7</v>
      </c>
      <c r="K988" s="1">
        <v>2001.0</v>
      </c>
      <c r="L988" s="1">
        <v>6.4</v>
      </c>
      <c r="O988" s="3"/>
      <c r="S988" s="4"/>
    </row>
    <row r="989" ht="14.25" customHeight="1">
      <c r="A989" s="1" t="s">
        <v>1719</v>
      </c>
      <c r="B989" s="1">
        <v>93.0</v>
      </c>
      <c r="C989" s="1">
        <v>3.7879996E7</v>
      </c>
      <c r="D989" s="1" t="s">
        <v>1481</v>
      </c>
      <c r="E989" s="1" t="s">
        <v>1168</v>
      </c>
      <c r="F989" s="1" t="s">
        <v>2229</v>
      </c>
      <c r="G989" s="1">
        <v>81888.0</v>
      </c>
      <c r="H989" s="1">
        <v>254.0</v>
      </c>
      <c r="I989" s="1" t="s">
        <v>16</v>
      </c>
      <c r="J989" s="1">
        <v>4.8E7</v>
      </c>
      <c r="K989" s="1">
        <v>2000.0</v>
      </c>
      <c r="L989" s="1">
        <v>6.0</v>
      </c>
      <c r="O989" s="3"/>
      <c r="S989" s="4"/>
    </row>
    <row r="990" ht="14.25" customHeight="1">
      <c r="A990" s="1" t="s">
        <v>1957</v>
      </c>
      <c r="B990" s="1">
        <v>123.0</v>
      </c>
      <c r="C990" s="1">
        <v>2.59E7</v>
      </c>
      <c r="D990" s="1" t="s">
        <v>2230</v>
      </c>
      <c r="E990" s="1" t="s">
        <v>301</v>
      </c>
      <c r="F990" s="1" t="s">
        <v>2231</v>
      </c>
      <c r="G990" s="1">
        <v>12771.0</v>
      </c>
      <c r="H990" s="1">
        <v>84.0</v>
      </c>
      <c r="I990" s="1" t="s">
        <v>16</v>
      </c>
      <c r="J990" s="1">
        <v>5.8E7</v>
      </c>
      <c r="K990" s="1">
        <v>1984.0</v>
      </c>
      <c r="L990" s="1">
        <v>6.5</v>
      </c>
      <c r="O990" s="3"/>
      <c r="S990" s="4"/>
    </row>
    <row r="991" ht="14.25" customHeight="1">
      <c r="A991" s="1" t="s">
        <v>596</v>
      </c>
      <c r="B991" s="1">
        <v>122.0</v>
      </c>
      <c r="C991" s="1">
        <v>5.3574088E7</v>
      </c>
      <c r="D991" s="1" t="s">
        <v>2232</v>
      </c>
      <c r="E991" s="1" t="s">
        <v>143</v>
      </c>
      <c r="F991" s="1" t="s">
        <v>2233</v>
      </c>
      <c r="G991" s="1">
        <v>237872.0</v>
      </c>
      <c r="H991" s="1">
        <v>560.0</v>
      </c>
      <c r="I991" s="1" t="s">
        <v>16</v>
      </c>
      <c r="J991" s="1">
        <v>5.5E7</v>
      </c>
      <c r="K991" s="1">
        <v>2007.0</v>
      </c>
      <c r="L991" s="1">
        <v>7.8</v>
      </c>
      <c r="O991" s="3"/>
      <c r="S991" s="4"/>
    </row>
    <row r="992" ht="14.25" customHeight="1">
      <c r="A992" s="1" t="s">
        <v>2234</v>
      </c>
      <c r="B992" s="1">
        <v>115.0</v>
      </c>
      <c r="C992" s="1">
        <v>8.925334E7</v>
      </c>
      <c r="D992" s="1" t="s">
        <v>26</v>
      </c>
      <c r="E992" s="1" t="s">
        <v>100</v>
      </c>
      <c r="F992" s="1" t="s">
        <v>2235</v>
      </c>
      <c r="G992" s="1">
        <v>133436.0</v>
      </c>
      <c r="H992" s="1">
        <v>323.0</v>
      </c>
      <c r="I992" s="1" t="s">
        <v>16</v>
      </c>
      <c r="J992" s="1">
        <v>4.8E7</v>
      </c>
      <c r="K992" s="1">
        <v>2014.0</v>
      </c>
      <c r="L992" s="1">
        <v>6.0</v>
      </c>
      <c r="O992" s="3"/>
      <c r="S992" s="4"/>
    </row>
    <row r="993" ht="14.25" customHeight="1">
      <c r="A993" s="1" t="s">
        <v>639</v>
      </c>
      <c r="B993" s="1">
        <v>123.0</v>
      </c>
      <c r="C993" s="1">
        <v>3.7339525E7</v>
      </c>
      <c r="D993" s="1" t="s">
        <v>2126</v>
      </c>
      <c r="E993" s="1" t="s">
        <v>951</v>
      </c>
      <c r="F993" s="1" t="s">
        <v>2236</v>
      </c>
      <c r="G993" s="1">
        <v>71708.0</v>
      </c>
      <c r="H993" s="1">
        <v>307.0</v>
      </c>
      <c r="I993" s="1" t="s">
        <v>16</v>
      </c>
      <c r="J993" s="1">
        <v>4.8E7</v>
      </c>
      <c r="K993" s="1">
        <v>1998.0</v>
      </c>
      <c r="L993" s="1">
        <v>7.0</v>
      </c>
      <c r="O993" s="3"/>
      <c r="S993" s="4"/>
    </row>
    <row r="994" ht="14.25" customHeight="1">
      <c r="A994" s="1" t="s">
        <v>894</v>
      </c>
      <c r="B994" s="1">
        <v>96.0</v>
      </c>
      <c r="C994" s="1">
        <v>6.0154431E7</v>
      </c>
      <c r="D994" s="1" t="s">
        <v>2237</v>
      </c>
      <c r="E994" s="1" t="s">
        <v>383</v>
      </c>
      <c r="F994" s="1" t="s">
        <v>2238</v>
      </c>
      <c r="G994" s="1">
        <v>122347.0</v>
      </c>
      <c r="H994" s="1">
        <v>345.0</v>
      </c>
      <c r="I994" s="1" t="s">
        <v>16</v>
      </c>
      <c r="J994" s="1">
        <v>4.7E7</v>
      </c>
      <c r="K994" s="1">
        <v>1996.0</v>
      </c>
      <c r="L994" s="1">
        <v>6.0</v>
      </c>
      <c r="O994" s="3"/>
      <c r="S994" s="4"/>
    </row>
    <row r="995" ht="14.25" customHeight="1">
      <c r="A995" s="1" t="s">
        <v>2239</v>
      </c>
      <c r="B995" s="1">
        <v>105.0</v>
      </c>
      <c r="C995" s="1">
        <v>1.03738726E8</v>
      </c>
      <c r="D995" s="1" t="s">
        <v>2240</v>
      </c>
      <c r="E995" s="1" t="s">
        <v>2241</v>
      </c>
      <c r="F995" s="1" t="s">
        <v>2242</v>
      </c>
      <c r="G995" s="1">
        <v>47819.0</v>
      </c>
      <c r="H995" s="1">
        <v>164.0</v>
      </c>
      <c r="I995" s="1" t="s">
        <v>16</v>
      </c>
      <c r="J995" s="1">
        <v>1.0E8</v>
      </c>
      <c r="K995" s="1">
        <v>1990.0</v>
      </c>
      <c r="L995" s="1">
        <v>6.1</v>
      </c>
      <c r="O995" s="3"/>
      <c r="S995" s="4"/>
    </row>
    <row r="996" ht="14.25" customHeight="1">
      <c r="A996" s="1" t="s">
        <v>545</v>
      </c>
      <c r="B996" s="1">
        <v>113.0</v>
      </c>
      <c r="C996" s="1">
        <v>6.9304264E7</v>
      </c>
      <c r="D996" s="1" t="s">
        <v>2243</v>
      </c>
      <c r="E996" s="1" t="s">
        <v>2244</v>
      </c>
      <c r="F996" s="1" t="s">
        <v>2245</v>
      </c>
      <c r="G996" s="1">
        <v>73068.0</v>
      </c>
      <c r="H996" s="1">
        <v>419.0</v>
      </c>
      <c r="I996" s="1" t="s">
        <v>16</v>
      </c>
      <c r="J996" s="1">
        <v>4.8E7</v>
      </c>
      <c r="K996" s="1">
        <v>1999.0</v>
      </c>
      <c r="L996" s="1">
        <v>6.8</v>
      </c>
      <c r="O996" s="3"/>
      <c r="S996" s="4"/>
    </row>
    <row r="997" ht="14.25" customHeight="1">
      <c r="A997" s="1" t="s">
        <v>2246</v>
      </c>
      <c r="B997" s="1">
        <v>132.0</v>
      </c>
      <c r="C997" s="1">
        <v>2.9781453E7</v>
      </c>
      <c r="D997" s="1" t="s">
        <v>1696</v>
      </c>
      <c r="E997" s="1" t="s">
        <v>2247</v>
      </c>
      <c r="F997" s="1" t="s">
        <v>2248</v>
      </c>
      <c r="G997" s="1">
        <v>22447.0</v>
      </c>
      <c r="H997" s="1">
        <v>210.0</v>
      </c>
      <c r="I997" s="1" t="s">
        <v>16</v>
      </c>
      <c r="J997" s="1">
        <v>4.8E7</v>
      </c>
      <c r="K997" s="1">
        <v>2001.0</v>
      </c>
      <c r="L997" s="1">
        <v>6.4</v>
      </c>
      <c r="O997" s="3"/>
      <c r="S997" s="4"/>
    </row>
    <row r="998" ht="14.25" customHeight="1">
      <c r="A998" s="1" t="s">
        <v>2249</v>
      </c>
      <c r="B998" s="1">
        <v>75.0</v>
      </c>
      <c r="C998" s="1">
        <v>1.5519841E7</v>
      </c>
      <c r="D998" s="1" t="s">
        <v>118</v>
      </c>
      <c r="E998" s="1" t="s">
        <v>1041</v>
      </c>
      <c r="F998" s="1" t="s">
        <v>2250</v>
      </c>
      <c r="G998" s="1">
        <v>8693.0</v>
      </c>
      <c r="H998" s="1">
        <v>71.0</v>
      </c>
      <c r="I998" s="1" t="s">
        <v>16</v>
      </c>
      <c r="J998" s="1">
        <v>4.7E7</v>
      </c>
      <c r="K998" s="1">
        <v>2006.0</v>
      </c>
      <c r="L998" s="1">
        <v>4.5</v>
      </c>
      <c r="O998" s="3"/>
      <c r="S998" s="4"/>
    </row>
    <row r="999" ht="14.25" customHeight="1">
      <c r="A999" s="1" t="s">
        <v>2251</v>
      </c>
      <c r="B999" s="1">
        <v>108.0</v>
      </c>
      <c r="C999" s="1">
        <v>5600000.0</v>
      </c>
      <c r="D999" s="1" t="s">
        <v>1381</v>
      </c>
      <c r="E999" s="1" t="s">
        <v>1028</v>
      </c>
      <c r="F999" s="1" t="s">
        <v>2252</v>
      </c>
      <c r="G999" s="1">
        <v>11913.0</v>
      </c>
      <c r="H999" s="1">
        <v>97.0</v>
      </c>
      <c r="I999" s="1" t="s">
        <v>16</v>
      </c>
      <c r="J999" s="1">
        <v>4.7E7</v>
      </c>
      <c r="K999" s="1">
        <v>1996.0</v>
      </c>
      <c r="L999" s="1">
        <v>5.8</v>
      </c>
      <c r="O999" s="3"/>
      <c r="S999" s="4"/>
    </row>
    <row r="1000" ht="14.25" customHeight="1">
      <c r="A1000" s="1" t="s">
        <v>2253</v>
      </c>
      <c r="B1000" s="1">
        <v>105.0</v>
      </c>
      <c r="C1000" s="1">
        <v>1.26805112E8</v>
      </c>
      <c r="D1000" s="1" t="s">
        <v>699</v>
      </c>
      <c r="E1000" s="1" t="s">
        <v>1028</v>
      </c>
      <c r="F1000" s="1" t="s">
        <v>2254</v>
      </c>
      <c r="G1000" s="1">
        <v>98199.0</v>
      </c>
      <c r="H1000" s="1">
        <v>169.0</v>
      </c>
      <c r="I1000" s="1" t="s">
        <v>16</v>
      </c>
      <c r="J1000" s="1">
        <v>4.6E7</v>
      </c>
      <c r="K1000" s="1">
        <v>1997.0</v>
      </c>
      <c r="L1000" s="1">
        <v>6.3</v>
      </c>
      <c r="O1000" s="3"/>
      <c r="S1000" s="4"/>
    </row>
    <row r="1001" ht="14.25" customHeight="1">
      <c r="A1001" s="1" t="s">
        <v>2061</v>
      </c>
      <c r="B1001" s="1">
        <v>102.0</v>
      </c>
      <c r="C1001" s="1">
        <v>9.3607673E7</v>
      </c>
      <c r="D1001" s="1" t="s">
        <v>699</v>
      </c>
      <c r="E1001" s="1" t="s">
        <v>1028</v>
      </c>
      <c r="F1001" s="1" t="s">
        <v>2255</v>
      </c>
      <c r="G1001" s="1">
        <v>47573.0</v>
      </c>
      <c r="H1001" s="1">
        <v>343.0</v>
      </c>
      <c r="I1001" s="1" t="s">
        <v>16</v>
      </c>
      <c r="J1001" s="1">
        <v>4.8E7</v>
      </c>
      <c r="K1001" s="1">
        <v>2001.0</v>
      </c>
      <c r="L1001" s="1">
        <v>5.7</v>
      </c>
      <c r="O1001" s="3"/>
      <c r="S1001" s="4"/>
    </row>
    <row r="1002" ht="14.25" customHeight="1">
      <c r="A1002" s="1" t="s">
        <v>25</v>
      </c>
      <c r="B1002" s="1">
        <v>118.0</v>
      </c>
      <c r="C1002" s="1">
        <v>6.7263182E7</v>
      </c>
      <c r="D1002" s="1" t="s">
        <v>806</v>
      </c>
      <c r="E1002" s="1" t="s">
        <v>1002</v>
      </c>
      <c r="F1002" s="1" t="s">
        <v>2256</v>
      </c>
      <c r="G1002" s="1">
        <v>218771.0</v>
      </c>
      <c r="H1002" s="1">
        <v>651.0</v>
      </c>
      <c r="I1002" s="1" t="s">
        <v>16</v>
      </c>
      <c r="J1002" s="1">
        <v>4.6E7</v>
      </c>
      <c r="K1002" s="1">
        <v>2002.0</v>
      </c>
      <c r="L1002" s="1">
        <v>7.2</v>
      </c>
      <c r="O1002" s="3"/>
      <c r="S1002" s="4"/>
    </row>
    <row r="1003" ht="14.25" customHeight="1">
      <c r="A1003" s="1" t="s">
        <v>1376</v>
      </c>
      <c r="B1003" s="1">
        <v>111.0</v>
      </c>
      <c r="C1003" s="1">
        <v>9.2001027E7</v>
      </c>
      <c r="D1003" s="1" t="s">
        <v>2257</v>
      </c>
      <c r="E1003" s="1" t="s">
        <v>1377</v>
      </c>
      <c r="F1003" s="1" t="s">
        <v>2258</v>
      </c>
      <c r="G1003" s="1">
        <v>97838.0</v>
      </c>
      <c r="H1003" s="1">
        <v>286.0</v>
      </c>
      <c r="I1003" s="1" t="s">
        <v>16</v>
      </c>
      <c r="J1003" s="1">
        <v>4.5E7</v>
      </c>
      <c r="K1003" s="1">
        <v>1996.0</v>
      </c>
      <c r="L1003" s="1">
        <v>7.6</v>
      </c>
      <c r="O1003" s="3"/>
      <c r="S1003" s="4"/>
    </row>
    <row r="1004" ht="14.25" customHeight="1">
      <c r="A1004" s="1" t="s">
        <v>1896</v>
      </c>
      <c r="B1004" s="1">
        <v>81.0</v>
      </c>
      <c r="C1004" s="1">
        <v>1.0539414E7</v>
      </c>
      <c r="D1004" s="1" t="s">
        <v>2259</v>
      </c>
      <c r="E1004" s="1" t="s">
        <v>576</v>
      </c>
      <c r="F1004" s="1" t="s">
        <v>2260</v>
      </c>
      <c r="G1004" s="1">
        <v>45729.0</v>
      </c>
      <c r="H1004" s="1">
        <v>176.0</v>
      </c>
      <c r="I1004" s="1" t="s">
        <v>16</v>
      </c>
      <c r="J1004" s="1">
        <v>4.7E7</v>
      </c>
      <c r="K1004" s="1">
        <v>2010.0</v>
      </c>
      <c r="L1004" s="1">
        <v>4.7</v>
      </c>
      <c r="O1004" s="3"/>
      <c r="S1004" s="4"/>
    </row>
    <row r="1005" ht="14.25" customHeight="1">
      <c r="A1005" s="1" t="s">
        <v>430</v>
      </c>
      <c r="B1005" s="1">
        <v>116.0</v>
      </c>
      <c r="C1005" s="1">
        <v>5.8918501E7</v>
      </c>
      <c r="D1005" s="1" t="s">
        <v>2261</v>
      </c>
      <c r="E1005" s="1" t="s">
        <v>717</v>
      </c>
      <c r="F1005" s="1" t="s">
        <v>2262</v>
      </c>
      <c r="G1005" s="1">
        <v>40126.0</v>
      </c>
      <c r="H1005" s="1">
        <v>107.0</v>
      </c>
      <c r="I1005" s="1" t="s">
        <v>16</v>
      </c>
      <c r="J1005" s="1">
        <v>4.6E7</v>
      </c>
      <c r="K1005" s="1">
        <v>1996.0</v>
      </c>
      <c r="L1005" s="1">
        <v>6.6</v>
      </c>
      <c r="O1005" s="3"/>
      <c r="S1005" s="4"/>
    </row>
    <row r="1006" ht="14.25" customHeight="1">
      <c r="A1006" s="1" t="s">
        <v>221</v>
      </c>
      <c r="B1006" s="1">
        <v>86.0</v>
      </c>
      <c r="C1006" s="1">
        <v>1.8139538E8</v>
      </c>
      <c r="D1006" s="1" t="s">
        <v>1481</v>
      </c>
      <c r="E1006" s="1" t="s">
        <v>1529</v>
      </c>
      <c r="F1006" s="1" t="s">
        <v>2263</v>
      </c>
      <c r="G1006" s="1">
        <v>220392.0</v>
      </c>
      <c r="H1006" s="1">
        <v>243.0</v>
      </c>
      <c r="I1006" s="1" t="s">
        <v>16</v>
      </c>
      <c r="J1006" s="1">
        <v>4.5E7</v>
      </c>
      <c r="K1006" s="1">
        <v>1997.0</v>
      </c>
      <c r="L1006" s="1">
        <v>6.8</v>
      </c>
      <c r="O1006" s="3"/>
      <c r="S1006" s="4"/>
    </row>
    <row r="1007" ht="14.25" customHeight="1">
      <c r="A1007" s="1" t="s">
        <v>2264</v>
      </c>
      <c r="B1007" s="1">
        <v>127.0</v>
      </c>
      <c r="C1007" s="1">
        <v>1.4946229E7</v>
      </c>
      <c r="D1007" s="1" t="s">
        <v>2265</v>
      </c>
      <c r="E1007" s="1" t="s">
        <v>2266</v>
      </c>
      <c r="F1007" s="1" t="s">
        <v>2267</v>
      </c>
      <c r="G1007" s="1">
        <v>2581.0</v>
      </c>
      <c r="H1007" s="1">
        <v>29.0</v>
      </c>
      <c r="I1007" s="1" t="s">
        <v>16</v>
      </c>
      <c r="J1007" s="1">
        <v>2.5E7</v>
      </c>
      <c r="K1007" s="1">
        <v>2016.0</v>
      </c>
      <c r="L1007" s="1">
        <v>7.3</v>
      </c>
      <c r="O1007" s="3"/>
      <c r="S1007" s="4"/>
    </row>
    <row r="1008" ht="14.25" customHeight="1">
      <c r="A1008" s="1" t="s">
        <v>1669</v>
      </c>
      <c r="B1008" s="1">
        <v>91.0</v>
      </c>
      <c r="C1008" s="1">
        <v>1.30512915E8</v>
      </c>
      <c r="D1008" s="1" t="s">
        <v>222</v>
      </c>
      <c r="E1008" s="1" t="s">
        <v>2268</v>
      </c>
      <c r="F1008" s="1" t="s">
        <v>2269</v>
      </c>
      <c r="G1008" s="1">
        <v>60884.0</v>
      </c>
      <c r="H1008" s="1">
        <v>85.0</v>
      </c>
      <c r="I1008" s="1" t="s">
        <v>16</v>
      </c>
      <c r="J1008" s="1">
        <v>4.5E7</v>
      </c>
      <c r="K1008" s="1">
        <v>1994.0</v>
      </c>
      <c r="L1008" s="1">
        <v>4.8</v>
      </c>
      <c r="O1008" s="3"/>
      <c r="S1008" s="4"/>
    </row>
    <row r="1009" ht="14.25" customHeight="1">
      <c r="A1009" s="1" t="s">
        <v>2234</v>
      </c>
      <c r="B1009" s="1">
        <v>98.0</v>
      </c>
      <c r="C1009" s="1">
        <v>1.39852971E8</v>
      </c>
      <c r="D1009" s="1" t="s">
        <v>146</v>
      </c>
      <c r="E1009" s="1" t="s">
        <v>100</v>
      </c>
      <c r="F1009" s="1" t="s">
        <v>2270</v>
      </c>
      <c r="G1009" s="1">
        <v>238671.0</v>
      </c>
      <c r="H1009" s="1">
        <v>461.0</v>
      </c>
      <c r="I1009" s="1" t="s">
        <v>16</v>
      </c>
      <c r="J1009" s="1">
        <v>4.5E7</v>
      </c>
      <c r="K1009" s="1">
        <v>2012.0</v>
      </c>
      <c r="L1009" s="1">
        <v>6.3</v>
      </c>
      <c r="O1009" s="3"/>
      <c r="S1009" s="4"/>
    </row>
    <row r="1010" ht="14.25" customHeight="1">
      <c r="A1010" s="1" t="s">
        <v>2271</v>
      </c>
      <c r="B1010" s="1">
        <v>84.0</v>
      </c>
      <c r="C1010" s="1">
        <v>1.10000082E8</v>
      </c>
      <c r="D1010" s="1" t="s">
        <v>828</v>
      </c>
      <c r="E1010" s="1" t="s">
        <v>2272</v>
      </c>
      <c r="F1010" s="1" t="s">
        <v>2273</v>
      </c>
      <c r="G1010" s="1">
        <v>111526.0</v>
      </c>
      <c r="H1010" s="1">
        <v>347.0</v>
      </c>
      <c r="I1010" s="1" t="s">
        <v>16</v>
      </c>
      <c r="J1010" s="1">
        <v>4.8E7</v>
      </c>
      <c r="K1010" s="1">
        <v>2003.0</v>
      </c>
      <c r="L1010" s="1">
        <v>5.5</v>
      </c>
      <c r="O1010" s="3"/>
      <c r="S1010" s="4"/>
    </row>
    <row r="1011" ht="14.25" customHeight="1">
      <c r="A1011" s="1" t="s">
        <v>1727</v>
      </c>
      <c r="B1011" s="1">
        <v>109.0</v>
      </c>
      <c r="C1011" s="1">
        <v>1.06807667E8</v>
      </c>
      <c r="D1011" s="1" t="s">
        <v>2274</v>
      </c>
      <c r="E1011" s="1" t="s">
        <v>2275</v>
      </c>
      <c r="F1011" s="1" t="s">
        <v>2276</v>
      </c>
      <c r="G1011" s="1">
        <v>137377.0</v>
      </c>
      <c r="H1011" s="1">
        <v>370.0</v>
      </c>
      <c r="I1011" s="1" t="s">
        <v>16</v>
      </c>
      <c r="J1011" s="1">
        <v>4.5E7</v>
      </c>
      <c r="K1011" s="1">
        <v>2000.0</v>
      </c>
      <c r="L1011" s="1">
        <v>6.2</v>
      </c>
      <c r="O1011" s="3"/>
      <c r="S1011" s="4"/>
    </row>
    <row r="1012" ht="14.25" customHeight="1">
      <c r="A1012" s="1" t="s">
        <v>1120</v>
      </c>
      <c r="B1012" s="1">
        <v>93.0</v>
      </c>
      <c r="C1012" s="1">
        <v>1.0170206E8</v>
      </c>
      <c r="D1012" s="1" t="s">
        <v>2277</v>
      </c>
      <c r="E1012" s="1" t="s">
        <v>753</v>
      </c>
      <c r="F1012" s="1" t="s">
        <v>2278</v>
      </c>
      <c r="G1012" s="1">
        <v>85323.0</v>
      </c>
      <c r="H1012" s="1">
        <v>212.0</v>
      </c>
      <c r="I1012" s="1" t="s">
        <v>16</v>
      </c>
      <c r="J1012" s="1">
        <v>4.5E7</v>
      </c>
      <c r="K1012" s="1">
        <v>2008.0</v>
      </c>
      <c r="L1012" s="1">
        <v>5.8</v>
      </c>
      <c r="O1012" s="3"/>
      <c r="S1012" s="4"/>
    </row>
    <row r="1013" ht="14.25" customHeight="1">
      <c r="A1013" s="1" t="s">
        <v>1349</v>
      </c>
      <c r="B1013" s="1">
        <v>113.0</v>
      </c>
      <c r="C1013" s="1">
        <v>9.5149435E7</v>
      </c>
      <c r="D1013" s="1" t="s">
        <v>1125</v>
      </c>
      <c r="E1013" s="1" t="s">
        <v>953</v>
      </c>
      <c r="F1013" s="1" t="s">
        <v>2279</v>
      </c>
      <c r="G1013" s="1">
        <v>53687.0</v>
      </c>
      <c r="H1013" s="1">
        <v>152.0</v>
      </c>
      <c r="I1013" s="1" t="s">
        <v>16</v>
      </c>
      <c r="J1013" s="1">
        <v>4.0E7</v>
      </c>
      <c r="K1013" s="1">
        <v>2004.0</v>
      </c>
      <c r="L1013" s="1">
        <v>5.7</v>
      </c>
      <c r="O1013" s="3"/>
      <c r="S1013" s="4"/>
    </row>
    <row r="1014" ht="14.25" customHeight="1">
      <c r="A1014" s="1" t="s">
        <v>959</v>
      </c>
      <c r="B1014" s="1">
        <v>141.0</v>
      </c>
      <c r="C1014" s="1">
        <v>1.00768056E8</v>
      </c>
      <c r="D1014" s="1" t="s">
        <v>909</v>
      </c>
      <c r="E1014" s="1" t="s">
        <v>717</v>
      </c>
      <c r="F1014" s="1" t="s">
        <v>2280</v>
      </c>
      <c r="G1014" s="1">
        <v>59569.0</v>
      </c>
      <c r="H1014" s="1">
        <v>89.0</v>
      </c>
      <c r="I1014" s="1" t="s">
        <v>16</v>
      </c>
      <c r="J1014" s="1">
        <v>4.5E7</v>
      </c>
      <c r="K1014" s="1">
        <v>1993.0</v>
      </c>
      <c r="L1014" s="1">
        <v>6.5</v>
      </c>
      <c r="O1014" s="3"/>
      <c r="S1014" s="4"/>
    </row>
    <row r="1015" ht="14.25" customHeight="1">
      <c r="A1015" s="1" t="s">
        <v>552</v>
      </c>
      <c r="B1015" s="1">
        <v>119.0</v>
      </c>
      <c r="C1015" s="1">
        <v>9.2115211E7</v>
      </c>
      <c r="D1015" s="1" t="s">
        <v>909</v>
      </c>
      <c r="E1015" s="1" t="s">
        <v>2281</v>
      </c>
      <c r="F1015" s="1" t="s">
        <v>2282</v>
      </c>
      <c r="G1015" s="1">
        <v>45798.0</v>
      </c>
      <c r="H1015" s="1">
        <v>94.0</v>
      </c>
      <c r="I1015" s="1" t="s">
        <v>16</v>
      </c>
      <c r="J1015" s="1">
        <v>4.5E7</v>
      </c>
      <c r="K1015" s="1">
        <v>1994.0</v>
      </c>
      <c r="L1015" s="1">
        <v>6.7</v>
      </c>
      <c r="O1015" s="3"/>
      <c r="S1015" s="4"/>
    </row>
    <row r="1016" ht="14.25" customHeight="1">
      <c r="A1016" s="1" t="s">
        <v>1580</v>
      </c>
      <c r="B1016" s="1">
        <v>97.0</v>
      </c>
      <c r="C1016" s="1">
        <v>9.3452056E7</v>
      </c>
      <c r="D1016" s="1" t="s">
        <v>2162</v>
      </c>
      <c r="E1016" s="1" t="s">
        <v>600</v>
      </c>
      <c r="F1016" s="1" t="s">
        <v>2283</v>
      </c>
      <c r="G1016" s="1">
        <v>184795.0</v>
      </c>
      <c r="H1016" s="1">
        <v>310.0</v>
      </c>
      <c r="I1016" s="1" t="s">
        <v>16</v>
      </c>
      <c r="J1016" s="1">
        <v>4.5E7</v>
      </c>
      <c r="K1016" s="1">
        <v>2007.0</v>
      </c>
      <c r="L1016" s="1">
        <v>7.4</v>
      </c>
      <c r="O1016" s="3"/>
      <c r="S1016" s="4"/>
    </row>
    <row r="1017" ht="14.25" customHeight="1">
      <c r="A1017" s="1" t="s">
        <v>502</v>
      </c>
      <c r="B1017" s="1">
        <v>117.0</v>
      </c>
      <c r="C1017" s="1">
        <v>8.3287363E7</v>
      </c>
      <c r="D1017" s="1" t="s">
        <v>26</v>
      </c>
      <c r="E1017" s="1" t="s">
        <v>169</v>
      </c>
      <c r="F1017" s="1" t="s">
        <v>2284</v>
      </c>
      <c r="G1017" s="1">
        <v>81442.0</v>
      </c>
      <c r="H1017" s="1">
        <v>137.0</v>
      </c>
      <c r="I1017" s="1" t="s">
        <v>16</v>
      </c>
      <c r="J1017" s="1">
        <v>4.5E7</v>
      </c>
      <c r="K1017" s="1">
        <v>1992.0</v>
      </c>
      <c r="L1017" s="1">
        <v>6.9</v>
      </c>
      <c r="O1017" s="3"/>
      <c r="S1017" s="4"/>
    </row>
    <row r="1018" ht="14.25" customHeight="1">
      <c r="A1018" s="1" t="s">
        <v>1265</v>
      </c>
      <c r="B1018" s="1">
        <v>101.0</v>
      </c>
      <c r="C1018" s="1">
        <v>8.2931301E7</v>
      </c>
      <c r="D1018" s="1" t="s">
        <v>699</v>
      </c>
      <c r="E1018" s="1" t="s">
        <v>896</v>
      </c>
      <c r="F1018" s="1" t="s">
        <v>2285</v>
      </c>
      <c r="G1018" s="1">
        <v>43358.0</v>
      </c>
      <c r="H1018" s="1">
        <v>228.0</v>
      </c>
      <c r="I1018" s="1" t="s">
        <v>16</v>
      </c>
      <c r="J1018" s="1">
        <v>6.0E7</v>
      </c>
      <c r="K1018" s="1">
        <v>2005.0</v>
      </c>
      <c r="L1018" s="1">
        <v>5.5</v>
      </c>
      <c r="O1018" s="3"/>
      <c r="S1018" s="4"/>
    </row>
    <row r="1019" ht="14.25" customHeight="1">
      <c r="A1019" s="1" t="s">
        <v>2286</v>
      </c>
      <c r="B1019" s="1">
        <v>153.0</v>
      </c>
      <c r="C1019" s="1">
        <v>6.0962878E7</v>
      </c>
      <c r="D1019" s="1" t="s">
        <v>909</v>
      </c>
      <c r="E1019" s="1" t="s">
        <v>115</v>
      </c>
      <c r="F1019" s="1" t="s">
        <v>2287</v>
      </c>
      <c r="G1019" s="1">
        <v>383591.0</v>
      </c>
      <c r="H1019" s="1">
        <v>620.0</v>
      </c>
      <c r="I1019" s="1" t="s">
        <v>16</v>
      </c>
      <c r="J1019" s="1">
        <v>4.6E7</v>
      </c>
      <c r="K1019" s="1">
        <v>2013.0</v>
      </c>
      <c r="L1019" s="1">
        <v>8.1</v>
      </c>
      <c r="O1019" s="3"/>
      <c r="S1019" s="4"/>
    </row>
    <row r="1020" ht="14.25" customHeight="1">
      <c r="A1020" s="1" t="s">
        <v>1263</v>
      </c>
      <c r="B1020" s="1">
        <v>122.0</v>
      </c>
      <c r="C1020" s="1">
        <v>7.6261036E7</v>
      </c>
      <c r="D1020" s="1" t="s">
        <v>901</v>
      </c>
      <c r="E1020" s="1" t="s">
        <v>717</v>
      </c>
      <c r="F1020" s="1" t="s">
        <v>2288</v>
      </c>
      <c r="G1020" s="1">
        <v>305929.0</v>
      </c>
      <c r="H1020" s="1">
        <v>633.0</v>
      </c>
      <c r="I1020" s="1" t="s">
        <v>16</v>
      </c>
      <c r="J1020" s="1">
        <v>4.5E7</v>
      </c>
      <c r="K1020" s="1">
        <v>2001.0</v>
      </c>
      <c r="L1020" s="1">
        <v>7.7</v>
      </c>
      <c r="O1020" s="3"/>
      <c r="S1020" s="4"/>
    </row>
    <row r="1021" ht="14.25" customHeight="1">
      <c r="A1021" s="1" t="s">
        <v>426</v>
      </c>
      <c r="B1021" s="1">
        <v>102.0</v>
      </c>
      <c r="C1021" s="1">
        <v>7.1423726E7</v>
      </c>
      <c r="D1021" s="1" t="s">
        <v>782</v>
      </c>
      <c r="E1021" s="1" t="s">
        <v>46</v>
      </c>
      <c r="F1021" s="1" t="s">
        <v>2289</v>
      </c>
      <c r="G1021" s="1">
        <v>123558.0</v>
      </c>
      <c r="H1021" s="1">
        <v>609.0</v>
      </c>
      <c r="I1021" s="1" t="s">
        <v>16</v>
      </c>
      <c r="J1021" s="1">
        <v>4.5E7</v>
      </c>
      <c r="K1021" s="1">
        <v>1999.0</v>
      </c>
      <c r="L1021" s="1">
        <v>7.3</v>
      </c>
      <c r="O1021" s="3"/>
      <c r="S1021" s="4"/>
    </row>
    <row r="1022" ht="14.25" customHeight="1">
      <c r="A1022" s="1" t="s">
        <v>1576</v>
      </c>
      <c r="B1022" s="1">
        <v>83.0</v>
      </c>
      <c r="C1022" s="1">
        <v>7.127742E7</v>
      </c>
      <c r="D1022" s="1" t="s">
        <v>828</v>
      </c>
      <c r="E1022" s="1" t="s">
        <v>2290</v>
      </c>
      <c r="F1022" s="1" t="s">
        <v>2291</v>
      </c>
      <c r="G1022" s="1">
        <v>119590.0</v>
      </c>
      <c r="H1022" s="1">
        <v>548.0</v>
      </c>
      <c r="I1022" s="1" t="s">
        <v>16</v>
      </c>
      <c r="J1022" s="1">
        <v>4.5E7</v>
      </c>
      <c r="K1022" s="1">
        <v>2001.0</v>
      </c>
      <c r="L1022" s="1">
        <v>5.2</v>
      </c>
      <c r="O1022" s="3"/>
      <c r="S1022" s="4"/>
    </row>
    <row r="1023" ht="14.25" customHeight="1">
      <c r="A1023" s="1" t="s">
        <v>306</v>
      </c>
      <c r="B1023" s="1">
        <v>103.0</v>
      </c>
      <c r="C1023" s="1">
        <v>8.8625922E7</v>
      </c>
      <c r="D1023" s="1" t="s">
        <v>2292</v>
      </c>
      <c r="E1023" s="1" t="s">
        <v>2293</v>
      </c>
      <c r="F1023" s="1" t="s">
        <v>2294</v>
      </c>
      <c r="G1023" s="1">
        <v>75176.0</v>
      </c>
      <c r="H1023" s="1">
        <v>252.0</v>
      </c>
      <c r="I1023" s="1" t="s">
        <v>16</v>
      </c>
      <c r="J1023" s="1">
        <v>4.5E7</v>
      </c>
      <c r="K1023" s="1">
        <v>2011.0</v>
      </c>
      <c r="L1023" s="1">
        <v>7.1</v>
      </c>
      <c r="O1023" s="3"/>
      <c r="S1023" s="4"/>
    </row>
    <row r="1024" ht="14.25" customHeight="1">
      <c r="A1024" s="1" t="s">
        <v>1218</v>
      </c>
      <c r="B1024" s="1">
        <v>110.0</v>
      </c>
      <c r="C1024" s="1">
        <v>7.0001065E7</v>
      </c>
      <c r="D1024" s="1" t="s">
        <v>2295</v>
      </c>
      <c r="E1024" s="1" t="s">
        <v>1369</v>
      </c>
      <c r="F1024" s="1" t="s">
        <v>2296</v>
      </c>
      <c r="G1024" s="1">
        <v>191437.0</v>
      </c>
      <c r="H1024" s="1">
        <v>582.0</v>
      </c>
      <c r="I1024" s="1" t="s">
        <v>16</v>
      </c>
      <c r="J1024" s="1">
        <v>4.5E7</v>
      </c>
      <c r="K1024" s="1">
        <v>1998.0</v>
      </c>
      <c r="L1024" s="1">
        <v>7.1</v>
      </c>
      <c r="O1024" s="3"/>
      <c r="S1024" s="4"/>
    </row>
    <row r="1025" ht="14.25" customHeight="1">
      <c r="A1025" s="1" t="s">
        <v>2297</v>
      </c>
      <c r="B1025" s="1">
        <v>136.0</v>
      </c>
      <c r="C1025" s="1">
        <v>6.7253092E7</v>
      </c>
      <c r="D1025" s="1" t="s">
        <v>1540</v>
      </c>
      <c r="E1025" s="1" t="s">
        <v>191</v>
      </c>
      <c r="F1025" s="1" t="s">
        <v>2298</v>
      </c>
      <c r="G1025" s="1">
        <v>92702.0</v>
      </c>
      <c r="H1025" s="1">
        <v>209.0</v>
      </c>
      <c r="I1025" s="1" t="s">
        <v>16</v>
      </c>
      <c r="J1025" s="1">
        <v>3.0E7</v>
      </c>
      <c r="K1025" s="1">
        <v>2005.0</v>
      </c>
      <c r="L1025" s="1">
        <v>7.2</v>
      </c>
      <c r="O1025" s="3"/>
      <c r="S1025" s="4"/>
    </row>
    <row r="1026" ht="14.25" customHeight="1">
      <c r="A1026" s="1" t="s">
        <v>2299</v>
      </c>
      <c r="B1026" s="1">
        <v>91.0</v>
      </c>
      <c r="C1026" s="1">
        <v>6.6790248E7</v>
      </c>
      <c r="D1026" s="1" t="s">
        <v>1654</v>
      </c>
      <c r="E1026" s="1" t="s">
        <v>937</v>
      </c>
      <c r="F1026" s="1" t="s">
        <v>2300</v>
      </c>
      <c r="G1026" s="1">
        <v>57281.0</v>
      </c>
      <c r="H1026" s="1">
        <v>350.0</v>
      </c>
      <c r="I1026" s="1" t="s">
        <v>16</v>
      </c>
      <c r="J1026" s="1">
        <v>4.5E7</v>
      </c>
      <c r="K1026" s="1">
        <v>2002.0</v>
      </c>
      <c r="L1026" s="1">
        <v>6.5</v>
      </c>
      <c r="O1026" s="3"/>
      <c r="S1026" s="4"/>
    </row>
    <row r="1027" ht="14.25" customHeight="1">
      <c r="A1027" s="1" t="s">
        <v>2301</v>
      </c>
      <c r="B1027" s="1">
        <v>89.0</v>
      </c>
      <c r="C1027" s="1">
        <v>6.5557989E7</v>
      </c>
      <c r="D1027" s="1" t="s">
        <v>2302</v>
      </c>
      <c r="E1027" s="1" t="s">
        <v>838</v>
      </c>
      <c r="F1027" s="1" t="s">
        <v>2303</v>
      </c>
      <c r="G1027" s="1">
        <v>73539.0</v>
      </c>
      <c r="H1027" s="1">
        <v>271.0</v>
      </c>
      <c r="I1027" s="1" t="s">
        <v>16</v>
      </c>
      <c r="J1027" s="1">
        <v>4.5E7</v>
      </c>
      <c r="K1027" s="1">
        <v>1997.0</v>
      </c>
      <c r="L1027" s="1">
        <v>4.6</v>
      </c>
      <c r="O1027" s="3"/>
      <c r="S1027" s="4"/>
    </row>
    <row r="1028" ht="14.25" customHeight="1">
      <c r="A1028" s="1" t="s">
        <v>1656</v>
      </c>
      <c r="B1028" s="1">
        <v>107.0</v>
      </c>
      <c r="C1028" s="1">
        <v>6.0786269E7</v>
      </c>
      <c r="D1028" s="1" t="s">
        <v>2304</v>
      </c>
      <c r="E1028" s="1" t="s">
        <v>2305</v>
      </c>
      <c r="F1028" s="1" t="s">
        <v>2306</v>
      </c>
      <c r="G1028" s="1">
        <v>90539.0</v>
      </c>
      <c r="H1028" s="1">
        <v>379.0</v>
      </c>
      <c r="I1028" s="1" t="s">
        <v>16</v>
      </c>
      <c r="J1028" s="1">
        <v>4.5E7</v>
      </c>
      <c r="K1028" s="1">
        <v>2000.0</v>
      </c>
      <c r="L1028" s="1">
        <v>5.6</v>
      </c>
      <c r="O1028" s="3"/>
      <c r="S1028" s="4"/>
    </row>
    <row r="1029" ht="14.25" customHeight="1">
      <c r="A1029" s="1" t="s">
        <v>2307</v>
      </c>
      <c r="B1029" s="1">
        <v>129.0</v>
      </c>
      <c r="C1029" s="1">
        <v>5.9365105E7</v>
      </c>
      <c r="D1029" s="1" t="s">
        <v>593</v>
      </c>
      <c r="E1029" s="1" t="s">
        <v>1475</v>
      </c>
      <c r="F1029" s="1" t="s">
        <v>2308</v>
      </c>
      <c r="G1029" s="1">
        <v>318634.0</v>
      </c>
      <c r="H1029" s="1">
        <v>1004.0</v>
      </c>
      <c r="I1029" s="1" t="s">
        <v>16</v>
      </c>
      <c r="J1029" s="1">
        <v>4.5E7</v>
      </c>
      <c r="K1029" s="1">
        <v>2003.0</v>
      </c>
      <c r="L1029" s="1">
        <v>7.7</v>
      </c>
      <c r="O1029" s="3"/>
      <c r="S1029" s="4"/>
    </row>
    <row r="1030" ht="14.25" customHeight="1">
      <c r="A1030" s="1" t="s">
        <v>132</v>
      </c>
      <c r="B1030" s="1">
        <v>95.0</v>
      </c>
      <c r="C1030" s="1">
        <v>1.62792677E8</v>
      </c>
      <c r="D1030" s="1" t="s">
        <v>118</v>
      </c>
      <c r="E1030" s="1" t="s">
        <v>52</v>
      </c>
      <c r="F1030" s="1" t="s">
        <v>2309</v>
      </c>
      <c r="G1030" s="1">
        <v>211226.0</v>
      </c>
      <c r="H1030" s="1">
        <v>317.0</v>
      </c>
      <c r="I1030" s="1" t="s">
        <v>16</v>
      </c>
      <c r="J1030" s="1">
        <v>1.2E8</v>
      </c>
      <c r="K1030" s="1">
        <v>1998.0</v>
      </c>
      <c r="L1030" s="1">
        <v>7.2</v>
      </c>
      <c r="O1030" s="3"/>
      <c r="S1030" s="4"/>
    </row>
    <row r="1031" ht="14.25" customHeight="1">
      <c r="A1031" s="1" t="s">
        <v>1098</v>
      </c>
      <c r="B1031" s="1">
        <v>122.0</v>
      </c>
      <c r="C1031" s="1">
        <v>3.1598308E7</v>
      </c>
      <c r="D1031" s="1" t="s">
        <v>1239</v>
      </c>
      <c r="E1031" s="1" t="s">
        <v>19</v>
      </c>
      <c r="F1031" s="1" t="s">
        <v>2310</v>
      </c>
      <c r="G1031" s="1">
        <v>124765.0</v>
      </c>
      <c r="H1031" s="1">
        <v>541.0</v>
      </c>
      <c r="I1031" s="1" t="s">
        <v>16</v>
      </c>
      <c r="J1031" s="1">
        <v>3.5E7</v>
      </c>
      <c r="K1031" s="1">
        <v>2001.0</v>
      </c>
      <c r="L1031" s="1">
        <v>6.8</v>
      </c>
      <c r="O1031" s="3"/>
      <c r="S1031" s="4"/>
    </row>
    <row r="1032" ht="14.25" customHeight="1">
      <c r="A1032" s="1" t="s">
        <v>2301</v>
      </c>
      <c r="B1032" s="1">
        <v>110.0</v>
      </c>
      <c r="C1032" s="1">
        <v>5.7362581E7</v>
      </c>
      <c r="D1032" s="1" t="s">
        <v>2311</v>
      </c>
      <c r="E1032" s="1" t="s">
        <v>1061</v>
      </c>
      <c r="F1032" s="1" t="s">
        <v>2312</v>
      </c>
      <c r="G1032" s="1">
        <v>50148.0</v>
      </c>
      <c r="H1032" s="1">
        <v>116.0</v>
      </c>
      <c r="I1032" s="1" t="s">
        <v>16</v>
      </c>
      <c r="J1032" s="1">
        <v>4.5E7</v>
      </c>
      <c r="K1032" s="1">
        <v>1994.0</v>
      </c>
      <c r="L1032" s="1">
        <v>5.4</v>
      </c>
      <c r="O1032" s="3"/>
      <c r="S1032" s="4"/>
    </row>
    <row r="1033" ht="14.25" customHeight="1">
      <c r="A1033" s="1" t="s">
        <v>1292</v>
      </c>
      <c r="B1033" s="1">
        <v>135.0</v>
      </c>
      <c r="C1033" s="1">
        <v>5.3854588E7</v>
      </c>
      <c r="D1033" s="1" t="s">
        <v>1825</v>
      </c>
      <c r="E1033" s="1" t="s">
        <v>2313</v>
      </c>
      <c r="F1033" s="1" t="s">
        <v>2314</v>
      </c>
      <c r="G1033" s="1">
        <v>37911.0</v>
      </c>
      <c r="H1033" s="1">
        <v>73.0</v>
      </c>
      <c r="I1033" s="1" t="s">
        <v>16</v>
      </c>
      <c r="J1033" s="1">
        <v>4.5E7</v>
      </c>
      <c r="K1033" s="1">
        <v>1996.0</v>
      </c>
      <c r="L1033" s="1">
        <v>6.3</v>
      </c>
      <c r="O1033" s="3"/>
      <c r="S1033" s="4"/>
    </row>
    <row r="1034" ht="14.25" customHeight="1">
      <c r="A1034" s="1" t="s">
        <v>1864</v>
      </c>
      <c r="B1034" s="1">
        <v>95.0</v>
      </c>
      <c r="C1034" s="1">
        <v>5.2580895E7</v>
      </c>
      <c r="D1034" s="1" t="s">
        <v>2315</v>
      </c>
      <c r="E1034" s="1" t="s">
        <v>753</v>
      </c>
      <c r="F1034" s="1" t="s">
        <v>2316</v>
      </c>
      <c r="G1034" s="1">
        <v>30255.0</v>
      </c>
      <c r="H1034" s="1">
        <v>118.0</v>
      </c>
      <c r="I1034" s="1" t="s">
        <v>16</v>
      </c>
      <c r="J1034" s="1">
        <v>4.5E7</v>
      </c>
      <c r="K1034" s="1">
        <v>2005.0</v>
      </c>
      <c r="L1034" s="1">
        <v>5.6</v>
      </c>
      <c r="O1034" s="3"/>
      <c r="S1034" s="4"/>
    </row>
    <row r="1035" ht="14.25" customHeight="1">
      <c r="A1035" s="1" t="s">
        <v>2317</v>
      </c>
      <c r="B1035" s="1">
        <v>109.0</v>
      </c>
      <c r="C1035" s="1">
        <v>5.1019112E7</v>
      </c>
      <c r="D1035" s="1" t="s">
        <v>782</v>
      </c>
      <c r="E1035" s="1" t="s">
        <v>1662</v>
      </c>
      <c r="F1035" s="1" t="s">
        <v>2318</v>
      </c>
      <c r="G1035" s="1">
        <v>155745.0</v>
      </c>
      <c r="H1035" s="1">
        <v>1053.0</v>
      </c>
      <c r="I1035" s="1" t="s">
        <v>16</v>
      </c>
      <c r="J1035" s="1">
        <v>5.0E7</v>
      </c>
      <c r="K1035" s="1">
        <v>2005.0</v>
      </c>
      <c r="L1035" s="1">
        <v>6.8</v>
      </c>
      <c r="O1035" s="3"/>
      <c r="S1035" s="4"/>
    </row>
    <row r="1036" ht="14.25" customHeight="1">
      <c r="A1036" s="1" t="s">
        <v>2319</v>
      </c>
      <c r="B1036" s="1">
        <v>93.0</v>
      </c>
      <c r="C1036" s="1">
        <v>4.8114556E7</v>
      </c>
      <c r="D1036" s="1" t="s">
        <v>1088</v>
      </c>
      <c r="E1036" s="1" t="s">
        <v>2320</v>
      </c>
      <c r="F1036" s="1" t="s">
        <v>2321</v>
      </c>
      <c r="G1036" s="1">
        <v>9380.0</v>
      </c>
      <c r="H1036" s="1">
        <v>91.0</v>
      </c>
      <c r="I1036" s="1" t="s">
        <v>16</v>
      </c>
      <c r="J1036" s="1">
        <v>2.6E7</v>
      </c>
      <c r="K1036" s="1">
        <v>2004.0</v>
      </c>
      <c r="L1036" s="1">
        <v>4.3</v>
      </c>
      <c r="O1036" s="3"/>
      <c r="S1036" s="4"/>
    </row>
    <row r="1037" ht="14.25" customHeight="1">
      <c r="A1037" s="1" t="s">
        <v>2322</v>
      </c>
      <c r="B1037" s="1">
        <v>94.0</v>
      </c>
      <c r="C1037" s="1">
        <v>5.0648679E7</v>
      </c>
      <c r="D1037" s="1" t="s">
        <v>934</v>
      </c>
      <c r="E1037" s="1" t="s">
        <v>831</v>
      </c>
      <c r="F1037" s="1" t="s">
        <v>2323</v>
      </c>
      <c r="G1037" s="1">
        <v>149549.0</v>
      </c>
      <c r="H1037" s="1">
        <v>348.0</v>
      </c>
      <c r="I1037" s="1" t="s">
        <v>16</v>
      </c>
      <c r="J1037" s="1">
        <v>4.5E7</v>
      </c>
      <c r="K1037" s="1">
        <v>2007.0</v>
      </c>
      <c r="L1037" s="1">
        <v>6.3</v>
      </c>
      <c r="O1037" s="3"/>
      <c r="S1037" s="4"/>
    </row>
    <row r="1038" ht="14.25" customHeight="1">
      <c r="A1038" s="1" t="s">
        <v>677</v>
      </c>
      <c r="B1038" s="1">
        <v>117.0</v>
      </c>
      <c r="C1038" s="1">
        <v>4.6280507E7</v>
      </c>
      <c r="D1038" s="1" t="s">
        <v>699</v>
      </c>
      <c r="E1038" s="1" t="s">
        <v>918</v>
      </c>
      <c r="F1038" s="1" t="s">
        <v>2324</v>
      </c>
      <c r="G1038" s="1">
        <v>87165.0</v>
      </c>
      <c r="H1038" s="1">
        <v>184.0</v>
      </c>
      <c r="I1038" s="1" t="s">
        <v>16</v>
      </c>
      <c r="J1038" s="1">
        <v>4.0E7</v>
      </c>
      <c r="K1038" s="1">
        <v>2014.0</v>
      </c>
      <c r="L1038" s="1">
        <v>6.5</v>
      </c>
      <c r="O1038" s="3"/>
      <c r="S1038" s="4"/>
    </row>
    <row r="1039" ht="14.25" customHeight="1">
      <c r="A1039" s="1" t="s">
        <v>1873</v>
      </c>
      <c r="B1039" s="1">
        <v>112.0</v>
      </c>
      <c r="C1039" s="1">
        <v>3.8360195E7</v>
      </c>
      <c r="D1039" s="1" t="s">
        <v>2162</v>
      </c>
      <c r="E1039" s="1" t="s">
        <v>1421</v>
      </c>
      <c r="F1039" s="1" t="s">
        <v>2325</v>
      </c>
      <c r="G1039" s="1">
        <v>21215.0</v>
      </c>
      <c r="H1039" s="1">
        <v>116.0</v>
      </c>
      <c r="I1039" s="1" t="s">
        <v>16</v>
      </c>
      <c r="J1039" s="1">
        <v>4.5E7</v>
      </c>
      <c r="K1039" s="1">
        <v>2006.0</v>
      </c>
      <c r="L1039" s="1">
        <v>6.4</v>
      </c>
      <c r="O1039" s="3"/>
      <c r="S1039" s="4"/>
    </row>
    <row r="1040" ht="14.25" customHeight="1">
      <c r="A1040" s="1" t="s">
        <v>1985</v>
      </c>
      <c r="B1040" s="1">
        <v>111.0</v>
      </c>
      <c r="C1040" s="1">
        <v>4.6815748E7</v>
      </c>
      <c r="D1040" s="1" t="s">
        <v>1362</v>
      </c>
      <c r="E1040" s="1" t="s">
        <v>1000</v>
      </c>
      <c r="F1040" s="1" t="s">
        <v>2326</v>
      </c>
      <c r="G1040" s="1">
        <v>32544.0</v>
      </c>
      <c r="H1040" s="1">
        <v>69.0</v>
      </c>
      <c r="I1040" s="1" t="s">
        <v>16</v>
      </c>
      <c r="J1040" s="1">
        <v>4.5E7</v>
      </c>
      <c r="K1040" s="1">
        <v>1994.0</v>
      </c>
      <c r="L1040" s="1">
        <v>6.3</v>
      </c>
      <c r="O1040" s="3"/>
      <c r="S1040" s="4"/>
    </row>
    <row r="1041" ht="14.25" customHeight="1">
      <c r="A1041" s="1" t="s">
        <v>820</v>
      </c>
      <c r="B1041" s="1">
        <v>96.0</v>
      </c>
      <c r="C1041" s="1">
        <v>3.5617599E7</v>
      </c>
      <c r="D1041" s="1" t="s">
        <v>2327</v>
      </c>
      <c r="E1041" s="1" t="s">
        <v>1216</v>
      </c>
      <c r="F1041" s="1" t="s">
        <v>2328</v>
      </c>
      <c r="G1041" s="1">
        <v>20688.0</v>
      </c>
      <c r="H1041" s="1">
        <v>47.0</v>
      </c>
      <c r="I1041" s="1" t="s">
        <v>16</v>
      </c>
      <c r="J1041" s="1">
        <v>4.5E7</v>
      </c>
      <c r="K1041" s="1">
        <v>1995.0</v>
      </c>
      <c r="L1041" s="1">
        <v>5.9</v>
      </c>
      <c r="O1041" s="3"/>
      <c r="S1041" s="4"/>
    </row>
    <row r="1042" ht="14.25" customHeight="1">
      <c r="A1042" s="1" t="s">
        <v>324</v>
      </c>
      <c r="B1042" s="1">
        <v>141.0</v>
      </c>
      <c r="C1042" s="1">
        <v>4.730755E7</v>
      </c>
      <c r="D1042" s="1" t="s">
        <v>901</v>
      </c>
      <c r="E1042" s="1" t="s">
        <v>2329</v>
      </c>
      <c r="F1042" s="1" t="s">
        <v>2330</v>
      </c>
      <c r="G1042" s="1">
        <v>104301.0</v>
      </c>
      <c r="H1042" s="1">
        <v>269.0</v>
      </c>
      <c r="I1042" s="1" t="s">
        <v>16</v>
      </c>
      <c r="J1042" s="1">
        <v>4.5E7</v>
      </c>
      <c r="K1042" s="1">
        <v>2012.0</v>
      </c>
      <c r="L1042" s="1">
        <v>6.5</v>
      </c>
      <c r="O1042" s="3"/>
      <c r="S1042" s="4"/>
    </row>
    <row r="1043" ht="14.25" customHeight="1">
      <c r="A1043" s="1" t="s">
        <v>2331</v>
      </c>
      <c r="B1043" s="1">
        <v>94.0</v>
      </c>
      <c r="C1043" s="1">
        <v>3.200362E7</v>
      </c>
      <c r="D1043" s="1" t="s">
        <v>146</v>
      </c>
      <c r="E1043" s="1" t="s">
        <v>2332</v>
      </c>
      <c r="F1043" s="1" t="s">
        <v>2333</v>
      </c>
      <c r="G1043" s="1">
        <v>79141.0</v>
      </c>
      <c r="H1043" s="1">
        <v>355.0</v>
      </c>
      <c r="I1043" s="1" t="s">
        <v>16</v>
      </c>
      <c r="J1043" s="1">
        <v>2.5E7</v>
      </c>
      <c r="K1043" s="1">
        <v>2004.0</v>
      </c>
      <c r="L1043" s="1">
        <v>6.5</v>
      </c>
      <c r="O1043" s="3"/>
      <c r="S1043" s="4"/>
    </row>
    <row r="1044" ht="14.25" customHeight="1">
      <c r="A1044" s="1" t="s">
        <v>2334</v>
      </c>
      <c r="B1044" s="1">
        <v>87.0</v>
      </c>
      <c r="C1044" s="1">
        <v>2.797241E7</v>
      </c>
      <c r="D1044" s="1" t="s">
        <v>678</v>
      </c>
      <c r="E1044" s="1" t="s">
        <v>2335</v>
      </c>
      <c r="F1044" s="1" t="s">
        <v>2336</v>
      </c>
      <c r="G1044" s="1">
        <v>114692.0</v>
      </c>
      <c r="H1044" s="1">
        <v>285.0</v>
      </c>
      <c r="I1044" s="1" t="s">
        <v>16</v>
      </c>
      <c r="J1044" s="1">
        <v>3.5E7</v>
      </c>
      <c r="K1044" s="1">
        <v>2003.0</v>
      </c>
      <c r="L1044" s="1">
        <v>6.1</v>
      </c>
      <c r="O1044" s="3"/>
      <c r="S1044" s="4"/>
    </row>
    <row r="1045" ht="14.25" customHeight="1">
      <c r="A1045" s="1" t="s">
        <v>2337</v>
      </c>
      <c r="B1045" s="1">
        <v>88.0</v>
      </c>
      <c r="C1045" s="1">
        <v>2.8133159E7</v>
      </c>
      <c r="D1045" s="1" t="s">
        <v>118</v>
      </c>
      <c r="E1045" s="1" t="s">
        <v>301</v>
      </c>
      <c r="F1045" s="1" t="s">
        <v>2338</v>
      </c>
      <c r="G1045" s="1">
        <v>30055.0</v>
      </c>
      <c r="H1045" s="1">
        <v>70.0</v>
      </c>
      <c r="I1045" s="1" t="s">
        <v>16</v>
      </c>
      <c r="J1045" s="1">
        <v>5.0E7</v>
      </c>
      <c r="K1045" s="1">
        <v>2006.0</v>
      </c>
      <c r="L1045" s="1">
        <v>5.9</v>
      </c>
      <c r="O1045" s="3"/>
      <c r="S1045" s="4"/>
    </row>
    <row r="1046" ht="14.25" customHeight="1">
      <c r="A1046" s="1" t="s">
        <v>2339</v>
      </c>
      <c r="B1046" s="1">
        <v>177.0</v>
      </c>
      <c r="C1046" s="1">
        <v>2.74E7</v>
      </c>
      <c r="D1046" s="1" t="s">
        <v>30</v>
      </c>
      <c r="E1046" s="1" t="s">
        <v>2340</v>
      </c>
      <c r="F1046" s="1" t="s">
        <v>2341</v>
      </c>
      <c r="G1046" s="1">
        <v>97087.0</v>
      </c>
      <c r="H1046" s="1">
        <v>569.0</v>
      </c>
      <c r="I1046" s="1" t="s">
        <v>16</v>
      </c>
      <c r="J1046" s="1">
        <v>4.0E7</v>
      </c>
      <c r="K1046" s="1">
        <v>1984.0</v>
      </c>
      <c r="L1046" s="1">
        <v>6.6</v>
      </c>
      <c r="O1046" s="3"/>
      <c r="S1046" s="4"/>
    </row>
    <row r="1047" ht="14.25" customHeight="1">
      <c r="A1047" s="1" t="s">
        <v>2342</v>
      </c>
      <c r="B1047" s="1">
        <v>133.0</v>
      </c>
      <c r="C1047" s="1">
        <v>2.4343673E7</v>
      </c>
      <c r="D1047" s="1" t="s">
        <v>2343</v>
      </c>
      <c r="E1047" s="1" t="s">
        <v>2344</v>
      </c>
      <c r="F1047" s="1" t="s">
        <v>2345</v>
      </c>
      <c r="G1047" s="1">
        <v>91860.0</v>
      </c>
      <c r="H1047" s="1">
        <v>524.0</v>
      </c>
      <c r="I1047" s="1" t="s">
        <v>16</v>
      </c>
      <c r="J1047" s="1">
        <v>4.5E7</v>
      </c>
      <c r="K1047" s="1">
        <v>2007.0</v>
      </c>
      <c r="L1047" s="1">
        <v>7.4</v>
      </c>
      <c r="O1047" s="3"/>
      <c r="S1047" s="4"/>
    </row>
    <row r="1048" ht="14.25" customHeight="1">
      <c r="A1048" s="1" t="s">
        <v>21</v>
      </c>
      <c r="B1048" s="1">
        <v>119.0</v>
      </c>
      <c r="C1048" s="1">
        <v>2.2877808E7</v>
      </c>
      <c r="D1048" s="1" t="s">
        <v>92</v>
      </c>
      <c r="E1048" s="1" t="s">
        <v>93</v>
      </c>
      <c r="F1048" s="1" t="s">
        <v>2346</v>
      </c>
      <c r="G1048" s="1">
        <v>152591.0</v>
      </c>
      <c r="H1048" s="1">
        <v>414.0</v>
      </c>
      <c r="I1048" s="1" t="s">
        <v>16</v>
      </c>
      <c r="J1048" s="1">
        <v>3.5E7</v>
      </c>
      <c r="K1048" s="1">
        <v>2008.0</v>
      </c>
      <c r="L1048" s="1">
        <v>7.3</v>
      </c>
      <c r="O1048" s="3"/>
      <c r="S1048" s="4"/>
    </row>
    <row r="1049" ht="14.25" customHeight="1">
      <c r="A1049" s="1" t="s">
        <v>446</v>
      </c>
      <c r="B1049" s="1">
        <v>102.0</v>
      </c>
      <c r="C1049" s="1">
        <v>3.6883539E7</v>
      </c>
      <c r="D1049" s="1" t="s">
        <v>197</v>
      </c>
      <c r="E1049" s="1" t="s">
        <v>415</v>
      </c>
      <c r="F1049" s="1" t="s">
        <v>2347</v>
      </c>
      <c r="G1049" s="1">
        <v>112769.0</v>
      </c>
      <c r="H1049" s="1">
        <v>305.0</v>
      </c>
      <c r="I1049" s="1" t="s">
        <v>16</v>
      </c>
      <c r="J1049" s="1">
        <v>5.2E7</v>
      </c>
      <c r="K1049" s="1">
        <v>2006.0</v>
      </c>
      <c r="L1049" s="1">
        <v>6.6</v>
      </c>
      <c r="O1049" s="3"/>
      <c r="S1049" s="4"/>
    </row>
    <row r="1050" ht="14.25" customHeight="1">
      <c r="A1050" s="1" t="s">
        <v>2348</v>
      </c>
      <c r="B1050" s="1">
        <v>101.0</v>
      </c>
      <c r="C1050" s="1">
        <v>2.2531698E7</v>
      </c>
      <c r="D1050" s="1" t="s">
        <v>99</v>
      </c>
      <c r="E1050" s="1" t="s">
        <v>584</v>
      </c>
      <c r="F1050" s="1" t="s">
        <v>2349</v>
      </c>
      <c r="G1050" s="1">
        <v>81523.0</v>
      </c>
      <c r="H1050" s="1">
        <v>214.0</v>
      </c>
      <c r="I1050" s="1" t="s">
        <v>16</v>
      </c>
      <c r="J1050" s="1">
        <v>7.0E7</v>
      </c>
      <c r="K1050" s="1">
        <v>2008.0</v>
      </c>
      <c r="L1050" s="1">
        <v>5.6</v>
      </c>
      <c r="O1050" s="3"/>
      <c r="S1050" s="4"/>
    </row>
    <row r="1051" ht="14.25" customHeight="1">
      <c r="A1051" s="1" t="s">
        <v>2350</v>
      </c>
      <c r="B1051" s="1">
        <v>91.0</v>
      </c>
      <c r="C1051" s="1">
        <v>2.0400913E7</v>
      </c>
      <c r="D1051" s="1" t="s">
        <v>1452</v>
      </c>
      <c r="E1051" s="1" t="s">
        <v>2351</v>
      </c>
      <c r="F1051" s="1" t="s">
        <v>2352</v>
      </c>
      <c r="G1051" s="1">
        <v>15455.0</v>
      </c>
      <c r="H1051" s="1">
        <v>80.0</v>
      </c>
      <c r="I1051" s="1" t="s">
        <v>16</v>
      </c>
      <c r="J1051" s="1">
        <v>4.5E7</v>
      </c>
      <c r="K1051" s="1">
        <v>1996.0</v>
      </c>
      <c r="L1051" s="1">
        <v>5.3</v>
      </c>
      <c r="O1051" s="3"/>
      <c r="S1051" s="4"/>
    </row>
    <row r="1052" ht="14.25" customHeight="1">
      <c r="A1052" s="1" t="s">
        <v>1719</v>
      </c>
      <c r="B1052" s="1">
        <v>117.0</v>
      </c>
      <c r="C1052" s="1">
        <v>2.0101861E7</v>
      </c>
      <c r="D1052" s="1" t="s">
        <v>1037</v>
      </c>
      <c r="E1052" s="1" t="s">
        <v>2353</v>
      </c>
      <c r="F1052" s="1" t="s">
        <v>2354</v>
      </c>
      <c r="G1052" s="1">
        <v>24757.0</v>
      </c>
      <c r="H1052" s="1">
        <v>81.0</v>
      </c>
      <c r="I1052" s="1" t="s">
        <v>16</v>
      </c>
      <c r="J1052" s="1">
        <v>4.5E7</v>
      </c>
      <c r="K1052" s="1">
        <v>1996.0</v>
      </c>
      <c r="L1052" s="1">
        <v>6.0</v>
      </c>
      <c r="O1052" s="3"/>
      <c r="S1052" s="4"/>
    </row>
    <row r="1053" ht="14.25" customHeight="1">
      <c r="A1053" s="1" t="s">
        <v>2355</v>
      </c>
      <c r="B1053" s="1">
        <v>86.0</v>
      </c>
      <c r="C1053" s="1">
        <v>2.5200412E7</v>
      </c>
      <c r="D1053" s="1" t="s">
        <v>2356</v>
      </c>
      <c r="E1053" s="1" t="s">
        <v>2357</v>
      </c>
      <c r="F1053" s="1" t="s">
        <v>2358</v>
      </c>
      <c r="G1053" s="1">
        <v>16580.0</v>
      </c>
      <c r="H1053" s="1">
        <v>55.0</v>
      </c>
      <c r="I1053" s="1" t="s">
        <v>16</v>
      </c>
      <c r="J1053" s="1">
        <v>4.5E7</v>
      </c>
      <c r="K1053" s="1">
        <v>2009.0</v>
      </c>
      <c r="L1053" s="1">
        <v>5.4</v>
      </c>
      <c r="O1053" s="3"/>
      <c r="S1053" s="4"/>
    </row>
    <row r="1054" ht="14.25" customHeight="1">
      <c r="A1054" s="1" t="s">
        <v>2359</v>
      </c>
      <c r="B1054" s="1">
        <v>124.0</v>
      </c>
      <c r="C1054" s="1">
        <v>1.971993E7</v>
      </c>
      <c r="D1054" s="1" t="s">
        <v>909</v>
      </c>
      <c r="E1054" s="1" t="s">
        <v>2360</v>
      </c>
      <c r="F1054" s="1" t="s">
        <v>2361</v>
      </c>
      <c r="G1054" s="1">
        <v>42621.0</v>
      </c>
      <c r="H1054" s="1">
        <v>531.0</v>
      </c>
      <c r="I1054" s="1" t="s">
        <v>16</v>
      </c>
      <c r="J1054" s="1">
        <v>4.5E7</v>
      </c>
      <c r="K1054" s="1">
        <v>2001.0</v>
      </c>
      <c r="L1054" s="1">
        <v>6.8</v>
      </c>
      <c r="O1054" s="3"/>
      <c r="S1054" s="4"/>
    </row>
    <row r="1055" ht="14.25" customHeight="1">
      <c r="A1055" s="1" t="s">
        <v>2362</v>
      </c>
      <c r="B1055" s="1">
        <v>134.0</v>
      </c>
      <c r="C1055" s="1">
        <v>1.9377727E7</v>
      </c>
      <c r="D1055" s="1" t="s">
        <v>2363</v>
      </c>
      <c r="E1055" s="1" t="s">
        <v>822</v>
      </c>
      <c r="F1055" s="1" t="s">
        <v>2364</v>
      </c>
      <c r="G1055" s="1">
        <v>35140.0</v>
      </c>
      <c r="H1055" s="1">
        <v>409.0</v>
      </c>
      <c r="I1055" s="1" t="s">
        <v>16</v>
      </c>
      <c r="J1055" s="1">
        <v>4.5E7</v>
      </c>
      <c r="K1055" s="1">
        <v>2005.0</v>
      </c>
      <c r="L1055" s="1">
        <v>6.4</v>
      </c>
      <c r="O1055" s="3"/>
      <c r="S1055" s="4"/>
    </row>
    <row r="1056" ht="14.25" customHeight="1">
      <c r="A1056" s="1" t="s">
        <v>1043</v>
      </c>
      <c r="B1056" s="1">
        <v>95.0</v>
      </c>
      <c r="C1056" s="1">
        <v>1.3401683E7</v>
      </c>
      <c r="D1056" s="1" t="s">
        <v>278</v>
      </c>
      <c r="E1056" s="1" t="s">
        <v>1044</v>
      </c>
      <c r="F1056" s="1" t="s">
        <v>1045</v>
      </c>
      <c r="G1056" s="1">
        <v>203461.0</v>
      </c>
      <c r="H1056" s="1">
        <v>588.0</v>
      </c>
      <c r="I1056" s="1" t="s">
        <v>16</v>
      </c>
      <c r="J1056" s="1">
        <v>3.5E7</v>
      </c>
      <c r="K1056" s="1">
        <v>2012.0</v>
      </c>
      <c r="L1056" s="1">
        <v>7.1</v>
      </c>
      <c r="O1056" s="3"/>
      <c r="S1056" s="4"/>
    </row>
    <row r="1057" ht="14.25" customHeight="1">
      <c r="A1057" s="1" t="s">
        <v>2365</v>
      </c>
      <c r="B1057" s="1">
        <v>100.0</v>
      </c>
      <c r="C1057" s="1">
        <v>1.7300889E7</v>
      </c>
      <c r="D1057" s="1" t="s">
        <v>1012</v>
      </c>
      <c r="E1057" s="1" t="s">
        <v>710</v>
      </c>
      <c r="F1057" s="1" t="s">
        <v>2366</v>
      </c>
      <c r="G1057" s="1">
        <v>27648.0</v>
      </c>
      <c r="H1057" s="1">
        <v>148.0</v>
      </c>
      <c r="I1057" s="1" t="s">
        <v>16</v>
      </c>
      <c r="J1057" s="1">
        <v>4.5E7</v>
      </c>
      <c r="K1057" s="1">
        <v>1996.0</v>
      </c>
      <c r="L1057" s="1">
        <v>4.9</v>
      </c>
      <c r="O1057" s="3"/>
      <c r="S1057" s="4"/>
    </row>
    <row r="1058" ht="14.25" customHeight="1">
      <c r="A1058" s="1" t="s">
        <v>2367</v>
      </c>
      <c r="B1058" s="1">
        <v>220.0</v>
      </c>
      <c r="C1058" s="1">
        <v>1.5527125E7</v>
      </c>
      <c r="D1058" s="1" t="s">
        <v>1641</v>
      </c>
      <c r="E1058" s="1" t="s">
        <v>486</v>
      </c>
      <c r="F1058" s="1" t="s">
        <v>2368</v>
      </c>
      <c r="G1058" s="1">
        <v>11388.0</v>
      </c>
      <c r="H1058" s="1">
        <v>183.0</v>
      </c>
      <c r="I1058" s="1" t="s">
        <v>16</v>
      </c>
      <c r="J1058" s="1">
        <v>5.7E7</v>
      </c>
      <c r="K1058" s="1">
        <v>2000.0</v>
      </c>
      <c r="L1058" s="1">
        <v>5.8</v>
      </c>
      <c r="O1058" s="3"/>
      <c r="S1058" s="4"/>
    </row>
    <row r="1059" ht="14.25" customHeight="1">
      <c r="A1059" s="1" t="s">
        <v>324</v>
      </c>
      <c r="B1059" s="1">
        <v>212.0</v>
      </c>
      <c r="C1059" s="1">
        <v>1.356096E7</v>
      </c>
      <c r="D1059" s="1" t="s">
        <v>2369</v>
      </c>
      <c r="E1059" s="1" t="s">
        <v>326</v>
      </c>
      <c r="F1059" s="1" t="s">
        <v>2370</v>
      </c>
      <c r="G1059" s="1">
        <v>23996.0</v>
      </c>
      <c r="H1059" s="1">
        <v>161.0</v>
      </c>
      <c r="I1059" s="1" t="s">
        <v>16</v>
      </c>
      <c r="J1059" s="1">
        <v>5.0E7</v>
      </c>
      <c r="K1059" s="1">
        <v>1995.0</v>
      </c>
      <c r="L1059" s="1">
        <v>7.1</v>
      </c>
      <c r="O1059" s="3"/>
      <c r="S1059" s="4"/>
    </row>
    <row r="1060" ht="14.25" customHeight="1">
      <c r="A1060" s="1" t="s">
        <v>1550</v>
      </c>
      <c r="B1060" s="1">
        <v>128.0</v>
      </c>
      <c r="C1060" s="1">
        <v>1.5523168E7</v>
      </c>
      <c r="D1060" s="1" t="s">
        <v>362</v>
      </c>
      <c r="E1060" s="1" t="s">
        <v>1670</v>
      </c>
      <c r="F1060" s="1" t="s">
        <v>2371</v>
      </c>
      <c r="G1060" s="1">
        <v>132423.0</v>
      </c>
      <c r="H1060" s="1">
        <v>349.0</v>
      </c>
      <c r="I1060" s="1" t="s">
        <v>16</v>
      </c>
      <c r="J1060" s="1">
        <v>4.5E7</v>
      </c>
      <c r="K1060" s="1">
        <v>2010.0</v>
      </c>
      <c r="L1060" s="1">
        <v>7.2</v>
      </c>
      <c r="O1060" s="3"/>
      <c r="S1060" s="4"/>
    </row>
    <row r="1061" ht="14.25" customHeight="1">
      <c r="A1061" s="1" t="s">
        <v>231</v>
      </c>
      <c r="B1061" s="1">
        <v>106.0</v>
      </c>
      <c r="C1061" s="1">
        <v>1.1146409E7</v>
      </c>
      <c r="D1061" s="1" t="s">
        <v>1405</v>
      </c>
      <c r="E1061" s="1" t="s">
        <v>705</v>
      </c>
      <c r="F1061" s="1" t="s">
        <v>2372</v>
      </c>
      <c r="G1061" s="1">
        <v>26551.0</v>
      </c>
      <c r="H1061" s="1">
        <v>273.0</v>
      </c>
      <c r="I1061" s="1" t="s">
        <v>16</v>
      </c>
      <c r="J1061" s="1">
        <v>4.5E7</v>
      </c>
      <c r="K1061" s="1">
        <v>1998.0</v>
      </c>
      <c r="L1061" s="1">
        <v>6.0</v>
      </c>
      <c r="O1061" s="3"/>
      <c r="S1061" s="4"/>
    </row>
    <row r="1062" ht="14.25" customHeight="1">
      <c r="A1062" s="1" t="s">
        <v>2048</v>
      </c>
      <c r="B1062" s="1">
        <v>160.0</v>
      </c>
      <c r="C1062" s="1">
        <v>7916887.0</v>
      </c>
      <c r="D1062" s="1" t="s">
        <v>2373</v>
      </c>
      <c r="E1062" s="1" t="s">
        <v>232</v>
      </c>
      <c r="F1062" s="1" t="s">
        <v>2374</v>
      </c>
      <c r="G1062" s="1">
        <v>15697.0</v>
      </c>
      <c r="H1062" s="1">
        <v>182.0</v>
      </c>
      <c r="I1062" s="1" t="s">
        <v>16</v>
      </c>
      <c r="J1062" s="1">
        <v>4.5E7</v>
      </c>
      <c r="K1062" s="1">
        <v>2008.0</v>
      </c>
      <c r="L1062" s="1">
        <v>6.0</v>
      </c>
      <c r="O1062" s="3"/>
      <c r="S1062" s="4"/>
    </row>
    <row r="1063" ht="14.25" customHeight="1">
      <c r="A1063" s="1" t="s">
        <v>813</v>
      </c>
      <c r="B1063" s="1">
        <v>114.0</v>
      </c>
      <c r="C1063" s="1">
        <v>6565495.0</v>
      </c>
      <c r="D1063" s="1" t="s">
        <v>92</v>
      </c>
      <c r="E1063" s="1" t="s">
        <v>1015</v>
      </c>
      <c r="F1063" s="1" t="s">
        <v>2375</v>
      </c>
      <c r="G1063" s="1">
        <v>36455.0</v>
      </c>
      <c r="H1063" s="1">
        <v>229.0</v>
      </c>
      <c r="I1063" s="1" t="s">
        <v>816</v>
      </c>
      <c r="J1063" s="1">
        <v>4.5E7</v>
      </c>
      <c r="K1063" s="1">
        <v>2006.0</v>
      </c>
      <c r="L1063" s="1">
        <v>7.0</v>
      </c>
      <c r="O1063" s="3"/>
      <c r="S1063" s="4"/>
    </row>
    <row r="1064" ht="14.25" customHeight="1">
      <c r="A1064" s="1" t="s">
        <v>2376</v>
      </c>
      <c r="B1064" s="1">
        <v>99.0</v>
      </c>
      <c r="C1064" s="1">
        <v>1.527968E7</v>
      </c>
      <c r="D1064" s="1" t="s">
        <v>146</v>
      </c>
      <c r="E1064" s="1" t="s">
        <v>301</v>
      </c>
      <c r="F1064" s="1" t="s">
        <v>2377</v>
      </c>
      <c r="G1064" s="1">
        <v>48245.0</v>
      </c>
      <c r="H1064" s="1">
        <v>154.0</v>
      </c>
      <c r="I1064" s="1" t="s">
        <v>16</v>
      </c>
      <c r="J1064" s="1">
        <v>4.0E7</v>
      </c>
      <c r="K1064" s="1">
        <v>2008.0</v>
      </c>
      <c r="L1064" s="1">
        <v>5.4</v>
      </c>
      <c r="O1064" s="3"/>
      <c r="S1064" s="4"/>
    </row>
    <row r="1065" ht="14.25" customHeight="1">
      <c r="A1065" s="1" t="s">
        <v>69</v>
      </c>
      <c r="B1065" s="1">
        <v>74.0</v>
      </c>
      <c r="C1065" s="1">
        <v>7262288.0</v>
      </c>
      <c r="D1065" s="1" t="s">
        <v>2378</v>
      </c>
      <c r="E1065" s="1" t="s">
        <v>1662</v>
      </c>
      <c r="F1065" s="1" t="s">
        <v>2379</v>
      </c>
      <c r="G1065" s="1">
        <v>17307.0</v>
      </c>
      <c r="H1065" s="1">
        <v>186.0</v>
      </c>
      <c r="I1065" s="1" t="s">
        <v>16</v>
      </c>
      <c r="J1065" s="1">
        <v>4.0E7</v>
      </c>
      <c r="K1065" s="1">
        <v>2002.0</v>
      </c>
      <c r="L1065" s="1">
        <v>6.5</v>
      </c>
      <c r="O1065" s="3"/>
      <c r="S1065" s="4"/>
    </row>
    <row r="1066" ht="14.25" customHeight="1">
      <c r="A1066" s="1" t="s">
        <v>161</v>
      </c>
      <c r="B1066" s="1">
        <v>139.0</v>
      </c>
      <c r="C1066" s="1">
        <v>4584886.0</v>
      </c>
      <c r="D1066" s="1" t="s">
        <v>92</v>
      </c>
      <c r="E1066" s="1" t="s">
        <v>2380</v>
      </c>
      <c r="F1066" s="1" t="s">
        <v>2381</v>
      </c>
      <c r="G1066" s="1">
        <v>19114.0</v>
      </c>
      <c r="H1066" s="1">
        <v>115.0</v>
      </c>
      <c r="I1066" s="1" t="s">
        <v>16</v>
      </c>
      <c r="J1066" s="1">
        <v>4.5E7</v>
      </c>
      <c r="K1066" s="1">
        <v>2007.0</v>
      </c>
      <c r="L1066" s="1">
        <v>6.4</v>
      </c>
      <c r="O1066" s="3"/>
      <c r="S1066" s="4"/>
    </row>
    <row r="1067" ht="14.25" customHeight="1">
      <c r="A1067" s="1" t="s">
        <v>2382</v>
      </c>
      <c r="B1067" s="1">
        <v>103.0</v>
      </c>
      <c r="C1067" s="1">
        <v>2154540.0</v>
      </c>
      <c r="D1067" s="1" t="s">
        <v>26</v>
      </c>
      <c r="E1067" s="1" t="s">
        <v>2383</v>
      </c>
      <c r="F1067" s="1" t="s">
        <v>2384</v>
      </c>
      <c r="G1067" s="1">
        <v>3803.0</v>
      </c>
      <c r="H1067" s="1">
        <v>41.0</v>
      </c>
      <c r="I1067" s="1" t="s">
        <v>16</v>
      </c>
      <c r="J1067" s="1">
        <v>4.5E7</v>
      </c>
      <c r="K1067" s="1">
        <v>1997.0</v>
      </c>
      <c r="L1067" s="1">
        <v>4.9</v>
      </c>
      <c r="O1067" s="3"/>
      <c r="S1067" s="4"/>
    </row>
    <row r="1068" ht="14.25" customHeight="1">
      <c r="A1068" s="1" t="s">
        <v>2385</v>
      </c>
      <c r="B1068" s="1">
        <v>101.0</v>
      </c>
      <c r="C1068" s="1">
        <v>8129455.0</v>
      </c>
      <c r="D1068" s="1" t="s">
        <v>572</v>
      </c>
      <c r="E1068" s="1" t="s">
        <v>2386</v>
      </c>
      <c r="F1068" s="1" t="s">
        <v>2387</v>
      </c>
      <c r="G1068" s="1">
        <v>89568.0</v>
      </c>
      <c r="H1068" s="1">
        <v>142.0</v>
      </c>
      <c r="I1068" s="1" t="s">
        <v>16</v>
      </c>
      <c r="J1068" s="1">
        <v>4.5E7</v>
      </c>
      <c r="K1068" s="1">
        <v>2011.0</v>
      </c>
      <c r="L1068" s="1">
        <v>6.3</v>
      </c>
      <c r="O1068" s="3"/>
      <c r="S1068" s="4"/>
    </row>
    <row r="1069" ht="14.25" customHeight="1">
      <c r="A1069" s="1" t="s">
        <v>2388</v>
      </c>
      <c r="B1069" s="1">
        <v>130.0</v>
      </c>
      <c r="C1069" s="1">
        <v>1.36019448E8</v>
      </c>
      <c r="D1069" s="1" t="s">
        <v>2389</v>
      </c>
      <c r="E1069" s="1" t="s">
        <v>2390</v>
      </c>
      <c r="F1069" s="1" t="s">
        <v>2391</v>
      </c>
      <c r="G1069" s="1">
        <v>452465.0</v>
      </c>
      <c r="H1069" s="1">
        <v>695.0</v>
      </c>
      <c r="I1069" s="1" t="s">
        <v>16</v>
      </c>
      <c r="J1069" s="1">
        <v>4.45E7</v>
      </c>
      <c r="K1069" s="1">
        <v>2012.0</v>
      </c>
      <c r="L1069" s="1">
        <v>7.7</v>
      </c>
      <c r="O1069" s="3"/>
      <c r="S1069" s="4"/>
    </row>
    <row r="1070" ht="14.25" customHeight="1">
      <c r="A1070" s="1" t="s">
        <v>1023</v>
      </c>
      <c r="B1070" s="1">
        <v>130.0</v>
      </c>
      <c r="C1070" s="1">
        <v>1.8387576E8</v>
      </c>
      <c r="D1070" s="1" t="s">
        <v>2392</v>
      </c>
      <c r="E1070" s="1" t="s">
        <v>169</v>
      </c>
      <c r="F1070" s="1" t="s">
        <v>2393</v>
      </c>
      <c r="G1070" s="1">
        <v>213668.0</v>
      </c>
      <c r="H1070" s="1">
        <v>270.0</v>
      </c>
      <c r="I1070" s="1" t="s">
        <v>16</v>
      </c>
      <c r="J1070" s="1">
        <v>4.4E7</v>
      </c>
      <c r="K1070" s="1">
        <v>1993.0</v>
      </c>
      <c r="L1070" s="1">
        <v>7.8</v>
      </c>
      <c r="O1070" s="3"/>
      <c r="S1070" s="4"/>
    </row>
    <row r="1071" ht="14.25" customHeight="1">
      <c r="A1071" s="1" t="s">
        <v>1281</v>
      </c>
      <c r="B1071" s="1">
        <v>110.0</v>
      </c>
      <c r="C1071" s="1">
        <v>6.7061228E7</v>
      </c>
      <c r="D1071" s="1" t="s">
        <v>597</v>
      </c>
      <c r="E1071" s="1" t="s">
        <v>275</v>
      </c>
      <c r="F1071" s="1" t="s">
        <v>2394</v>
      </c>
      <c r="G1071" s="1">
        <v>96565.0</v>
      </c>
      <c r="H1071" s="1">
        <v>135.0</v>
      </c>
      <c r="I1071" s="1" t="s">
        <v>16</v>
      </c>
      <c r="J1071" s="1">
        <v>4.0E7</v>
      </c>
      <c r="K1071" s="1">
        <v>2010.0</v>
      </c>
      <c r="L1071" s="1">
        <v>5.5</v>
      </c>
      <c r="O1071" s="3"/>
      <c r="S1071" s="4"/>
    </row>
    <row r="1072" ht="14.25" customHeight="1">
      <c r="A1072" s="1" t="s">
        <v>1274</v>
      </c>
      <c r="B1072" s="1">
        <v>147.0</v>
      </c>
      <c r="C1072" s="1">
        <v>5.3300852E7</v>
      </c>
      <c r="D1072" s="1" t="s">
        <v>901</v>
      </c>
      <c r="E1072" s="1" t="s">
        <v>725</v>
      </c>
      <c r="F1072" s="1" t="s">
        <v>2395</v>
      </c>
      <c r="G1072" s="1">
        <v>154487.0</v>
      </c>
      <c r="H1072" s="1">
        <v>259.0</v>
      </c>
      <c r="I1072" s="1" t="s">
        <v>16</v>
      </c>
      <c r="J1072" s="1">
        <v>4.4E7</v>
      </c>
      <c r="K1072" s="1">
        <v>1996.0</v>
      </c>
      <c r="L1072" s="1">
        <v>7.5</v>
      </c>
      <c r="O1072" s="3"/>
      <c r="S1072" s="4"/>
    </row>
    <row r="1073" ht="14.25" customHeight="1">
      <c r="A1073" s="1" t="s">
        <v>2382</v>
      </c>
      <c r="B1073" s="1">
        <v>96.0</v>
      </c>
      <c r="C1073" s="1">
        <v>1.50415432E8</v>
      </c>
      <c r="D1073" s="1" t="s">
        <v>1823</v>
      </c>
      <c r="E1073" s="1" t="s">
        <v>1061</v>
      </c>
      <c r="F1073" s="1" t="s">
        <v>2396</v>
      </c>
      <c r="G1073" s="1">
        <v>117606.0</v>
      </c>
      <c r="H1073" s="1">
        <v>217.0</v>
      </c>
      <c r="I1073" s="1" t="s">
        <v>16</v>
      </c>
      <c r="J1073" s="1">
        <v>4.4E7</v>
      </c>
      <c r="K1073" s="1">
        <v>1985.0</v>
      </c>
      <c r="L1073" s="1">
        <v>6.4</v>
      </c>
      <c r="O1073" s="3"/>
      <c r="S1073" s="4"/>
    </row>
    <row r="1074" ht="14.25" customHeight="1">
      <c r="A1074" s="1" t="s">
        <v>2397</v>
      </c>
      <c r="B1074" s="1">
        <v>118.0</v>
      </c>
      <c r="C1074" s="1">
        <v>4.4834712E7</v>
      </c>
      <c r="D1074" s="1" t="s">
        <v>1654</v>
      </c>
      <c r="E1074" s="1" t="s">
        <v>232</v>
      </c>
      <c r="F1074" s="1" t="s">
        <v>2398</v>
      </c>
      <c r="G1074" s="1">
        <v>13995.0</v>
      </c>
      <c r="H1074" s="1">
        <v>62.0</v>
      </c>
      <c r="I1074" s="1" t="s">
        <v>16</v>
      </c>
      <c r="J1074" s="1">
        <v>4.4E7</v>
      </c>
      <c r="K1074" s="1">
        <v>1996.0</v>
      </c>
      <c r="L1074" s="1">
        <v>5.6</v>
      </c>
      <c r="O1074" s="3"/>
      <c r="S1074" s="4"/>
    </row>
    <row r="1075" ht="14.25" customHeight="1">
      <c r="A1075" s="1" t="s">
        <v>2399</v>
      </c>
      <c r="B1075" s="1">
        <v>88.0</v>
      </c>
      <c r="C1075" s="1">
        <v>8.43E7</v>
      </c>
      <c r="D1075" s="1" t="s">
        <v>2400</v>
      </c>
      <c r="E1075" s="1" t="s">
        <v>2401</v>
      </c>
      <c r="F1075" s="1" t="s">
        <v>2402</v>
      </c>
      <c r="G1075" s="1">
        <v>90360.0</v>
      </c>
      <c r="H1075" s="1">
        <v>147.0</v>
      </c>
      <c r="I1075" s="1" t="s">
        <v>16</v>
      </c>
      <c r="J1075" s="1">
        <v>2600000.0</v>
      </c>
      <c r="K1075" s="1">
        <v>1940.0</v>
      </c>
      <c r="L1075" s="1">
        <v>7.5</v>
      </c>
      <c r="O1075" s="3"/>
      <c r="S1075" s="4"/>
    </row>
    <row r="1076" ht="14.25" customHeight="1">
      <c r="A1076" s="1" t="s">
        <v>2403</v>
      </c>
      <c r="B1076" s="1">
        <v>325.0</v>
      </c>
      <c r="C1076" s="1">
        <v>1500000.0</v>
      </c>
      <c r="D1076" s="1" t="s">
        <v>2404</v>
      </c>
      <c r="E1076" s="1" t="s">
        <v>130</v>
      </c>
      <c r="F1076" s="1" t="s">
        <v>2405</v>
      </c>
      <c r="G1076" s="1">
        <v>9830.0</v>
      </c>
      <c r="H1076" s="1">
        <v>189.0</v>
      </c>
      <c r="I1076" s="1" t="s">
        <v>16</v>
      </c>
      <c r="J1076" s="1">
        <v>4.4E7</v>
      </c>
      <c r="K1076" s="1">
        <v>1980.0</v>
      </c>
      <c r="L1076" s="1">
        <v>6.8</v>
      </c>
      <c r="O1076" s="3"/>
      <c r="S1076" s="4"/>
    </row>
    <row r="1077" ht="14.25" customHeight="1">
      <c r="A1077" s="1" t="s">
        <v>674</v>
      </c>
      <c r="B1077" s="1">
        <v>102.0</v>
      </c>
      <c r="C1077" s="1">
        <v>6.2318875E7</v>
      </c>
      <c r="D1077" s="1" t="s">
        <v>114</v>
      </c>
      <c r="E1077" s="1" t="s">
        <v>1945</v>
      </c>
      <c r="F1077" s="1" t="s">
        <v>2406</v>
      </c>
      <c r="G1077" s="1">
        <v>156225.0</v>
      </c>
      <c r="H1077" s="1">
        <v>502.0</v>
      </c>
      <c r="I1077" s="1" t="s">
        <v>16</v>
      </c>
      <c r="J1077" s="1">
        <v>5.0E7</v>
      </c>
      <c r="K1077" s="1">
        <v>2006.0</v>
      </c>
      <c r="L1077" s="1">
        <v>6.8</v>
      </c>
      <c r="O1077" s="3"/>
      <c r="S1077" s="4"/>
    </row>
    <row r="1078" ht="14.25" customHeight="1">
      <c r="A1078" s="1" t="s">
        <v>2407</v>
      </c>
      <c r="B1078" s="1">
        <v>110.0</v>
      </c>
      <c r="C1078" s="1">
        <v>5773519.0</v>
      </c>
      <c r="D1078" s="1" t="s">
        <v>1486</v>
      </c>
      <c r="E1078" s="1" t="s">
        <v>511</v>
      </c>
      <c r="F1078" s="1" t="s">
        <v>2408</v>
      </c>
      <c r="G1078" s="1">
        <v>28618.0</v>
      </c>
      <c r="H1078" s="1">
        <v>91.0</v>
      </c>
      <c r="I1078" s="1" t="s">
        <v>16</v>
      </c>
      <c r="J1078" s="1">
        <v>4.0E7</v>
      </c>
      <c r="K1078" s="1">
        <v>2015.0</v>
      </c>
      <c r="L1078" s="1">
        <v>6.0</v>
      </c>
      <c r="O1078" s="3"/>
      <c r="S1078" s="4"/>
    </row>
    <row r="1079" ht="14.25" customHeight="1">
      <c r="A1079" s="1" t="s">
        <v>2409</v>
      </c>
      <c r="B1079" s="1">
        <v>136.0</v>
      </c>
      <c r="C1079" s="1">
        <v>5.1768623E7</v>
      </c>
      <c r="D1079" s="1" t="s">
        <v>1391</v>
      </c>
      <c r="E1079" s="1" t="s">
        <v>1013</v>
      </c>
      <c r="F1079" s="1" t="s">
        <v>2410</v>
      </c>
      <c r="G1079" s="1">
        <v>73006.0</v>
      </c>
      <c r="H1079" s="1">
        <v>297.0</v>
      </c>
      <c r="I1079" s="1" t="s">
        <v>16</v>
      </c>
      <c r="J1079" s="1">
        <v>4.3E7</v>
      </c>
      <c r="K1079" s="1">
        <v>2000.0</v>
      </c>
      <c r="L1079" s="1">
        <v>7.3</v>
      </c>
      <c r="O1079" s="3"/>
      <c r="S1079" s="4"/>
    </row>
    <row r="1080" ht="14.25" customHeight="1">
      <c r="A1080" s="1" t="s">
        <v>1341</v>
      </c>
      <c r="B1080" s="1">
        <v>103.0</v>
      </c>
      <c r="C1080" s="1">
        <v>3.7035515E7</v>
      </c>
      <c r="D1080" s="1" t="s">
        <v>1059</v>
      </c>
      <c r="E1080" s="1" t="s">
        <v>119</v>
      </c>
      <c r="F1080" s="1" t="s">
        <v>2411</v>
      </c>
      <c r="G1080" s="1">
        <v>34597.0</v>
      </c>
      <c r="H1080" s="1">
        <v>194.0</v>
      </c>
      <c r="I1080" s="1" t="s">
        <v>16</v>
      </c>
      <c r="J1080" s="1">
        <v>4.3E7</v>
      </c>
      <c r="K1080" s="1">
        <v>2000.0</v>
      </c>
      <c r="L1080" s="1">
        <v>6.0</v>
      </c>
      <c r="O1080" s="3"/>
      <c r="S1080" s="4"/>
    </row>
    <row r="1081" ht="14.25" customHeight="1">
      <c r="A1081" s="1" t="s">
        <v>472</v>
      </c>
      <c r="B1081" s="1">
        <v>103.0</v>
      </c>
      <c r="C1081" s="1">
        <v>2.4520892E7</v>
      </c>
      <c r="D1081" s="1" t="s">
        <v>197</v>
      </c>
      <c r="E1081" s="1" t="s">
        <v>600</v>
      </c>
      <c r="F1081" s="1" t="s">
        <v>2412</v>
      </c>
      <c r="G1081" s="1">
        <v>85198.0</v>
      </c>
      <c r="H1081" s="1">
        <v>303.0</v>
      </c>
      <c r="I1081" s="1" t="s">
        <v>16</v>
      </c>
      <c r="J1081" s="1">
        <v>4.5E7</v>
      </c>
      <c r="K1081" s="1">
        <v>2005.0</v>
      </c>
      <c r="L1081" s="1">
        <v>7.0</v>
      </c>
      <c r="O1081" s="3"/>
      <c r="S1081" s="4"/>
    </row>
    <row r="1082" ht="14.25" customHeight="1">
      <c r="A1082" s="1" t="s">
        <v>2413</v>
      </c>
      <c r="B1082" s="1">
        <v>90.0</v>
      </c>
      <c r="C1082" s="1">
        <v>2.4430272E7</v>
      </c>
      <c r="D1082" s="1" t="s">
        <v>699</v>
      </c>
      <c r="E1082" s="1" t="s">
        <v>2414</v>
      </c>
      <c r="F1082" s="1" t="s">
        <v>2415</v>
      </c>
      <c r="G1082" s="1">
        <v>46158.0</v>
      </c>
      <c r="H1082" s="1">
        <v>403.0</v>
      </c>
      <c r="I1082" s="1" t="s">
        <v>16</v>
      </c>
      <c r="J1082" s="1">
        <v>4.3E7</v>
      </c>
      <c r="K1082" s="1">
        <v>2002.0</v>
      </c>
      <c r="L1082" s="1">
        <v>5.1</v>
      </c>
      <c r="O1082" s="3"/>
      <c r="S1082" s="4"/>
    </row>
    <row r="1083" ht="14.25" customHeight="1">
      <c r="A1083" s="1" t="s">
        <v>937</v>
      </c>
      <c r="B1083" s="1">
        <v>154.0</v>
      </c>
      <c r="C1083" s="1">
        <v>1.583484E8</v>
      </c>
      <c r="D1083" s="1" t="s">
        <v>806</v>
      </c>
      <c r="E1083" s="1" t="s">
        <v>226</v>
      </c>
      <c r="F1083" s="1" t="s">
        <v>2416</v>
      </c>
      <c r="G1083" s="1">
        <v>88844.0</v>
      </c>
      <c r="H1083" s="1">
        <v>142.0</v>
      </c>
      <c r="I1083" s="1" t="s">
        <v>16</v>
      </c>
      <c r="J1083" s="1">
        <v>4.2E7</v>
      </c>
      <c r="K1083" s="1">
        <v>1993.0</v>
      </c>
      <c r="L1083" s="1">
        <v>6.8</v>
      </c>
      <c r="O1083" s="3"/>
      <c r="S1083" s="4"/>
    </row>
    <row r="1084" ht="14.25" customHeight="1">
      <c r="A1084" s="1" t="s">
        <v>2417</v>
      </c>
      <c r="B1084" s="1">
        <v>99.0</v>
      </c>
      <c r="C1084" s="1">
        <v>3.113695E7</v>
      </c>
      <c r="D1084" s="1" t="s">
        <v>292</v>
      </c>
      <c r="E1084" s="1" t="s">
        <v>2418</v>
      </c>
      <c r="F1084" s="1" t="s">
        <v>2419</v>
      </c>
      <c r="G1084" s="1">
        <v>47364.0</v>
      </c>
      <c r="H1084" s="1">
        <v>75.0</v>
      </c>
      <c r="I1084" s="1" t="s">
        <v>16</v>
      </c>
      <c r="J1084" s="1">
        <v>4.4E7</v>
      </c>
      <c r="K1084" s="1">
        <v>2010.0</v>
      </c>
      <c r="L1084" s="1">
        <v>6.5</v>
      </c>
      <c r="O1084" s="3"/>
      <c r="S1084" s="4"/>
    </row>
    <row r="1085" ht="14.25" customHeight="1">
      <c r="A1085" s="1" t="s">
        <v>743</v>
      </c>
      <c r="B1085" s="1">
        <v>93.0</v>
      </c>
      <c r="C1085" s="1">
        <v>2.9113588E7</v>
      </c>
      <c r="D1085" s="1" t="s">
        <v>146</v>
      </c>
      <c r="E1085" s="1" t="s">
        <v>147</v>
      </c>
      <c r="F1085" s="1" t="s">
        <v>2420</v>
      </c>
      <c r="G1085" s="1">
        <v>117999.0</v>
      </c>
      <c r="H1085" s="1">
        <v>181.0</v>
      </c>
      <c r="I1085" s="1" t="s">
        <v>16</v>
      </c>
      <c r="J1085" s="1">
        <v>4.0E7</v>
      </c>
      <c r="K1085" s="1">
        <v>2011.0</v>
      </c>
      <c r="L1085" s="1">
        <v>6.6</v>
      </c>
      <c r="O1085" s="3"/>
      <c r="S1085" s="4"/>
    </row>
    <row r="1086" ht="14.25" customHeight="1">
      <c r="A1086" s="1" t="s">
        <v>888</v>
      </c>
      <c r="B1086" s="1">
        <v>109.0</v>
      </c>
      <c r="C1086" s="1">
        <v>1.38447667E8</v>
      </c>
      <c r="D1086" s="1" t="s">
        <v>728</v>
      </c>
      <c r="E1086" s="1" t="s">
        <v>191</v>
      </c>
      <c r="F1086" s="1" t="s">
        <v>2421</v>
      </c>
      <c r="G1086" s="1">
        <v>408302.0</v>
      </c>
      <c r="H1086" s="1">
        <v>345.0</v>
      </c>
      <c r="I1086" s="1" t="s">
        <v>16</v>
      </c>
      <c r="J1086" s="1">
        <v>4.2E7</v>
      </c>
      <c r="K1086" s="1">
        <v>2012.0</v>
      </c>
      <c r="L1086" s="1">
        <v>7.2</v>
      </c>
      <c r="O1086" s="3"/>
      <c r="S1086" s="4"/>
    </row>
    <row r="1087" ht="14.25" customHeight="1">
      <c r="A1087" s="1" t="s">
        <v>2299</v>
      </c>
      <c r="B1087" s="1">
        <v>124.0</v>
      </c>
      <c r="C1087" s="1">
        <v>1.1600608E8</v>
      </c>
      <c r="D1087" s="1" t="s">
        <v>593</v>
      </c>
      <c r="E1087" s="1" t="s">
        <v>1028</v>
      </c>
      <c r="F1087" s="1" t="s">
        <v>2422</v>
      </c>
      <c r="G1087" s="1">
        <v>203269.0</v>
      </c>
      <c r="H1087" s="1">
        <v>602.0</v>
      </c>
      <c r="I1087" s="1" t="s">
        <v>16</v>
      </c>
      <c r="J1087" s="1">
        <v>4.2E7</v>
      </c>
      <c r="K1087" s="1">
        <v>1999.0</v>
      </c>
      <c r="L1087" s="1">
        <v>7.0</v>
      </c>
      <c r="O1087" s="3"/>
      <c r="S1087" s="4"/>
    </row>
    <row r="1088" ht="14.25" customHeight="1">
      <c r="A1088" s="1" t="s">
        <v>1920</v>
      </c>
      <c r="B1088" s="1">
        <v>84.0</v>
      </c>
      <c r="C1088" s="1">
        <v>1.06793915E8</v>
      </c>
      <c r="D1088" s="1" t="s">
        <v>367</v>
      </c>
      <c r="E1088" s="1" t="s">
        <v>2423</v>
      </c>
      <c r="F1088" s="1" t="s">
        <v>2424</v>
      </c>
      <c r="G1088" s="1">
        <v>140499.0</v>
      </c>
      <c r="H1088" s="1">
        <v>358.0</v>
      </c>
      <c r="I1088" s="1" t="s">
        <v>16</v>
      </c>
      <c r="J1088" s="1">
        <v>4.5E7</v>
      </c>
      <c r="K1088" s="1">
        <v>2000.0</v>
      </c>
      <c r="L1088" s="1">
        <v>7.0</v>
      </c>
      <c r="O1088" s="3"/>
      <c r="S1088" s="4"/>
    </row>
    <row r="1089" ht="14.25" customHeight="1">
      <c r="A1089" s="1" t="s">
        <v>2425</v>
      </c>
      <c r="B1089" s="1">
        <v>90.0</v>
      </c>
      <c r="C1089" s="1">
        <v>8.7856565E7</v>
      </c>
      <c r="D1089" s="1" t="s">
        <v>699</v>
      </c>
      <c r="E1089" s="1" t="s">
        <v>390</v>
      </c>
      <c r="F1089" s="1" t="s">
        <v>2426</v>
      </c>
      <c r="G1089" s="1">
        <v>106909.0</v>
      </c>
      <c r="H1089" s="1">
        <v>268.0</v>
      </c>
      <c r="I1089" s="1" t="s">
        <v>16</v>
      </c>
      <c r="J1089" s="1">
        <v>4.2E7</v>
      </c>
      <c r="K1089" s="1">
        <v>2004.0</v>
      </c>
      <c r="L1089" s="1">
        <v>5.9</v>
      </c>
      <c r="O1089" s="3"/>
      <c r="S1089" s="4"/>
    </row>
    <row r="1090" ht="14.25" customHeight="1">
      <c r="A1090" s="1" t="s">
        <v>2427</v>
      </c>
      <c r="B1090" s="1">
        <v>117.0</v>
      </c>
      <c r="C1090" s="1">
        <v>7.01E7</v>
      </c>
      <c r="D1090" s="1" t="s">
        <v>593</v>
      </c>
      <c r="E1090" s="1" t="s">
        <v>2428</v>
      </c>
      <c r="F1090" s="1" t="s">
        <v>2429</v>
      </c>
      <c r="G1090" s="1">
        <v>20183.0</v>
      </c>
      <c r="H1090" s="1">
        <v>41.0</v>
      </c>
      <c r="I1090" s="1" t="s">
        <v>16</v>
      </c>
      <c r="J1090" s="1">
        <v>4.0E7</v>
      </c>
      <c r="K1090" s="1">
        <v>1992.0</v>
      </c>
      <c r="L1090" s="1">
        <v>5.4</v>
      </c>
      <c r="O1090" s="3"/>
      <c r="S1090" s="4"/>
    </row>
    <row r="1091" ht="14.25" customHeight="1">
      <c r="A1091" s="1" t="s">
        <v>411</v>
      </c>
      <c r="B1091" s="1">
        <v>123.0</v>
      </c>
      <c r="C1091" s="1">
        <v>1.59578352E8</v>
      </c>
      <c r="D1091" s="1" t="s">
        <v>728</v>
      </c>
      <c r="E1091" s="1" t="s">
        <v>1544</v>
      </c>
      <c r="F1091" s="1" t="s">
        <v>2430</v>
      </c>
      <c r="G1091" s="1">
        <v>133177.0</v>
      </c>
      <c r="H1091" s="1">
        <v>380.0</v>
      </c>
      <c r="I1091" s="1" t="s">
        <v>16</v>
      </c>
      <c r="J1091" s="1">
        <v>4.3E7</v>
      </c>
      <c r="K1091" s="1">
        <v>2013.0</v>
      </c>
      <c r="L1091" s="1">
        <v>6.6</v>
      </c>
      <c r="O1091" s="3"/>
      <c r="S1091" s="4"/>
    </row>
    <row r="1092" ht="14.25" customHeight="1">
      <c r="A1092" s="1" t="s">
        <v>2431</v>
      </c>
      <c r="B1092" s="1">
        <v>251.0</v>
      </c>
      <c r="C1092" s="1">
        <v>5.775E7</v>
      </c>
      <c r="D1092" s="1" t="s">
        <v>2432</v>
      </c>
      <c r="E1092" s="1" t="s">
        <v>1332</v>
      </c>
      <c r="F1092" s="1" t="s">
        <v>2433</v>
      </c>
      <c r="G1092" s="1">
        <v>21554.0</v>
      </c>
      <c r="H1092" s="1">
        <v>192.0</v>
      </c>
      <c r="I1092" s="1" t="s">
        <v>16</v>
      </c>
      <c r="J1092" s="1">
        <v>3.1115E7</v>
      </c>
      <c r="K1092" s="1">
        <v>1963.0</v>
      </c>
      <c r="L1092" s="1">
        <v>7.0</v>
      </c>
      <c r="O1092" s="3"/>
      <c r="S1092" s="4"/>
    </row>
    <row r="1093" ht="14.25" customHeight="1">
      <c r="A1093" s="1" t="s">
        <v>677</v>
      </c>
      <c r="B1093" s="1">
        <v>105.0</v>
      </c>
      <c r="C1093" s="1">
        <v>4.5290318E7</v>
      </c>
      <c r="D1093" s="1" t="s">
        <v>1317</v>
      </c>
      <c r="E1093" s="1" t="s">
        <v>500</v>
      </c>
      <c r="F1093" s="1" t="s">
        <v>2434</v>
      </c>
      <c r="G1093" s="1">
        <v>74169.0</v>
      </c>
      <c r="H1093" s="1">
        <v>112.0</v>
      </c>
      <c r="I1093" s="1" t="s">
        <v>16</v>
      </c>
      <c r="J1093" s="1">
        <v>4.2E7</v>
      </c>
      <c r="K1093" s="1">
        <v>2012.0</v>
      </c>
      <c r="L1093" s="1">
        <v>6.5</v>
      </c>
      <c r="O1093" s="3"/>
      <c r="S1093" s="4"/>
    </row>
    <row r="1094" ht="14.25" customHeight="1">
      <c r="A1094" s="1" t="s">
        <v>2125</v>
      </c>
      <c r="B1094" s="1">
        <v>115.0</v>
      </c>
      <c r="C1094" s="1">
        <v>4.1543207E7</v>
      </c>
      <c r="D1094" s="1" t="s">
        <v>909</v>
      </c>
      <c r="E1094" s="1" t="s">
        <v>600</v>
      </c>
      <c r="F1094" s="1" t="s">
        <v>2435</v>
      </c>
      <c r="G1094" s="1">
        <v>30077.0</v>
      </c>
      <c r="H1094" s="1">
        <v>175.0</v>
      </c>
      <c r="I1094" s="1" t="s">
        <v>16</v>
      </c>
      <c r="J1094" s="1">
        <v>4.2E7</v>
      </c>
      <c r="K1094" s="1">
        <v>2002.0</v>
      </c>
      <c r="L1094" s="1">
        <v>6.3</v>
      </c>
      <c r="O1094" s="3"/>
      <c r="S1094" s="4"/>
    </row>
    <row r="1095" ht="14.25" customHeight="1">
      <c r="A1095" s="1" t="s">
        <v>2436</v>
      </c>
      <c r="B1095" s="1">
        <v>122.0</v>
      </c>
      <c r="C1095" s="1">
        <v>4.1252428E7</v>
      </c>
      <c r="D1095" s="1" t="s">
        <v>593</v>
      </c>
      <c r="E1095" s="1" t="s">
        <v>130</v>
      </c>
      <c r="F1095" s="1" t="s">
        <v>2437</v>
      </c>
      <c r="G1095" s="1">
        <v>11453.0</v>
      </c>
      <c r="H1095" s="1">
        <v>71.0</v>
      </c>
      <c r="I1095" s="1" t="s">
        <v>16</v>
      </c>
      <c r="J1095" s="1">
        <v>4.2E7</v>
      </c>
      <c r="K1095" s="1">
        <v>1996.0</v>
      </c>
      <c r="L1095" s="1">
        <v>6.5</v>
      </c>
      <c r="O1095" s="3"/>
      <c r="S1095" s="4"/>
    </row>
    <row r="1096" ht="14.25" customHeight="1">
      <c r="A1096" s="1" t="s">
        <v>2438</v>
      </c>
      <c r="B1096" s="1">
        <v>119.0</v>
      </c>
      <c r="C1096" s="1">
        <v>3.5228696E7</v>
      </c>
      <c r="D1096" s="1" t="s">
        <v>2439</v>
      </c>
      <c r="E1096" s="1" t="s">
        <v>2440</v>
      </c>
      <c r="F1096" s="1" t="s">
        <v>2441</v>
      </c>
      <c r="G1096" s="1">
        <v>63677.0</v>
      </c>
      <c r="H1096" s="1">
        <v>460.0</v>
      </c>
      <c r="I1096" s="1" t="s">
        <v>16</v>
      </c>
      <c r="J1096" s="1">
        <v>3.2E7</v>
      </c>
      <c r="K1096" s="1">
        <v>2002.0</v>
      </c>
      <c r="L1096" s="1">
        <v>6.5</v>
      </c>
      <c r="O1096" s="3"/>
      <c r="S1096" s="4"/>
    </row>
    <row r="1097" ht="14.25" customHeight="1">
      <c r="A1097" s="1" t="s">
        <v>1514</v>
      </c>
      <c r="B1097" s="1">
        <v>81.0</v>
      </c>
      <c r="C1097" s="1">
        <v>5.999276E7</v>
      </c>
      <c r="D1097" s="1" t="s">
        <v>828</v>
      </c>
      <c r="E1097" s="1" t="s">
        <v>2442</v>
      </c>
      <c r="F1097" s="1" t="s">
        <v>2443</v>
      </c>
      <c r="G1097" s="1">
        <v>119622.0</v>
      </c>
      <c r="H1097" s="1">
        <v>396.0</v>
      </c>
      <c r="I1097" s="1" t="s">
        <v>16</v>
      </c>
      <c r="J1097" s="1">
        <v>4.2E7</v>
      </c>
      <c r="K1097" s="1">
        <v>2009.0</v>
      </c>
      <c r="L1097" s="1">
        <v>5.8</v>
      </c>
      <c r="O1097" s="3"/>
      <c r="S1097" s="4"/>
    </row>
    <row r="1098" ht="14.25" customHeight="1">
      <c r="A1098" s="1" t="s">
        <v>2444</v>
      </c>
      <c r="B1098" s="1">
        <v>133.0</v>
      </c>
      <c r="C1098" s="1">
        <v>3.4667015E7</v>
      </c>
      <c r="D1098" s="1" t="s">
        <v>22</v>
      </c>
      <c r="E1098" s="1" t="s">
        <v>2445</v>
      </c>
      <c r="F1098" s="1" t="s">
        <v>2446</v>
      </c>
      <c r="G1098" s="1">
        <v>74009.0</v>
      </c>
      <c r="H1098" s="1">
        <v>317.0</v>
      </c>
      <c r="I1098" s="1" t="s">
        <v>16</v>
      </c>
      <c r="J1098" s="1">
        <v>3.2E7</v>
      </c>
      <c r="K1098" s="1">
        <v>1989.0</v>
      </c>
      <c r="L1098" s="1">
        <v>6.6</v>
      </c>
      <c r="O1098" s="3"/>
      <c r="S1098" s="4"/>
    </row>
    <row r="1099" ht="14.25" customHeight="1">
      <c r="A1099" s="1" t="s">
        <v>2447</v>
      </c>
      <c r="B1099" s="1">
        <v>100.0</v>
      </c>
      <c r="C1099" s="1">
        <v>3.7652565E7</v>
      </c>
      <c r="D1099" s="1" t="s">
        <v>1103</v>
      </c>
      <c r="E1099" s="1" t="s">
        <v>249</v>
      </c>
      <c r="F1099" s="1" t="s">
        <v>2448</v>
      </c>
      <c r="G1099" s="1">
        <v>91151.0</v>
      </c>
      <c r="H1099" s="1">
        <v>283.0</v>
      </c>
      <c r="I1099" s="1" t="s">
        <v>16</v>
      </c>
      <c r="J1099" s="1">
        <v>4.2E7</v>
      </c>
      <c r="K1099" s="1">
        <v>2011.0</v>
      </c>
      <c r="L1099" s="1">
        <v>5.4</v>
      </c>
      <c r="O1099" s="3"/>
      <c r="S1099" s="4"/>
    </row>
    <row r="1100" ht="14.25" customHeight="1">
      <c r="A1100" s="1" t="s">
        <v>2449</v>
      </c>
      <c r="B1100" s="1">
        <v>120.0</v>
      </c>
      <c r="C1100" s="1">
        <v>2.4375436E7</v>
      </c>
      <c r="D1100" s="1" t="s">
        <v>197</v>
      </c>
      <c r="E1100" s="1" t="s">
        <v>725</v>
      </c>
      <c r="F1100" s="1" t="s">
        <v>2450</v>
      </c>
      <c r="G1100" s="1">
        <v>42547.0</v>
      </c>
      <c r="H1100" s="1">
        <v>265.0</v>
      </c>
      <c r="I1100" s="1" t="s">
        <v>16</v>
      </c>
      <c r="J1100" s="1">
        <v>4.2E7</v>
      </c>
      <c r="K1100" s="1">
        <v>2001.0</v>
      </c>
      <c r="L1100" s="1">
        <v>6.1</v>
      </c>
      <c r="O1100" s="3"/>
      <c r="S1100" s="4"/>
    </row>
    <row r="1101" ht="14.25" customHeight="1">
      <c r="A1101" s="1" t="s">
        <v>2451</v>
      </c>
      <c r="B1101" s="1">
        <v>104.0</v>
      </c>
      <c r="C1101" s="1">
        <v>2.0915465E7</v>
      </c>
      <c r="D1101" s="1" t="s">
        <v>2356</v>
      </c>
      <c r="E1101" s="1" t="s">
        <v>1009</v>
      </c>
      <c r="F1101" s="1" t="s">
        <v>2452</v>
      </c>
      <c r="G1101" s="1">
        <v>38203.0</v>
      </c>
      <c r="H1101" s="1">
        <v>290.0</v>
      </c>
      <c r="I1101" s="1" t="s">
        <v>16</v>
      </c>
      <c r="J1101" s="1">
        <v>4.2E7</v>
      </c>
      <c r="K1101" s="1">
        <v>1993.0</v>
      </c>
      <c r="L1101" s="1">
        <v>4.0</v>
      </c>
      <c r="O1101" s="3"/>
      <c r="S1101" s="4"/>
    </row>
    <row r="1102" ht="14.25" customHeight="1">
      <c r="A1102" s="1" t="s">
        <v>2152</v>
      </c>
      <c r="B1102" s="1">
        <v>122.0</v>
      </c>
      <c r="C1102" s="1">
        <v>2.4127895E7</v>
      </c>
      <c r="D1102" s="1" t="s">
        <v>901</v>
      </c>
      <c r="E1102" s="1" t="s">
        <v>301</v>
      </c>
      <c r="F1102" s="1" t="s">
        <v>2453</v>
      </c>
      <c r="G1102" s="1">
        <v>248123.0</v>
      </c>
      <c r="H1102" s="1">
        <v>437.0</v>
      </c>
      <c r="I1102" s="1" t="s">
        <v>16</v>
      </c>
      <c r="J1102" s="1">
        <v>5.0E7</v>
      </c>
      <c r="K1102" s="1">
        <v>2005.0</v>
      </c>
      <c r="L1102" s="1">
        <v>7.6</v>
      </c>
      <c r="O1102" s="3"/>
      <c r="S1102" s="4"/>
    </row>
    <row r="1103" ht="14.25" customHeight="1">
      <c r="A1103" s="1" t="s">
        <v>813</v>
      </c>
      <c r="B1103" s="1">
        <v>80.0</v>
      </c>
      <c r="C1103" s="1">
        <v>84961.0</v>
      </c>
      <c r="D1103" s="1" t="s">
        <v>546</v>
      </c>
      <c r="E1103" s="1" t="s">
        <v>216</v>
      </c>
      <c r="F1103" s="1" t="s">
        <v>2454</v>
      </c>
      <c r="G1103" s="1">
        <v>149414.0</v>
      </c>
      <c r="H1103" s="1">
        <v>841.0</v>
      </c>
      <c r="I1103" s="1" t="s">
        <v>816</v>
      </c>
      <c r="J1103" s="1">
        <v>3.1E7</v>
      </c>
      <c r="K1103" s="1">
        <v>2002.0</v>
      </c>
      <c r="L1103" s="1">
        <v>7.9</v>
      </c>
      <c r="O1103" s="3"/>
      <c r="S1103" s="4"/>
    </row>
    <row r="1104" ht="14.25" customHeight="1">
      <c r="A1104" s="1" t="s">
        <v>2455</v>
      </c>
      <c r="B1104" s="1">
        <v>91.0</v>
      </c>
      <c r="C1104" s="1">
        <v>2.6404753E7</v>
      </c>
      <c r="D1104" s="1" t="s">
        <v>642</v>
      </c>
      <c r="E1104" s="1" t="s">
        <v>2456</v>
      </c>
      <c r="F1104" s="1" t="s">
        <v>2457</v>
      </c>
      <c r="G1104" s="1">
        <v>34203.0</v>
      </c>
      <c r="H1104" s="1">
        <v>169.0</v>
      </c>
      <c r="I1104" s="1" t="s">
        <v>16</v>
      </c>
      <c r="J1104" s="1">
        <v>4.0E7</v>
      </c>
      <c r="K1104" s="1">
        <v>2012.0</v>
      </c>
      <c r="L1104" s="1">
        <v>5.3</v>
      </c>
      <c r="O1104" s="3"/>
      <c r="S1104" s="4"/>
    </row>
    <row r="1105" ht="14.25" customHeight="1">
      <c r="A1105" s="1" t="s">
        <v>2458</v>
      </c>
      <c r="B1105" s="1">
        <v>112.0</v>
      </c>
      <c r="C1105" s="1">
        <v>6105175.0</v>
      </c>
      <c r="D1105" s="1" t="s">
        <v>828</v>
      </c>
      <c r="E1105" s="1" t="s">
        <v>861</v>
      </c>
      <c r="F1105" s="1" t="s">
        <v>2459</v>
      </c>
      <c r="G1105" s="1">
        <v>247020.0</v>
      </c>
      <c r="H1105" s="1">
        <v>835.0</v>
      </c>
      <c r="I1105" s="1" t="s">
        <v>16</v>
      </c>
      <c r="J1105" s="1">
        <v>4.4E7</v>
      </c>
      <c r="K1105" s="1">
        <v>2014.0</v>
      </c>
      <c r="L1105" s="1">
        <v>6.6</v>
      </c>
      <c r="O1105" s="3"/>
      <c r="S1105" s="4"/>
    </row>
    <row r="1106" ht="14.25" customHeight="1">
      <c r="A1106" s="1" t="s">
        <v>2460</v>
      </c>
      <c r="B1106" s="1">
        <v>100.0</v>
      </c>
      <c r="C1106" s="1">
        <v>5664251.0</v>
      </c>
      <c r="D1106" s="1" t="s">
        <v>2461</v>
      </c>
      <c r="E1106" s="1" t="s">
        <v>2462</v>
      </c>
      <c r="F1106" s="1" t="s">
        <v>2463</v>
      </c>
      <c r="G1106" s="1">
        <v>22309.0</v>
      </c>
      <c r="H1106" s="1">
        <v>102.0</v>
      </c>
      <c r="I1106" s="1" t="s">
        <v>16</v>
      </c>
      <c r="J1106" s="1">
        <v>4.5E7</v>
      </c>
      <c r="K1106" s="1">
        <v>2010.0</v>
      </c>
      <c r="L1106" s="1">
        <v>6.3</v>
      </c>
      <c r="O1106" s="3"/>
      <c r="S1106" s="4"/>
    </row>
    <row r="1107" ht="14.25" customHeight="1">
      <c r="A1107" s="1" t="s">
        <v>1700</v>
      </c>
      <c r="B1107" s="1">
        <v>105.0</v>
      </c>
      <c r="C1107" s="1">
        <v>1260917.0</v>
      </c>
      <c r="D1107" s="1" t="s">
        <v>728</v>
      </c>
      <c r="E1107" s="1" t="s">
        <v>2464</v>
      </c>
      <c r="F1107" s="1" t="s">
        <v>2465</v>
      </c>
      <c r="G1107" s="1">
        <v>24657.0</v>
      </c>
      <c r="H1107" s="1">
        <v>71.0</v>
      </c>
      <c r="I1107" s="1" t="s">
        <v>1189</v>
      </c>
      <c r="J1107" s="1">
        <v>2.7E7</v>
      </c>
      <c r="K1107" s="1">
        <v>2009.0</v>
      </c>
      <c r="L1107" s="1">
        <v>7.2</v>
      </c>
      <c r="O1107" s="3"/>
      <c r="S1107" s="4"/>
    </row>
    <row r="1108" ht="14.25" customHeight="1">
      <c r="A1108" s="1" t="s">
        <v>1985</v>
      </c>
      <c r="B1108" s="1">
        <v>110.0</v>
      </c>
      <c r="C1108" s="1">
        <v>1.16724075E8</v>
      </c>
      <c r="D1108" s="1" t="s">
        <v>2466</v>
      </c>
      <c r="E1108" s="1" t="s">
        <v>2467</v>
      </c>
      <c r="F1108" s="1" t="s">
        <v>2468</v>
      </c>
      <c r="G1108" s="1">
        <v>187181.0</v>
      </c>
      <c r="H1108" s="1">
        <v>564.0</v>
      </c>
      <c r="I1108" s="1" t="s">
        <v>16</v>
      </c>
      <c r="J1108" s="1">
        <v>4.1E7</v>
      </c>
      <c r="K1108" s="1">
        <v>2002.0</v>
      </c>
      <c r="L1108" s="1">
        <v>7.0</v>
      </c>
      <c r="O1108" s="3"/>
      <c r="S1108" s="4"/>
    </row>
    <row r="1109" ht="14.25" customHeight="1">
      <c r="A1109" s="1" t="s">
        <v>2050</v>
      </c>
      <c r="B1109" s="1">
        <v>144.0</v>
      </c>
      <c r="C1109" s="1">
        <v>5.6083966E7</v>
      </c>
      <c r="D1109" s="1" t="s">
        <v>34</v>
      </c>
      <c r="E1109" s="1" t="s">
        <v>637</v>
      </c>
      <c r="F1109" s="1" t="s">
        <v>2469</v>
      </c>
      <c r="G1109" s="1">
        <v>137003.0</v>
      </c>
      <c r="H1109" s="1">
        <v>658.0</v>
      </c>
      <c r="I1109" s="1" t="s">
        <v>16</v>
      </c>
      <c r="J1109" s="1">
        <v>6.5E7</v>
      </c>
      <c r="K1109" s="1">
        <v>2001.0</v>
      </c>
      <c r="L1109" s="1">
        <v>6.9</v>
      </c>
      <c r="O1109" s="3"/>
      <c r="S1109" s="4"/>
    </row>
    <row r="1110" ht="14.25" customHeight="1">
      <c r="A1110" s="1" t="s">
        <v>2470</v>
      </c>
      <c r="B1110" s="1">
        <v>108.0</v>
      </c>
      <c r="C1110" s="1">
        <v>2.2108977E7</v>
      </c>
      <c r="D1110" s="1" t="s">
        <v>527</v>
      </c>
      <c r="E1110" s="1" t="s">
        <v>2471</v>
      </c>
      <c r="F1110" s="1" t="s">
        <v>2472</v>
      </c>
      <c r="G1110" s="1">
        <v>29861.0</v>
      </c>
      <c r="H1110" s="1">
        <v>132.0</v>
      </c>
      <c r="I1110" s="1" t="s">
        <v>16</v>
      </c>
      <c r="J1110" s="1">
        <v>4.1E7</v>
      </c>
      <c r="K1110" s="1">
        <v>2003.0</v>
      </c>
      <c r="L1110" s="1">
        <v>5.2</v>
      </c>
      <c r="O1110" s="3"/>
      <c r="S1110" s="4"/>
    </row>
    <row r="1111" ht="14.25" customHeight="1">
      <c r="A1111" s="1" t="s">
        <v>387</v>
      </c>
      <c r="B1111" s="1">
        <v>107.0</v>
      </c>
      <c r="C1111" s="1">
        <v>2.93501675E8</v>
      </c>
      <c r="D1111" s="1" t="s">
        <v>806</v>
      </c>
      <c r="E1111" s="1" t="s">
        <v>415</v>
      </c>
      <c r="F1111" s="1" t="s">
        <v>2473</v>
      </c>
      <c r="G1111" s="1">
        <v>704766.0</v>
      </c>
      <c r="H1111" s="1">
        <v>2073.0</v>
      </c>
      <c r="I1111" s="1" t="s">
        <v>16</v>
      </c>
      <c r="J1111" s="1">
        <v>4.0E7</v>
      </c>
      <c r="K1111" s="1">
        <v>1999.0</v>
      </c>
      <c r="L1111" s="1">
        <v>8.1</v>
      </c>
      <c r="O1111" s="3"/>
      <c r="S1111" s="4"/>
    </row>
    <row r="1112" ht="14.25" customHeight="1">
      <c r="A1112" s="1" t="s">
        <v>2474</v>
      </c>
      <c r="B1112" s="1">
        <v>102.0</v>
      </c>
      <c r="C1112" s="1">
        <v>1.8600911E7</v>
      </c>
      <c r="D1112" s="1" t="s">
        <v>146</v>
      </c>
      <c r="E1112" s="1" t="s">
        <v>2475</v>
      </c>
      <c r="F1112" s="1" t="s">
        <v>2476</v>
      </c>
      <c r="G1112" s="1">
        <v>125198.0</v>
      </c>
      <c r="H1112" s="1">
        <v>153.0</v>
      </c>
      <c r="I1112" s="1" t="s">
        <v>16</v>
      </c>
      <c r="J1112" s="1">
        <v>4.2E7</v>
      </c>
      <c r="K1112" s="1">
        <v>2012.0</v>
      </c>
      <c r="L1112" s="1">
        <v>6.6</v>
      </c>
      <c r="O1112" s="3"/>
      <c r="S1112" s="4"/>
    </row>
    <row r="1113" ht="14.25" customHeight="1">
      <c r="A1113" s="1" t="s">
        <v>1598</v>
      </c>
      <c r="B1113" s="1">
        <v>100.0</v>
      </c>
      <c r="C1113" s="1">
        <v>7204138.0</v>
      </c>
      <c r="D1113" s="1" t="s">
        <v>828</v>
      </c>
      <c r="E1113" s="1" t="s">
        <v>2477</v>
      </c>
      <c r="F1113" s="1" t="s">
        <v>2478</v>
      </c>
      <c r="G1113" s="1">
        <v>34809.0</v>
      </c>
      <c r="H1113" s="1">
        <v>125.0</v>
      </c>
      <c r="I1113" s="1" t="s">
        <v>16</v>
      </c>
      <c r="J1113" s="1">
        <v>4.1E7</v>
      </c>
      <c r="K1113" s="1">
        <v>2011.0</v>
      </c>
      <c r="L1113" s="1">
        <v>6.2</v>
      </c>
      <c r="O1113" s="3"/>
      <c r="S1113" s="4"/>
    </row>
    <row r="1114" ht="14.25" customHeight="1">
      <c r="A1114" s="1" t="s">
        <v>2479</v>
      </c>
      <c r="B1114" s="1">
        <v>126.0</v>
      </c>
      <c r="C1114" s="1">
        <v>9.08E7</v>
      </c>
      <c r="D1114" s="1" t="s">
        <v>2480</v>
      </c>
      <c r="E1114" s="1" t="s">
        <v>2481</v>
      </c>
      <c r="F1114" s="1" t="s">
        <v>2482</v>
      </c>
      <c r="G1114" s="1">
        <v>126907.0</v>
      </c>
      <c r="H1114" s="1">
        <v>235.0</v>
      </c>
      <c r="I1114" s="1" t="s">
        <v>16</v>
      </c>
      <c r="J1114" s="1">
        <v>8000000.0</v>
      </c>
      <c r="K1114" s="1">
        <v>1984.0</v>
      </c>
      <c r="L1114" s="1">
        <v>7.2</v>
      </c>
      <c r="O1114" s="3"/>
      <c r="S1114" s="4"/>
    </row>
    <row r="1115" ht="14.25" customHeight="1">
      <c r="A1115" s="1" t="s">
        <v>1695</v>
      </c>
      <c r="B1115" s="1">
        <v>138.0</v>
      </c>
      <c r="C1115" s="1">
        <v>1.50117807E8</v>
      </c>
      <c r="D1115" s="1" t="s">
        <v>811</v>
      </c>
      <c r="E1115" s="1" t="s">
        <v>152</v>
      </c>
      <c r="F1115" s="1" t="s">
        <v>2483</v>
      </c>
      <c r="G1115" s="1">
        <v>358416.0</v>
      </c>
      <c r="H1115" s="1">
        <v>751.0</v>
      </c>
      <c r="I1115" s="1" t="s">
        <v>16</v>
      </c>
      <c r="J1115" s="1">
        <v>4.0E7</v>
      </c>
      <c r="K1115" s="1">
        <v>2013.0</v>
      </c>
      <c r="L1115" s="1">
        <v>7.3</v>
      </c>
      <c r="O1115" s="3"/>
      <c r="S1115" s="4"/>
    </row>
    <row r="1116" ht="14.25" customHeight="1">
      <c r="A1116" s="1" t="s">
        <v>2484</v>
      </c>
      <c r="B1116" s="1">
        <v>108.0</v>
      </c>
      <c r="C1116" s="1">
        <v>1.63947053E8</v>
      </c>
      <c r="D1116" s="1" t="s">
        <v>593</v>
      </c>
      <c r="E1116" s="1" t="s">
        <v>137</v>
      </c>
      <c r="F1116" s="1" t="s">
        <v>2485</v>
      </c>
      <c r="G1116" s="1">
        <v>227824.0</v>
      </c>
      <c r="H1116" s="1">
        <v>273.0</v>
      </c>
      <c r="I1116" s="1" t="s">
        <v>16</v>
      </c>
      <c r="J1116" s="1">
        <v>4.0E7</v>
      </c>
      <c r="K1116" s="1">
        <v>2009.0</v>
      </c>
      <c r="L1116" s="1">
        <v>6.7</v>
      </c>
      <c r="O1116" s="3"/>
      <c r="S1116" s="4"/>
    </row>
    <row r="1117" ht="14.25" customHeight="1">
      <c r="A1117" s="1" t="s">
        <v>2486</v>
      </c>
      <c r="B1117" s="1">
        <v>105.0</v>
      </c>
      <c r="C1117" s="1">
        <v>1.16735231E8</v>
      </c>
      <c r="D1117" s="1" t="s">
        <v>938</v>
      </c>
      <c r="E1117" s="1" t="s">
        <v>1157</v>
      </c>
      <c r="F1117" s="1" t="s">
        <v>2487</v>
      </c>
      <c r="G1117" s="1">
        <v>56646.0</v>
      </c>
      <c r="H1117" s="1">
        <v>336.0</v>
      </c>
      <c r="I1117" s="1" t="s">
        <v>16</v>
      </c>
      <c r="J1117" s="1">
        <v>7.0E7</v>
      </c>
      <c r="K1117" s="1">
        <v>1999.0</v>
      </c>
      <c r="L1117" s="1">
        <v>6.4</v>
      </c>
      <c r="O1117" s="3"/>
      <c r="S1117" s="4"/>
    </row>
    <row r="1118" ht="14.25" customHeight="1">
      <c r="A1118" s="1" t="s">
        <v>186</v>
      </c>
      <c r="B1118" s="1">
        <v>108.0</v>
      </c>
      <c r="C1118" s="1">
        <v>1.185E8</v>
      </c>
      <c r="D1118" s="1" t="s">
        <v>782</v>
      </c>
      <c r="E1118" s="1" t="s">
        <v>2488</v>
      </c>
      <c r="F1118" s="1" t="s">
        <v>2489</v>
      </c>
      <c r="G1118" s="1">
        <v>340085.0</v>
      </c>
      <c r="H1118" s="1">
        <v>327.0</v>
      </c>
      <c r="I1118" s="1" t="s">
        <v>16</v>
      </c>
      <c r="J1118" s="1">
        <v>4.0E7</v>
      </c>
      <c r="K1118" s="1">
        <v>1989.0</v>
      </c>
      <c r="L1118" s="1">
        <v>7.8</v>
      </c>
      <c r="O1118" s="3"/>
      <c r="S1118" s="4"/>
    </row>
    <row r="1119" ht="14.25" customHeight="1">
      <c r="A1119" s="1" t="s">
        <v>830</v>
      </c>
      <c r="B1119" s="1">
        <v>89.0</v>
      </c>
      <c r="C1119" s="1">
        <v>1.26546825E8</v>
      </c>
      <c r="D1119" s="1" t="s">
        <v>1154</v>
      </c>
      <c r="E1119" s="1" t="s">
        <v>237</v>
      </c>
      <c r="F1119" s="1" t="s">
        <v>2490</v>
      </c>
      <c r="G1119" s="1">
        <v>327367.0</v>
      </c>
      <c r="H1119" s="1">
        <v>918.0</v>
      </c>
      <c r="I1119" s="1" t="s">
        <v>16</v>
      </c>
      <c r="J1119" s="1">
        <v>4.0E7</v>
      </c>
      <c r="K1119" s="1">
        <v>2014.0</v>
      </c>
      <c r="L1119" s="1">
        <v>6.4</v>
      </c>
      <c r="O1119" s="3"/>
      <c r="S1119" s="4"/>
    </row>
    <row r="1120" ht="14.25" customHeight="1">
      <c r="A1120" s="1" t="s">
        <v>2491</v>
      </c>
      <c r="B1120" s="1">
        <v>129.0</v>
      </c>
      <c r="C1120" s="1">
        <v>1.66147885E8</v>
      </c>
      <c r="D1120" s="1" t="s">
        <v>92</v>
      </c>
      <c r="E1120" s="1" t="s">
        <v>1989</v>
      </c>
      <c r="F1120" s="1" t="s">
        <v>2492</v>
      </c>
      <c r="G1120" s="1">
        <v>220020.0</v>
      </c>
      <c r="H1120" s="1">
        <v>1360.0</v>
      </c>
      <c r="I1120" s="1" t="s">
        <v>16</v>
      </c>
      <c r="J1120" s="1">
        <v>4.0E7</v>
      </c>
      <c r="K1120" s="1">
        <v>2015.0</v>
      </c>
      <c r="L1120" s="1">
        <v>4.1</v>
      </c>
      <c r="O1120" s="3"/>
      <c r="S1120" s="4"/>
    </row>
    <row r="1121" ht="14.25" customHeight="1">
      <c r="A1121" s="1" t="s">
        <v>1980</v>
      </c>
      <c r="B1121" s="1">
        <v>84.0</v>
      </c>
      <c r="C1121" s="1">
        <v>1.11760631E8</v>
      </c>
      <c r="D1121" s="1" t="s">
        <v>1242</v>
      </c>
      <c r="E1121" s="1" t="s">
        <v>1061</v>
      </c>
      <c r="F1121" s="1" t="s">
        <v>2493</v>
      </c>
      <c r="G1121" s="1">
        <v>40227.0</v>
      </c>
      <c r="H1121" s="1">
        <v>188.0</v>
      </c>
      <c r="I1121" s="1" t="s">
        <v>16</v>
      </c>
      <c r="J1121" s="1">
        <v>3.8E7</v>
      </c>
      <c r="K1121" s="1">
        <v>2003.0</v>
      </c>
      <c r="L1121" s="1">
        <v>4.1</v>
      </c>
      <c r="O1121" s="3"/>
      <c r="S1121" s="4"/>
    </row>
    <row r="1122" ht="14.25" customHeight="1">
      <c r="A1122" s="1" t="s">
        <v>552</v>
      </c>
      <c r="B1122" s="1">
        <v>149.0</v>
      </c>
      <c r="C1122" s="1">
        <v>1.08706165E8</v>
      </c>
      <c r="D1122" s="1" t="s">
        <v>901</v>
      </c>
      <c r="E1122" s="1" t="s">
        <v>52</v>
      </c>
      <c r="F1122" s="1" t="s">
        <v>2494</v>
      </c>
      <c r="G1122" s="1">
        <v>99558.0</v>
      </c>
      <c r="H1122" s="1">
        <v>236.0</v>
      </c>
      <c r="I1122" s="1" t="s">
        <v>16</v>
      </c>
      <c r="J1122" s="1">
        <v>4.0E7</v>
      </c>
      <c r="K1122" s="1">
        <v>1996.0</v>
      </c>
      <c r="L1122" s="1">
        <v>7.4</v>
      </c>
      <c r="O1122" s="3"/>
      <c r="S1122" s="4"/>
    </row>
    <row r="1123" ht="14.25" customHeight="1">
      <c r="A1123" s="1" t="s">
        <v>345</v>
      </c>
      <c r="B1123" s="1">
        <v>94.0</v>
      </c>
      <c r="C1123" s="1">
        <v>1.38614544E8</v>
      </c>
      <c r="D1123" s="1" t="s">
        <v>1247</v>
      </c>
      <c r="E1123" s="1" t="s">
        <v>2495</v>
      </c>
      <c r="F1123" s="1" t="s">
        <v>2496</v>
      </c>
      <c r="G1123" s="1">
        <v>75152.0</v>
      </c>
      <c r="H1123" s="1">
        <v>288.0</v>
      </c>
      <c r="I1123" s="1" t="s">
        <v>16</v>
      </c>
      <c r="J1123" s="1">
        <v>4.0E7</v>
      </c>
      <c r="K1123" s="1">
        <v>2003.0</v>
      </c>
      <c r="L1123" s="1">
        <v>5.8</v>
      </c>
      <c r="O1123" s="3"/>
      <c r="S1123" s="4"/>
    </row>
    <row r="1124" ht="14.25" customHeight="1">
      <c r="A1124" s="1" t="s">
        <v>98</v>
      </c>
      <c r="B1124" s="1">
        <v>121.0</v>
      </c>
      <c r="C1124" s="1">
        <v>1.25069696E8</v>
      </c>
      <c r="D1124" s="1" t="s">
        <v>2497</v>
      </c>
      <c r="E1124" s="1" t="s">
        <v>2498</v>
      </c>
      <c r="F1124" s="1" t="s">
        <v>2499</v>
      </c>
      <c r="G1124" s="1">
        <v>203963.0</v>
      </c>
      <c r="H1124" s="1">
        <v>420.0</v>
      </c>
      <c r="I1124" s="1" t="s">
        <v>16</v>
      </c>
      <c r="J1124" s="1">
        <v>4.0E7</v>
      </c>
      <c r="K1124" s="1">
        <v>2013.0</v>
      </c>
      <c r="L1124" s="1">
        <v>7.6</v>
      </c>
      <c r="O1124" s="3"/>
      <c r="S1124" s="4"/>
    </row>
    <row r="1125" ht="14.25" customHeight="1">
      <c r="A1125" s="1" t="s">
        <v>2246</v>
      </c>
      <c r="B1125" s="1">
        <v>128.0</v>
      </c>
      <c r="C1125" s="1">
        <v>1.07458785E8</v>
      </c>
      <c r="D1125" s="1" t="s">
        <v>2500</v>
      </c>
      <c r="E1125" s="1" t="s">
        <v>140</v>
      </c>
      <c r="F1125" s="1" t="s">
        <v>2501</v>
      </c>
      <c r="G1125" s="1">
        <v>71754.0</v>
      </c>
      <c r="H1125" s="1">
        <v>166.0</v>
      </c>
      <c r="I1125" s="1" t="s">
        <v>16</v>
      </c>
      <c r="J1125" s="1">
        <v>4.0E7</v>
      </c>
      <c r="K1125" s="1">
        <v>1992.0</v>
      </c>
      <c r="L1125" s="1">
        <v>7.2</v>
      </c>
      <c r="O1125" s="3"/>
      <c r="S1125" s="4"/>
    </row>
    <row r="1126" ht="14.25" customHeight="1">
      <c r="A1126" s="1" t="s">
        <v>145</v>
      </c>
      <c r="B1126" s="1">
        <v>134.0</v>
      </c>
      <c r="C1126" s="1">
        <v>1.02310175E8</v>
      </c>
      <c r="D1126" s="1" t="s">
        <v>1239</v>
      </c>
      <c r="E1126" s="1" t="s">
        <v>2502</v>
      </c>
      <c r="F1126" s="1" t="s">
        <v>2503</v>
      </c>
      <c r="G1126" s="1">
        <v>64989.0</v>
      </c>
      <c r="H1126" s="1">
        <v>279.0</v>
      </c>
      <c r="I1126" s="1" t="s">
        <v>16</v>
      </c>
      <c r="J1126" s="1">
        <v>4.0E7</v>
      </c>
      <c r="K1126" s="1">
        <v>2016.0</v>
      </c>
      <c r="L1126" s="1">
        <v>7.8</v>
      </c>
      <c r="O1126" s="3"/>
      <c r="S1126" s="4"/>
    </row>
    <row r="1127" ht="14.25" customHeight="1">
      <c r="A1127" s="1" t="s">
        <v>291</v>
      </c>
      <c r="B1127" s="1">
        <v>120.0</v>
      </c>
      <c r="C1127" s="1">
        <v>9.6917897E7</v>
      </c>
      <c r="D1127" s="1" t="s">
        <v>646</v>
      </c>
      <c r="E1127" s="1" t="s">
        <v>2504</v>
      </c>
      <c r="F1127" s="1" t="s">
        <v>2505</v>
      </c>
      <c r="G1127" s="1">
        <v>479453.0</v>
      </c>
      <c r="H1127" s="1">
        <v>696.0</v>
      </c>
      <c r="I1127" s="1" t="s">
        <v>16</v>
      </c>
      <c r="J1127" s="1">
        <v>4.0E7</v>
      </c>
      <c r="K1127" s="1">
        <v>2010.0</v>
      </c>
      <c r="L1127" s="1">
        <v>7.7</v>
      </c>
      <c r="O1127" s="3"/>
      <c r="S1127" s="4"/>
    </row>
    <row r="1128" ht="14.25" customHeight="1">
      <c r="A1128" s="1" t="s">
        <v>2506</v>
      </c>
      <c r="B1128" s="1">
        <v>129.0</v>
      </c>
      <c r="C1128" s="1">
        <v>9.3952276E7</v>
      </c>
      <c r="D1128" s="1" t="s">
        <v>593</v>
      </c>
      <c r="E1128" s="1" t="s">
        <v>2507</v>
      </c>
      <c r="F1128" s="1" t="s">
        <v>2508</v>
      </c>
      <c r="G1128" s="1">
        <v>132048.0</v>
      </c>
      <c r="H1128" s="1">
        <v>203.0</v>
      </c>
      <c r="I1128" s="1" t="s">
        <v>16</v>
      </c>
      <c r="J1128" s="1">
        <v>4.0E7</v>
      </c>
      <c r="K1128" s="1">
        <v>2009.0</v>
      </c>
      <c r="L1128" s="1">
        <v>6.4</v>
      </c>
      <c r="O1128" s="3"/>
      <c r="S1128" s="4"/>
    </row>
    <row r="1129" ht="14.25" customHeight="1">
      <c r="A1129" s="1" t="s">
        <v>2271</v>
      </c>
      <c r="B1129" s="1">
        <v>89.0</v>
      </c>
      <c r="C1129" s="1">
        <v>9.0703745E7</v>
      </c>
      <c r="D1129" s="1" t="s">
        <v>828</v>
      </c>
      <c r="E1129" s="1" t="s">
        <v>2509</v>
      </c>
      <c r="F1129" s="1" t="s">
        <v>2510</v>
      </c>
      <c r="G1129" s="1">
        <v>93748.0</v>
      </c>
      <c r="H1129" s="1">
        <v>410.0</v>
      </c>
      <c r="I1129" s="1" t="s">
        <v>16</v>
      </c>
      <c r="J1129" s="1">
        <v>4.5E7</v>
      </c>
      <c r="K1129" s="1">
        <v>2006.0</v>
      </c>
      <c r="L1129" s="1">
        <v>5.1</v>
      </c>
      <c r="O1129" s="3"/>
      <c r="S1129" s="4"/>
    </row>
    <row r="1130" ht="14.25" customHeight="1">
      <c r="A1130" s="1" t="s">
        <v>2511</v>
      </c>
      <c r="B1130" s="1">
        <v>116.0</v>
      </c>
      <c r="C1130" s="1">
        <v>8.9138076E7</v>
      </c>
      <c r="D1130" s="1" t="s">
        <v>2512</v>
      </c>
      <c r="E1130" s="1" t="s">
        <v>2513</v>
      </c>
      <c r="F1130" s="1" t="s">
        <v>2514</v>
      </c>
      <c r="G1130" s="1">
        <v>98535.0</v>
      </c>
      <c r="H1130" s="1">
        <v>734.0</v>
      </c>
      <c r="I1130" s="1" t="s">
        <v>16</v>
      </c>
      <c r="J1130" s="1">
        <v>4.0E7</v>
      </c>
      <c r="K1130" s="1">
        <v>2000.0</v>
      </c>
      <c r="L1130" s="1">
        <v>5.5</v>
      </c>
      <c r="O1130" s="3"/>
      <c r="S1130" s="4"/>
    </row>
    <row r="1131" ht="14.25" customHeight="1">
      <c r="A1131" s="1" t="s">
        <v>186</v>
      </c>
      <c r="B1131" s="1">
        <v>118.0</v>
      </c>
      <c r="C1131" s="1">
        <v>8.7666629E7</v>
      </c>
      <c r="D1131" s="1" t="s">
        <v>2515</v>
      </c>
      <c r="E1131" s="1" t="s">
        <v>2488</v>
      </c>
      <c r="F1131" s="1" t="s">
        <v>2516</v>
      </c>
      <c r="G1131" s="1">
        <v>283480.0</v>
      </c>
      <c r="H1131" s="1">
        <v>263.0</v>
      </c>
      <c r="I1131" s="1" t="s">
        <v>16</v>
      </c>
      <c r="J1131" s="1">
        <v>4.0E7</v>
      </c>
      <c r="K1131" s="1">
        <v>1990.0</v>
      </c>
      <c r="L1131" s="1">
        <v>7.4</v>
      </c>
      <c r="O1131" s="3"/>
      <c r="S1131" s="4"/>
    </row>
    <row r="1132" ht="14.25" customHeight="1">
      <c r="A1132" s="1" t="s">
        <v>2517</v>
      </c>
      <c r="B1132" s="1">
        <v>107.0</v>
      </c>
      <c r="C1132" s="1">
        <v>9.0353764E7</v>
      </c>
      <c r="D1132" s="1" t="s">
        <v>427</v>
      </c>
      <c r="E1132" s="1" t="s">
        <v>783</v>
      </c>
      <c r="F1132" s="1" t="s">
        <v>2518</v>
      </c>
      <c r="G1132" s="1">
        <v>85629.0</v>
      </c>
      <c r="H1132" s="1">
        <v>144.0</v>
      </c>
      <c r="I1132" s="1" t="s">
        <v>16</v>
      </c>
      <c r="J1132" s="1">
        <v>4.0E7</v>
      </c>
      <c r="K1132" s="1">
        <v>2015.0</v>
      </c>
      <c r="L1132" s="1">
        <v>6.0</v>
      </c>
      <c r="O1132" s="3"/>
      <c r="S1132" s="4"/>
    </row>
    <row r="1133" ht="14.25" customHeight="1">
      <c r="A1133" s="1" t="s">
        <v>1957</v>
      </c>
      <c r="B1133" s="1">
        <v>155.0</v>
      </c>
      <c r="C1133" s="1">
        <v>8.252279E7</v>
      </c>
      <c r="D1133" s="1" t="s">
        <v>2519</v>
      </c>
      <c r="E1133" s="1" t="s">
        <v>252</v>
      </c>
      <c r="F1133" s="1" t="s">
        <v>2520</v>
      </c>
      <c r="G1133" s="1">
        <v>143835.0</v>
      </c>
      <c r="H1133" s="1">
        <v>654.0</v>
      </c>
      <c r="I1133" s="1" t="s">
        <v>16</v>
      </c>
      <c r="J1133" s="1">
        <v>4.0E7</v>
      </c>
      <c r="K1133" s="1">
        <v>1992.0</v>
      </c>
      <c r="L1133" s="1">
        <v>7.5</v>
      </c>
      <c r="O1133" s="3"/>
      <c r="S1133" s="4"/>
    </row>
    <row r="1134" ht="14.25" customHeight="1">
      <c r="A1134" s="1" t="s">
        <v>1497</v>
      </c>
      <c r="B1134" s="1">
        <v>123.0</v>
      </c>
      <c r="C1134" s="1">
        <v>9.4125426E7</v>
      </c>
      <c r="D1134" s="1" t="s">
        <v>2521</v>
      </c>
      <c r="E1134" s="1" t="s">
        <v>1000</v>
      </c>
      <c r="F1134" s="1" t="s">
        <v>2522</v>
      </c>
      <c r="G1134" s="1">
        <v>79264.0</v>
      </c>
      <c r="H1134" s="1">
        <v>277.0</v>
      </c>
      <c r="I1134" s="1" t="s">
        <v>16</v>
      </c>
      <c r="J1134" s="1">
        <v>4.0E7</v>
      </c>
      <c r="K1134" s="1">
        <v>2009.0</v>
      </c>
      <c r="L1134" s="1">
        <v>7.0</v>
      </c>
      <c r="O1134" s="3"/>
      <c r="S1134" s="4"/>
    </row>
    <row r="1135" ht="14.25" customHeight="1">
      <c r="A1135" s="1" t="s">
        <v>2050</v>
      </c>
      <c r="B1135" s="1">
        <v>128.0</v>
      </c>
      <c r="C1135" s="1">
        <v>9.5001343E7</v>
      </c>
      <c r="D1135" s="1" t="s">
        <v>681</v>
      </c>
      <c r="E1135" s="1" t="s">
        <v>169</v>
      </c>
      <c r="F1135" s="1" t="s">
        <v>2523</v>
      </c>
      <c r="G1135" s="1">
        <v>66511.0</v>
      </c>
      <c r="H1135" s="1">
        <v>200.0</v>
      </c>
      <c r="I1135" s="1" t="s">
        <v>16</v>
      </c>
      <c r="J1135" s="1">
        <v>4.0E7</v>
      </c>
      <c r="K1135" s="1">
        <v>2013.0</v>
      </c>
      <c r="L1135" s="1">
        <v>7.5</v>
      </c>
      <c r="O1135" s="3"/>
      <c r="S1135" s="4"/>
    </row>
    <row r="1136" ht="14.25" customHeight="1">
      <c r="A1136" s="1" t="s">
        <v>1095</v>
      </c>
      <c r="B1136" s="1">
        <v>139.0</v>
      </c>
      <c r="C1136" s="1">
        <v>8.1292135E7</v>
      </c>
      <c r="D1136" s="1" t="s">
        <v>901</v>
      </c>
      <c r="E1136" s="1" t="s">
        <v>390</v>
      </c>
      <c r="F1136" s="1" t="s">
        <v>2524</v>
      </c>
      <c r="G1136" s="1">
        <v>137891.0</v>
      </c>
      <c r="H1136" s="1">
        <v>696.0</v>
      </c>
      <c r="I1136" s="1" t="s">
        <v>16</v>
      </c>
      <c r="J1136" s="1">
        <v>4.0E7</v>
      </c>
      <c r="K1136" s="1">
        <v>1999.0</v>
      </c>
      <c r="L1136" s="1">
        <v>7.3</v>
      </c>
      <c r="O1136" s="3"/>
      <c r="S1136" s="4"/>
    </row>
    <row r="1137" ht="14.25" customHeight="1">
      <c r="A1137" s="1" t="s">
        <v>1428</v>
      </c>
      <c r="B1137" s="1">
        <v>109.0</v>
      </c>
      <c r="C1137" s="1">
        <v>8.620801E7</v>
      </c>
      <c r="D1137" s="1" t="s">
        <v>828</v>
      </c>
      <c r="E1137" s="1" t="s">
        <v>899</v>
      </c>
      <c r="F1137" s="1" t="s">
        <v>2525</v>
      </c>
      <c r="G1137" s="1">
        <v>97045.0</v>
      </c>
      <c r="H1137" s="1">
        <v>285.0</v>
      </c>
      <c r="I1137" s="1" t="s">
        <v>16</v>
      </c>
      <c r="J1137" s="1">
        <v>3.5E7</v>
      </c>
      <c r="K1137" s="1">
        <v>2014.0</v>
      </c>
      <c r="L1137" s="1">
        <v>5.7</v>
      </c>
      <c r="O1137" s="3"/>
      <c r="S1137" s="4"/>
    </row>
    <row r="1138" ht="14.25" customHeight="1">
      <c r="A1138" s="1" t="s">
        <v>2053</v>
      </c>
      <c r="B1138" s="1">
        <v>120.0</v>
      </c>
      <c r="C1138" s="1">
        <v>8.1593527E7</v>
      </c>
      <c r="D1138" s="1" t="s">
        <v>1336</v>
      </c>
      <c r="E1138" s="1" t="s">
        <v>289</v>
      </c>
      <c r="F1138" s="1" t="s">
        <v>2526</v>
      </c>
      <c r="G1138" s="1">
        <v>48806.0</v>
      </c>
      <c r="H1138" s="1">
        <v>263.0</v>
      </c>
      <c r="I1138" s="1" t="s">
        <v>16</v>
      </c>
      <c r="J1138" s="1">
        <v>4.0E7</v>
      </c>
      <c r="K1138" s="1">
        <v>2006.0</v>
      </c>
      <c r="L1138" s="1">
        <v>7.3</v>
      </c>
      <c r="O1138" s="3"/>
      <c r="S1138" s="4"/>
    </row>
    <row r="1139" ht="14.25" customHeight="1">
      <c r="A1139" s="1" t="s">
        <v>996</v>
      </c>
      <c r="B1139" s="1">
        <v>121.0</v>
      </c>
      <c r="C1139" s="1">
        <v>7.5274748E7</v>
      </c>
      <c r="D1139" s="1" t="s">
        <v>1059</v>
      </c>
      <c r="E1139" s="1" t="s">
        <v>725</v>
      </c>
      <c r="F1139" s="1" t="s">
        <v>2527</v>
      </c>
      <c r="G1139" s="1">
        <v>130661.0</v>
      </c>
      <c r="H1139" s="1">
        <v>304.0</v>
      </c>
      <c r="I1139" s="1" t="s">
        <v>16</v>
      </c>
      <c r="J1139" s="1">
        <v>3.5E7</v>
      </c>
      <c r="K1139" s="1">
        <v>2015.0</v>
      </c>
      <c r="L1139" s="1">
        <v>7.2</v>
      </c>
      <c r="O1139" s="3"/>
      <c r="S1139" s="4"/>
    </row>
    <row r="1140" ht="14.25" customHeight="1">
      <c r="A1140" s="1" t="s">
        <v>563</v>
      </c>
      <c r="B1140" s="1">
        <v>102.0</v>
      </c>
      <c r="C1140" s="1">
        <v>9.083503E7</v>
      </c>
      <c r="D1140" s="1" t="s">
        <v>907</v>
      </c>
      <c r="E1140" s="1" t="s">
        <v>2528</v>
      </c>
      <c r="F1140" s="1" t="s">
        <v>2529</v>
      </c>
      <c r="G1140" s="1">
        <v>28621.0</v>
      </c>
      <c r="H1140" s="1">
        <v>58.0</v>
      </c>
      <c r="I1140" s="1" t="s">
        <v>16</v>
      </c>
      <c r="J1140" s="1">
        <v>4.0E7</v>
      </c>
      <c r="K1140" s="1">
        <v>2016.0</v>
      </c>
      <c r="L1140" s="1">
        <v>5.9</v>
      </c>
      <c r="O1140" s="3"/>
      <c r="S1140" s="4"/>
    </row>
    <row r="1141" ht="14.25" customHeight="1">
      <c r="A1141" s="1" t="s">
        <v>680</v>
      </c>
      <c r="B1141" s="1">
        <v>117.0</v>
      </c>
      <c r="C1141" s="1">
        <v>7.2455275E7</v>
      </c>
      <c r="D1141" s="1" t="s">
        <v>2530</v>
      </c>
      <c r="E1141" s="1" t="s">
        <v>2531</v>
      </c>
      <c r="F1141" s="1" t="s">
        <v>2532</v>
      </c>
      <c r="G1141" s="1">
        <v>113068.0</v>
      </c>
      <c r="H1141" s="1">
        <v>382.0</v>
      </c>
      <c r="I1141" s="1" t="s">
        <v>16</v>
      </c>
      <c r="J1141" s="1">
        <v>4.0E7</v>
      </c>
      <c r="K1141" s="1">
        <v>1992.0</v>
      </c>
      <c r="L1141" s="1">
        <v>7.8</v>
      </c>
      <c r="O1141" s="3"/>
      <c r="S1141" s="4"/>
    </row>
    <row r="1142" ht="14.25" customHeight="1">
      <c r="A1142" s="1" t="s">
        <v>1535</v>
      </c>
      <c r="B1142" s="1">
        <v>178.0</v>
      </c>
      <c r="C1142" s="1">
        <v>7.5305995E7</v>
      </c>
      <c r="D1142" s="1" t="s">
        <v>1749</v>
      </c>
      <c r="E1142" s="1" t="s">
        <v>2533</v>
      </c>
      <c r="F1142" s="1" t="s">
        <v>2534</v>
      </c>
      <c r="G1142" s="1">
        <v>110394.0</v>
      </c>
      <c r="H1142" s="1">
        <v>433.0</v>
      </c>
      <c r="I1142" s="1" t="s">
        <v>16</v>
      </c>
      <c r="J1142" s="1">
        <v>4.0E7</v>
      </c>
      <c r="K1142" s="1">
        <v>2004.0</v>
      </c>
      <c r="L1142" s="1">
        <v>7.7</v>
      </c>
      <c r="O1142" s="3"/>
      <c r="S1142" s="4"/>
    </row>
    <row r="1143" ht="14.25" customHeight="1">
      <c r="A1143" s="1" t="s">
        <v>1554</v>
      </c>
      <c r="B1143" s="1">
        <v>147.0</v>
      </c>
      <c r="C1143" s="1">
        <v>7.4098862E7</v>
      </c>
      <c r="D1143" s="1" t="s">
        <v>640</v>
      </c>
      <c r="E1143" s="1" t="s">
        <v>798</v>
      </c>
      <c r="F1143" s="1" t="s">
        <v>2535</v>
      </c>
      <c r="G1143" s="1">
        <v>656640.0</v>
      </c>
      <c r="H1143" s="1">
        <v>1732.0</v>
      </c>
      <c r="I1143" s="1" t="s">
        <v>16</v>
      </c>
      <c r="J1143" s="1">
        <v>4.0E7</v>
      </c>
      <c r="K1143" s="1">
        <v>2005.0</v>
      </c>
      <c r="L1143" s="1">
        <v>8.1</v>
      </c>
      <c r="O1143" s="3"/>
      <c r="S1143" s="4"/>
    </row>
    <row r="1144" ht="14.25" customHeight="1">
      <c r="A1144" s="1" t="s">
        <v>1043</v>
      </c>
      <c r="B1144" s="1">
        <v>90.0</v>
      </c>
      <c r="C1144" s="1">
        <v>7.2266306E7</v>
      </c>
      <c r="D1144" s="1" t="s">
        <v>909</v>
      </c>
      <c r="E1144" s="1" t="s">
        <v>870</v>
      </c>
      <c r="F1144" s="1" t="s">
        <v>2536</v>
      </c>
      <c r="G1144" s="1">
        <v>127528.0</v>
      </c>
      <c r="H1144" s="1">
        <v>422.0</v>
      </c>
      <c r="I1144" s="1" t="s">
        <v>16</v>
      </c>
      <c r="J1144" s="1">
        <v>4.0E7</v>
      </c>
      <c r="K1144" s="1">
        <v>2008.0</v>
      </c>
      <c r="L1144" s="1">
        <v>6.6</v>
      </c>
      <c r="O1144" s="3"/>
      <c r="S1144" s="4"/>
    </row>
    <row r="1145" ht="14.25" customHeight="1">
      <c r="A1145" s="1" t="s">
        <v>2425</v>
      </c>
      <c r="B1145" s="1">
        <v>105.0</v>
      </c>
      <c r="C1145" s="1">
        <v>7.134701E7</v>
      </c>
      <c r="D1145" s="1" t="s">
        <v>699</v>
      </c>
      <c r="E1145" s="1" t="s">
        <v>35</v>
      </c>
      <c r="F1145" s="1" t="s">
        <v>2537</v>
      </c>
      <c r="G1145" s="1">
        <v>166194.0</v>
      </c>
      <c r="H1145" s="1">
        <v>215.0</v>
      </c>
      <c r="I1145" s="1" t="s">
        <v>16</v>
      </c>
      <c r="J1145" s="1">
        <v>4.0E7</v>
      </c>
      <c r="K1145" s="1">
        <v>2009.0</v>
      </c>
      <c r="L1145" s="1">
        <v>7.1</v>
      </c>
      <c r="O1145" s="3"/>
      <c r="S1145" s="4"/>
    </row>
    <row r="1146" ht="14.25" customHeight="1">
      <c r="A1146" s="1" t="s">
        <v>1428</v>
      </c>
      <c r="B1146" s="1">
        <v>114.0</v>
      </c>
      <c r="C1146" s="1">
        <v>7.0836296E7</v>
      </c>
      <c r="D1146" s="1" t="s">
        <v>1046</v>
      </c>
      <c r="E1146" s="1" t="s">
        <v>2538</v>
      </c>
      <c r="F1146" s="1" t="s">
        <v>2539</v>
      </c>
      <c r="G1146" s="1">
        <v>109445.0</v>
      </c>
      <c r="H1146" s="1">
        <v>426.0</v>
      </c>
      <c r="I1146" s="1" t="s">
        <v>16</v>
      </c>
      <c r="J1146" s="1">
        <v>4.0E7</v>
      </c>
      <c r="K1146" s="1">
        <v>2001.0</v>
      </c>
      <c r="L1146" s="1">
        <v>5.9</v>
      </c>
      <c r="O1146" s="3"/>
      <c r="S1146" s="4"/>
    </row>
    <row r="1147" ht="14.25" customHeight="1">
      <c r="A1147" s="1" t="s">
        <v>324</v>
      </c>
      <c r="B1147" s="1">
        <v>206.0</v>
      </c>
      <c r="C1147" s="1">
        <v>7.0405498E7</v>
      </c>
      <c r="D1147" s="1" t="s">
        <v>1156</v>
      </c>
      <c r="E1147" s="1" t="s">
        <v>2540</v>
      </c>
      <c r="F1147" s="1" t="s">
        <v>2541</v>
      </c>
      <c r="G1147" s="1">
        <v>113472.0</v>
      </c>
      <c r="H1147" s="1">
        <v>442.0</v>
      </c>
      <c r="I1147" s="1" t="s">
        <v>16</v>
      </c>
      <c r="J1147" s="1">
        <v>4.0E7</v>
      </c>
      <c r="K1147" s="1">
        <v>1991.0</v>
      </c>
      <c r="L1147" s="1">
        <v>8.0</v>
      </c>
      <c r="O1147" s="3"/>
      <c r="S1147" s="4"/>
    </row>
    <row r="1148" ht="14.25" customHeight="1">
      <c r="A1148" s="1" t="s">
        <v>2542</v>
      </c>
      <c r="B1148" s="1">
        <v>99.0</v>
      </c>
      <c r="C1148" s="1">
        <v>7.0163652E7</v>
      </c>
      <c r="D1148" s="1" t="s">
        <v>427</v>
      </c>
      <c r="E1148" s="1" t="s">
        <v>210</v>
      </c>
      <c r="F1148" s="1" t="s">
        <v>2543</v>
      </c>
      <c r="G1148" s="1">
        <v>31968.0</v>
      </c>
      <c r="H1148" s="1">
        <v>82.0</v>
      </c>
      <c r="I1148" s="1" t="s">
        <v>16</v>
      </c>
      <c r="J1148" s="1">
        <v>4.0E7</v>
      </c>
      <c r="K1148" s="1">
        <v>2006.0</v>
      </c>
      <c r="L1148" s="1">
        <v>4.6</v>
      </c>
      <c r="O1148" s="3"/>
      <c r="S1148" s="4"/>
    </row>
    <row r="1149" ht="14.25" customHeight="1">
      <c r="A1149" s="1" t="s">
        <v>17</v>
      </c>
      <c r="B1149" s="1">
        <v>123.0</v>
      </c>
      <c r="C1149" s="1">
        <v>6.6808615E7</v>
      </c>
      <c r="D1149" s="1" t="s">
        <v>2544</v>
      </c>
      <c r="E1149" s="1" t="s">
        <v>35</v>
      </c>
      <c r="F1149" s="1" t="s">
        <v>2545</v>
      </c>
      <c r="G1149" s="1">
        <v>87351.0</v>
      </c>
      <c r="H1149" s="1">
        <v>344.0</v>
      </c>
      <c r="I1149" s="1" t="s">
        <v>16</v>
      </c>
      <c r="J1149" s="1">
        <v>3.4E7</v>
      </c>
      <c r="K1149" s="1">
        <v>2001.0</v>
      </c>
      <c r="L1149" s="1">
        <v>6.1</v>
      </c>
      <c r="O1149" s="3"/>
      <c r="S1149" s="4"/>
    </row>
    <row r="1150" ht="14.25" customHeight="1">
      <c r="A1150" s="1" t="s">
        <v>2417</v>
      </c>
      <c r="B1150" s="1">
        <v>102.0</v>
      </c>
      <c r="C1150" s="1">
        <v>6.4149837E7</v>
      </c>
      <c r="D1150" s="1" t="s">
        <v>2546</v>
      </c>
      <c r="E1150" s="1" t="s">
        <v>2547</v>
      </c>
      <c r="F1150" s="1" t="s">
        <v>2548</v>
      </c>
      <c r="G1150" s="1">
        <v>146899.0</v>
      </c>
      <c r="H1150" s="1">
        <v>185.0</v>
      </c>
      <c r="I1150" s="1" t="s">
        <v>16</v>
      </c>
      <c r="J1150" s="1">
        <v>2.0E7</v>
      </c>
      <c r="K1150" s="1">
        <v>2009.0</v>
      </c>
      <c r="L1150" s="1">
        <v>6.4</v>
      </c>
      <c r="O1150" s="3"/>
      <c r="S1150" s="4"/>
    </row>
    <row r="1151" ht="14.25" customHeight="1">
      <c r="A1151" s="1" t="s">
        <v>2549</v>
      </c>
      <c r="B1151" s="1">
        <v>109.0</v>
      </c>
      <c r="C1151" s="1">
        <v>8.3906114E7</v>
      </c>
      <c r="D1151" s="1" t="s">
        <v>699</v>
      </c>
      <c r="E1151" s="1" t="s">
        <v>2313</v>
      </c>
      <c r="F1151" s="1" t="s">
        <v>2550</v>
      </c>
      <c r="G1151" s="1">
        <v>104481.0</v>
      </c>
      <c r="H1151" s="1">
        <v>189.0</v>
      </c>
      <c r="I1151" s="1" t="s">
        <v>16</v>
      </c>
      <c r="J1151" s="1">
        <v>4.0E7</v>
      </c>
      <c r="K1151" s="1">
        <v>2014.0</v>
      </c>
      <c r="L1151" s="1">
        <v>6.0</v>
      </c>
      <c r="O1151" s="3"/>
      <c r="S1151" s="4"/>
    </row>
    <row r="1152" ht="14.25" customHeight="1">
      <c r="A1152" s="1" t="s">
        <v>2331</v>
      </c>
      <c r="B1152" s="1">
        <v>82.0</v>
      </c>
      <c r="C1152" s="1">
        <v>6.6466372E7</v>
      </c>
      <c r="D1152" s="1" t="s">
        <v>2551</v>
      </c>
      <c r="E1152" s="1" t="s">
        <v>2552</v>
      </c>
      <c r="F1152" s="1" t="s">
        <v>2553</v>
      </c>
      <c r="G1152" s="1">
        <v>75345.0</v>
      </c>
      <c r="H1152" s="1">
        <v>290.0</v>
      </c>
      <c r="I1152" s="1" t="s">
        <v>16</v>
      </c>
      <c r="J1152" s="1">
        <v>4.0E7</v>
      </c>
      <c r="K1152" s="1">
        <v>2009.0</v>
      </c>
      <c r="L1152" s="1">
        <v>5.2</v>
      </c>
      <c r="O1152" s="3"/>
      <c r="S1152" s="4"/>
    </row>
    <row r="1153" ht="14.25" customHeight="1">
      <c r="A1153" s="1" t="s">
        <v>168</v>
      </c>
      <c r="B1153" s="1">
        <v>142.0</v>
      </c>
      <c r="C1153" s="1">
        <v>7.2306065E7</v>
      </c>
      <c r="D1153" s="1" t="s">
        <v>1156</v>
      </c>
      <c r="E1153" s="1" t="s">
        <v>140</v>
      </c>
      <c r="F1153" s="1" t="s">
        <v>2554</v>
      </c>
      <c r="G1153" s="1">
        <v>178118.0</v>
      </c>
      <c r="H1153" s="1">
        <v>355.0</v>
      </c>
      <c r="I1153" s="1" t="s">
        <v>16</v>
      </c>
      <c r="J1153" s="1">
        <v>4.0E7</v>
      </c>
      <c r="K1153" s="1">
        <v>2015.0</v>
      </c>
      <c r="L1153" s="1">
        <v>7.6</v>
      </c>
      <c r="O1153" s="3"/>
      <c r="S1153" s="4"/>
    </row>
    <row r="1154" ht="14.25" customHeight="1">
      <c r="A1154" s="1" t="s">
        <v>866</v>
      </c>
      <c r="B1154" s="1">
        <v>106.0</v>
      </c>
      <c r="C1154" s="1">
        <v>5.9068786E7</v>
      </c>
      <c r="D1154" s="1" t="s">
        <v>800</v>
      </c>
      <c r="E1154" s="1" t="s">
        <v>2555</v>
      </c>
      <c r="F1154" s="1" t="s">
        <v>2556</v>
      </c>
      <c r="G1154" s="1">
        <v>86902.0</v>
      </c>
      <c r="H1154" s="1">
        <v>411.0</v>
      </c>
      <c r="I1154" s="1" t="s">
        <v>16</v>
      </c>
      <c r="J1154" s="1">
        <v>4.0E7</v>
      </c>
      <c r="K1154" s="1">
        <v>2001.0</v>
      </c>
      <c r="L1154" s="1">
        <v>6.4</v>
      </c>
      <c r="O1154" s="3"/>
      <c r="S1154" s="4"/>
    </row>
    <row r="1155" ht="14.25" customHeight="1">
      <c r="A1155" s="1" t="s">
        <v>698</v>
      </c>
      <c r="B1155" s="1">
        <v>106.0</v>
      </c>
      <c r="C1155" s="1">
        <v>5.7887882E7</v>
      </c>
      <c r="D1155" s="1" t="s">
        <v>593</v>
      </c>
      <c r="E1155" s="1" t="s">
        <v>2557</v>
      </c>
      <c r="F1155" s="1" t="s">
        <v>2558</v>
      </c>
      <c r="G1155" s="1">
        <v>35508.0</v>
      </c>
      <c r="H1155" s="1">
        <v>211.0</v>
      </c>
      <c r="I1155" s="1" t="s">
        <v>16</v>
      </c>
      <c r="J1155" s="1">
        <v>5.0E7</v>
      </c>
      <c r="K1155" s="1">
        <v>2004.0</v>
      </c>
      <c r="L1155" s="1">
        <v>6.1</v>
      </c>
      <c r="O1155" s="3"/>
      <c r="S1155" s="4"/>
    </row>
    <row r="1156" ht="14.25" customHeight="1">
      <c r="A1156" s="1" t="s">
        <v>1167</v>
      </c>
      <c r="B1156" s="1">
        <v>108.0</v>
      </c>
      <c r="C1156" s="1">
        <v>5.3955614E7</v>
      </c>
      <c r="D1156" s="1" t="s">
        <v>1242</v>
      </c>
      <c r="E1156" s="1" t="s">
        <v>1971</v>
      </c>
      <c r="F1156" s="1" t="s">
        <v>2559</v>
      </c>
      <c r="G1156" s="1">
        <v>77415.0</v>
      </c>
      <c r="H1156" s="1">
        <v>139.0</v>
      </c>
      <c r="I1156" s="1" t="s">
        <v>16</v>
      </c>
      <c r="J1156" s="1">
        <v>4.0E7</v>
      </c>
      <c r="K1156" s="1">
        <v>1998.0</v>
      </c>
      <c r="L1156" s="1">
        <v>6.1</v>
      </c>
      <c r="O1156" s="3"/>
      <c r="S1156" s="4"/>
    </row>
    <row r="1157" ht="14.25" customHeight="1">
      <c r="A1157" s="1" t="s">
        <v>2560</v>
      </c>
      <c r="B1157" s="1">
        <v>98.0</v>
      </c>
      <c r="C1157" s="1">
        <v>5.4967359E7</v>
      </c>
      <c r="D1157" s="1" t="s">
        <v>2295</v>
      </c>
      <c r="E1157" s="1" t="s">
        <v>2561</v>
      </c>
      <c r="F1157" s="1" t="s">
        <v>2562</v>
      </c>
      <c r="G1157" s="1">
        <v>52805.0</v>
      </c>
      <c r="H1157" s="1">
        <v>209.0</v>
      </c>
      <c r="I1157" s="1" t="s">
        <v>16</v>
      </c>
      <c r="J1157" s="1">
        <v>4.0E7</v>
      </c>
      <c r="K1157" s="1">
        <v>1997.0</v>
      </c>
      <c r="L1157" s="1">
        <v>5.2</v>
      </c>
      <c r="O1157" s="3"/>
      <c r="S1157" s="4"/>
    </row>
    <row r="1158" ht="14.25" customHeight="1">
      <c r="A1158" s="1" t="s">
        <v>228</v>
      </c>
      <c r="B1158" s="1">
        <v>131.0</v>
      </c>
      <c r="C1158" s="1">
        <v>5.4228104E7</v>
      </c>
      <c r="D1158" s="1" t="s">
        <v>2563</v>
      </c>
      <c r="E1158" s="1" t="s">
        <v>49</v>
      </c>
      <c r="F1158" s="1" t="s">
        <v>2564</v>
      </c>
      <c r="G1158" s="1">
        <v>104991.0</v>
      </c>
      <c r="H1158" s="1">
        <v>544.0</v>
      </c>
      <c r="I1158" s="1" t="s">
        <v>16</v>
      </c>
      <c r="J1158" s="1">
        <v>3.5E7</v>
      </c>
      <c r="K1158" s="1">
        <v>2002.0</v>
      </c>
      <c r="L1158" s="1">
        <v>7.7</v>
      </c>
      <c r="O1158" s="3"/>
      <c r="S1158" s="4"/>
    </row>
    <row r="1159" ht="14.25" customHeight="1">
      <c r="A1159" s="1" t="s">
        <v>2264</v>
      </c>
      <c r="B1159" s="1">
        <v>118.0</v>
      </c>
      <c r="C1159" s="1">
        <v>5.7981889E7</v>
      </c>
      <c r="D1159" s="1" t="s">
        <v>901</v>
      </c>
      <c r="E1159" s="1" t="s">
        <v>285</v>
      </c>
      <c r="F1159" s="1" t="s">
        <v>2565</v>
      </c>
      <c r="G1159" s="1">
        <v>173848.0</v>
      </c>
      <c r="H1159" s="1">
        <v>203.0</v>
      </c>
      <c r="I1159" s="1" t="s">
        <v>16</v>
      </c>
      <c r="J1159" s="1">
        <v>4.0E7</v>
      </c>
      <c r="K1159" s="1">
        <v>2011.0</v>
      </c>
      <c r="L1159" s="1">
        <v>7.3</v>
      </c>
      <c r="O1159" s="3"/>
      <c r="S1159" s="4"/>
    </row>
    <row r="1160" ht="14.25" customHeight="1">
      <c r="A1160" s="1" t="s">
        <v>2066</v>
      </c>
      <c r="B1160" s="1">
        <v>113.0</v>
      </c>
      <c r="C1160" s="1">
        <v>6.1094903E7</v>
      </c>
      <c r="D1160" s="1" t="s">
        <v>485</v>
      </c>
      <c r="E1160" s="1" t="s">
        <v>100</v>
      </c>
      <c r="F1160" s="1" t="s">
        <v>2566</v>
      </c>
      <c r="G1160" s="1">
        <v>210542.0</v>
      </c>
      <c r="H1160" s="1">
        <v>332.0</v>
      </c>
      <c r="I1160" s="1" t="s">
        <v>16</v>
      </c>
      <c r="J1160" s="1">
        <v>3.0E7</v>
      </c>
      <c r="K1160" s="1">
        <v>2011.0</v>
      </c>
      <c r="L1160" s="1">
        <v>6.9</v>
      </c>
      <c r="O1160" s="3"/>
      <c r="S1160" s="4"/>
    </row>
    <row r="1161" ht="14.25" customHeight="1">
      <c r="A1161" s="1" t="s">
        <v>25</v>
      </c>
      <c r="B1161" s="1">
        <v>130.0</v>
      </c>
      <c r="C1161" s="1">
        <v>5.3082743E7</v>
      </c>
      <c r="D1161" s="1" t="s">
        <v>932</v>
      </c>
      <c r="E1161" s="1" t="s">
        <v>143</v>
      </c>
      <c r="F1161" s="1" t="s">
        <v>2567</v>
      </c>
      <c r="G1161" s="1">
        <v>844052.0</v>
      </c>
      <c r="H1161" s="1">
        <v>1100.0</v>
      </c>
      <c r="I1161" s="1" t="s">
        <v>16</v>
      </c>
      <c r="J1161" s="1">
        <v>4.0E7</v>
      </c>
      <c r="K1161" s="1">
        <v>2006.0</v>
      </c>
      <c r="L1161" s="1">
        <v>8.5</v>
      </c>
      <c r="O1161" s="3"/>
      <c r="S1161" s="4"/>
    </row>
    <row r="1162" ht="14.25" customHeight="1">
      <c r="A1162" s="1" t="s">
        <v>1834</v>
      </c>
      <c r="B1162" s="1">
        <v>116.0</v>
      </c>
      <c r="C1162" s="1">
        <v>5.4414716E7</v>
      </c>
      <c r="D1162" s="1" t="s">
        <v>427</v>
      </c>
      <c r="E1162" s="1" t="s">
        <v>52</v>
      </c>
      <c r="F1162" s="1" t="s">
        <v>2568</v>
      </c>
      <c r="G1162" s="1">
        <v>114294.0</v>
      </c>
      <c r="H1162" s="1">
        <v>187.0</v>
      </c>
      <c r="I1162" s="1" t="s">
        <v>16</v>
      </c>
      <c r="J1162" s="1">
        <v>4.2E7</v>
      </c>
      <c r="K1162" s="1">
        <v>2014.0</v>
      </c>
      <c r="L1162" s="1">
        <v>6.3</v>
      </c>
      <c r="O1162" s="3"/>
      <c r="S1162" s="4"/>
    </row>
    <row r="1163" ht="14.25" customHeight="1">
      <c r="A1163" s="1" t="s">
        <v>2569</v>
      </c>
      <c r="B1163" s="1">
        <v>89.0</v>
      </c>
      <c r="C1163" s="1">
        <v>5.7011847E7</v>
      </c>
      <c r="D1163" s="1" t="s">
        <v>267</v>
      </c>
      <c r="E1163" s="1" t="s">
        <v>1168</v>
      </c>
      <c r="F1163" s="1" t="s">
        <v>2570</v>
      </c>
      <c r="G1163" s="1">
        <v>20615.0</v>
      </c>
      <c r="H1163" s="1">
        <v>44.0</v>
      </c>
      <c r="I1163" s="1" t="s">
        <v>16</v>
      </c>
      <c r="J1163" s="1">
        <v>4.0E7</v>
      </c>
      <c r="K1163" s="1">
        <v>2013.0</v>
      </c>
      <c r="L1163" s="1">
        <v>5.9</v>
      </c>
      <c r="O1163" s="3"/>
      <c r="S1163" s="4"/>
    </row>
    <row r="1164" ht="14.25" customHeight="1">
      <c r="A1164" s="1" t="s">
        <v>1322</v>
      </c>
      <c r="B1164" s="1">
        <v>139.0</v>
      </c>
      <c r="C1164" s="1">
        <v>5.0859889E7</v>
      </c>
      <c r="D1164" s="1" t="s">
        <v>304</v>
      </c>
      <c r="E1164" s="1" t="s">
        <v>2571</v>
      </c>
      <c r="F1164" s="1" t="s">
        <v>2572</v>
      </c>
      <c r="G1164" s="1">
        <v>236000.0</v>
      </c>
      <c r="H1164" s="1">
        <v>1043.0</v>
      </c>
      <c r="I1164" s="1" t="s">
        <v>2573</v>
      </c>
      <c r="J1164" s="1">
        <v>4.0E7</v>
      </c>
      <c r="K1164" s="1">
        <v>2006.0</v>
      </c>
      <c r="L1164" s="1">
        <v>7.8</v>
      </c>
      <c r="O1164" s="3"/>
      <c r="S1164" s="4"/>
    </row>
    <row r="1165" ht="14.25" customHeight="1">
      <c r="A1165" s="1" t="s">
        <v>2444</v>
      </c>
      <c r="B1165" s="1">
        <v>130.0</v>
      </c>
      <c r="C1165" s="1">
        <v>5.1185897E7</v>
      </c>
      <c r="D1165" s="1" t="s">
        <v>22</v>
      </c>
      <c r="E1165" s="1" t="s">
        <v>2574</v>
      </c>
      <c r="F1165" s="1" t="s">
        <v>2575</v>
      </c>
      <c r="G1165" s="1">
        <v>69457.0</v>
      </c>
      <c r="H1165" s="1">
        <v>271.0</v>
      </c>
      <c r="I1165" s="1" t="s">
        <v>16</v>
      </c>
      <c r="J1165" s="1">
        <v>3.0E7</v>
      </c>
      <c r="K1165" s="1">
        <v>1987.0</v>
      </c>
      <c r="L1165" s="1">
        <v>6.7</v>
      </c>
      <c r="O1165" s="3"/>
      <c r="S1165" s="4"/>
    </row>
    <row r="1166" ht="14.25" customHeight="1">
      <c r="A1166" s="1" t="s">
        <v>2576</v>
      </c>
      <c r="B1166" s="1">
        <v>107.0</v>
      </c>
      <c r="C1166" s="1">
        <v>5.2000688E7</v>
      </c>
      <c r="D1166" s="1" t="s">
        <v>99</v>
      </c>
      <c r="E1166" s="1" t="s">
        <v>2577</v>
      </c>
      <c r="F1166" s="1" t="s">
        <v>2578</v>
      </c>
      <c r="G1166" s="1">
        <v>171418.0</v>
      </c>
      <c r="H1166" s="1">
        <v>619.0</v>
      </c>
      <c r="I1166" s="1" t="s">
        <v>16</v>
      </c>
      <c r="J1166" s="1">
        <v>4.0E7</v>
      </c>
      <c r="K1166" s="1">
        <v>2010.0</v>
      </c>
      <c r="L1166" s="1">
        <v>6.4</v>
      </c>
      <c r="O1166" s="3"/>
      <c r="S1166" s="4"/>
    </row>
    <row r="1167" ht="14.25" customHeight="1">
      <c r="A1167" s="1" t="s">
        <v>1117</v>
      </c>
      <c r="B1167" s="1">
        <v>116.0</v>
      </c>
      <c r="C1167" s="1">
        <v>4.9851591E7</v>
      </c>
      <c r="D1167" s="1" t="s">
        <v>1737</v>
      </c>
      <c r="E1167" s="1" t="s">
        <v>2579</v>
      </c>
      <c r="F1167" s="1" t="s">
        <v>2580</v>
      </c>
      <c r="G1167" s="1">
        <v>7900.0</v>
      </c>
      <c r="H1167" s="1">
        <v>34.0</v>
      </c>
      <c r="I1167" s="1" t="s">
        <v>16</v>
      </c>
      <c r="J1167" s="1">
        <v>4.0E7</v>
      </c>
      <c r="K1167" s="1">
        <v>1986.0</v>
      </c>
      <c r="L1167" s="1">
        <v>5.9</v>
      </c>
      <c r="O1167" s="3"/>
      <c r="S1167" s="4"/>
    </row>
    <row r="1168" ht="14.25" customHeight="1">
      <c r="A1168" s="1" t="s">
        <v>1797</v>
      </c>
      <c r="B1168" s="1">
        <v>96.0</v>
      </c>
      <c r="C1168" s="1">
        <v>4.7781388E7</v>
      </c>
      <c r="D1168" s="1" t="s">
        <v>362</v>
      </c>
      <c r="E1168" s="1" t="s">
        <v>19</v>
      </c>
      <c r="F1168" s="1" t="s">
        <v>2581</v>
      </c>
      <c r="G1168" s="1">
        <v>147504.0</v>
      </c>
      <c r="H1168" s="1">
        <v>531.0</v>
      </c>
      <c r="I1168" s="1" t="s">
        <v>16</v>
      </c>
      <c r="J1168" s="1">
        <v>4.0E7</v>
      </c>
      <c r="K1168" s="1">
        <v>2004.0</v>
      </c>
      <c r="L1168" s="1">
        <v>6.6</v>
      </c>
      <c r="O1168" s="3"/>
      <c r="S1168" s="4"/>
    </row>
    <row r="1169" ht="14.25" customHeight="1">
      <c r="A1169" s="1" t="s">
        <v>2582</v>
      </c>
      <c r="B1169" s="1">
        <v>99.0</v>
      </c>
      <c r="C1169" s="1">
        <v>5.2320979E7</v>
      </c>
      <c r="D1169" s="1" t="s">
        <v>292</v>
      </c>
      <c r="E1169" s="1" t="s">
        <v>252</v>
      </c>
      <c r="F1169" s="1" t="s">
        <v>2583</v>
      </c>
      <c r="G1169" s="1">
        <v>114321.0</v>
      </c>
      <c r="H1169" s="1">
        <v>548.0</v>
      </c>
      <c r="I1169" s="1" t="s">
        <v>16</v>
      </c>
      <c r="J1169" s="1">
        <v>4.0E7</v>
      </c>
      <c r="K1169" s="1">
        <v>2006.0</v>
      </c>
      <c r="L1169" s="1">
        <v>6.8</v>
      </c>
      <c r="O1169" s="3"/>
      <c r="S1169" s="4"/>
    </row>
    <row r="1170" ht="14.25" customHeight="1">
      <c r="A1170" s="1" t="s">
        <v>1794</v>
      </c>
      <c r="B1170" s="1">
        <v>104.0</v>
      </c>
      <c r="C1170" s="1">
        <v>4.7806295E7</v>
      </c>
      <c r="D1170" s="1" t="s">
        <v>1239</v>
      </c>
      <c r="E1170" s="1" t="s">
        <v>2584</v>
      </c>
      <c r="F1170" s="1" t="s">
        <v>2585</v>
      </c>
      <c r="G1170" s="1">
        <v>87447.0</v>
      </c>
      <c r="H1170" s="1">
        <v>371.0</v>
      </c>
      <c r="I1170" s="1" t="s">
        <v>16</v>
      </c>
      <c r="J1170" s="1">
        <v>4.3E7</v>
      </c>
      <c r="K1170" s="1">
        <v>2005.0</v>
      </c>
      <c r="L1170" s="1">
        <v>6.5</v>
      </c>
      <c r="O1170" s="3"/>
      <c r="S1170" s="4"/>
    </row>
    <row r="1171" ht="14.25" customHeight="1">
      <c r="A1171" s="1" t="s">
        <v>2586</v>
      </c>
      <c r="B1171" s="1">
        <v>105.0</v>
      </c>
      <c r="C1171" s="1">
        <v>5.185345E7</v>
      </c>
      <c r="D1171" s="1" t="s">
        <v>1940</v>
      </c>
      <c r="E1171" s="1" t="s">
        <v>320</v>
      </c>
      <c r="F1171" s="1" t="s">
        <v>2587</v>
      </c>
      <c r="G1171" s="1">
        <v>37398.0</v>
      </c>
      <c r="H1171" s="1">
        <v>110.0</v>
      </c>
      <c r="I1171" s="1" t="s">
        <v>16</v>
      </c>
      <c r="J1171" s="1">
        <v>2.5E7</v>
      </c>
      <c r="K1171" s="1">
        <v>2012.0</v>
      </c>
      <c r="L1171" s="1">
        <v>6.6</v>
      </c>
      <c r="O1171" s="3"/>
      <c r="S1171" s="4"/>
    </row>
    <row r="1172" ht="14.25" customHeight="1">
      <c r="A1172" s="1" t="s">
        <v>2588</v>
      </c>
      <c r="B1172" s="1">
        <v>101.0</v>
      </c>
      <c r="C1172" s="1">
        <v>4.6012734E7</v>
      </c>
      <c r="D1172" s="1" t="s">
        <v>699</v>
      </c>
      <c r="E1172" s="1" t="s">
        <v>2589</v>
      </c>
      <c r="F1172" s="1" t="s">
        <v>2590</v>
      </c>
      <c r="G1172" s="1">
        <v>54421.0</v>
      </c>
      <c r="H1172" s="1">
        <v>101.0</v>
      </c>
      <c r="I1172" s="1" t="s">
        <v>16</v>
      </c>
      <c r="J1172" s="1">
        <v>4.0E7</v>
      </c>
      <c r="K1172" s="1">
        <v>2008.0</v>
      </c>
      <c r="L1172" s="1">
        <v>5.8</v>
      </c>
      <c r="O1172" s="3"/>
      <c r="S1172" s="4"/>
    </row>
    <row r="1173" ht="14.25" customHeight="1">
      <c r="A1173" s="1" t="s">
        <v>1506</v>
      </c>
      <c r="B1173" s="1">
        <v>134.0</v>
      </c>
      <c r="C1173" s="1">
        <v>4.7034272E7</v>
      </c>
      <c r="D1173" s="1" t="s">
        <v>2591</v>
      </c>
      <c r="E1173" s="1" t="s">
        <v>2592</v>
      </c>
      <c r="F1173" s="1" t="s">
        <v>2593</v>
      </c>
      <c r="G1173" s="1">
        <v>25465.0</v>
      </c>
      <c r="H1173" s="1">
        <v>190.0</v>
      </c>
      <c r="I1173" s="1" t="s">
        <v>16</v>
      </c>
      <c r="J1173" s="1">
        <v>4.0E7</v>
      </c>
      <c r="K1173" s="1">
        <v>2014.0</v>
      </c>
      <c r="L1173" s="1">
        <v>6.9</v>
      </c>
      <c r="O1173" s="3"/>
      <c r="S1173" s="4"/>
    </row>
    <row r="1174" ht="14.25" customHeight="1">
      <c r="A1174" s="1" t="s">
        <v>1957</v>
      </c>
      <c r="B1174" s="1">
        <v>135.0</v>
      </c>
      <c r="C1174" s="1">
        <v>4.5856732E7</v>
      </c>
      <c r="D1174" s="1" t="s">
        <v>901</v>
      </c>
      <c r="E1174" s="1" t="s">
        <v>486</v>
      </c>
      <c r="F1174" s="1" t="s">
        <v>2594</v>
      </c>
      <c r="G1174" s="1">
        <v>46221.0</v>
      </c>
      <c r="H1174" s="1">
        <v>141.0</v>
      </c>
      <c r="I1174" s="1" t="s">
        <v>16</v>
      </c>
      <c r="J1174" s="1">
        <v>4.0E7</v>
      </c>
      <c r="K1174" s="1">
        <v>1997.0</v>
      </c>
      <c r="L1174" s="1">
        <v>7.1</v>
      </c>
      <c r="O1174" s="3"/>
      <c r="S1174" s="4"/>
    </row>
    <row r="1175" ht="14.25" customHeight="1">
      <c r="A1175" s="1" t="s">
        <v>2348</v>
      </c>
      <c r="B1175" s="1">
        <v>98.0</v>
      </c>
      <c r="C1175" s="1">
        <v>5.9588068E7</v>
      </c>
      <c r="D1175" s="1" t="s">
        <v>1239</v>
      </c>
      <c r="E1175" s="1" t="s">
        <v>96</v>
      </c>
      <c r="F1175" s="1" t="s">
        <v>2595</v>
      </c>
      <c r="G1175" s="1">
        <v>89557.0</v>
      </c>
      <c r="H1175" s="1">
        <v>376.0</v>
      </c>
      <c r="I1175" s="1" t="s">
        <v>16</v>
      </c>
      <c r="J1175" s="1">
        <v>4.0E7</v>
      </c>
      <c r="K1175" s="1">
        <v>2003.0</v>
      </c>
      <c r="L1175" s="1">
        <v>5.8</v>
      </c>
      <c r="O1175" s="3"/>
      <c r="S1175" s="4"/>
    </row>
    <row r="1176" ht="14.25" customHeight="1">
      <c r="A1176" s="1" t="s">
        <v>168</v>
      </c>
      <c r="B1176" s="1">
        <v>155.0</v>
      </c>
      <c r="C1176" s="1">
        <v>4.4175394E7</v>
      </c>
      <c r="D1176" s="1" t="s">
        <v>2596</v>
      </c>
      <c r="E1176" s="1" t="s">
        <v>326</v>
      </c>
      <c r="F1176" s="1" t="s">
        <v>2597</v>
      </c>
      <c r="G1176" s="1">
        <v>56509.0</v>
      </c>
      <c r="H1176" s="1">
        <v>227.0</v>
      </c>
      <c r="I1176" s="1" t="s">
        <v>16</v>
      </c>
      <c r="J1176" s="1">
        <v>3.6E7</v>
      </c>
      <c r="K1176" s="1">
        <v>1997.0</v>
      </c>
      <c r="L1176" s="1">
        <v>7.2</v>
      </c>
      <c r="O1176" s="3"/>
      <c r="S1176" s="4"/>
    </row>
    <row r="1177" ht="14.25" customHeight="1">
      <c r="A1177" s="1" t="s">
        <v>545</v>
      </c>
      <c r="B1177" s="1">
        <v>106.0</v>
      </c>
      <c r="C1177" s="1">
        <v>4.5500797E7</v>
      </c>
      <c r="D1177" s="1" t="s">
        <v>976</v>
      </c>
      <c r="E1177" s="1" t="s">
        <v>2598</v>
      </c>
      <c r="F1177" s="1" t="s">
        <v>2599</v>
      </c>
      <c r="G1177" s="1">
        <v>17443.0</v>
      </c>
      <c r="H1177" s="1">
        <v>56.0</v>
      </c>
      <c r="I1177" s="1" t="s">
        <v>16</v>
      </c>
      <c r="J1177" s="1">
        <v>4.0E7</v>
      </c>
      <c r="K1177" s="1">
        <v>1992.0</v>
      </c>
      <c r="L1177" s="1">
        <v>6.0</v>
      </c>
      <c r="O1177" s="3"/>
      <c r="S1177" s="4"/>
    </row>
    <row r="1178" ht="14.25" customHeight="1">
      <c r="A1178" s="1" t="s">
        <v>2600</v>
      </c>
      <c r="B1178" s="1">
        <v>102.0</v>
      </c>
      <c r="C1178" s="1">
        <v>4.1797066E7</v>
      </c>
      <c r="D1178" s="1" t="s">
        <v>934</v>
      </c>
      <c r="E1178" s="1" t="s">
        <v>2601</v>
      </c>
      <c r="F1178" s="1" t="s">
        <v>2602</v>
      </c>
      <c r="G1178" s="1">
        <v>92789.0</v>
      </c>
      <c r="H1178" s="1">
        <v>998.0</v>
      </c>
      <c r="I1178" s="1" t="s">
        <v>16</v>
      </c>
      <c r="J1178" s="1">
        <v>4.0E7</v>
      </c>
      <c r="K1178" s="1">
        <v>2007.0</v>
      </c>
      <c r="L1178" s="1">
        <v>4.7</v>
      </c>
      <c r="O1178" s="3"/>
      <c r="S1178" s="4"/>
    </row>
    <row r="1179" ht="14.25" customHeight="1">
      <c r="A1179" s="1" t="s">
        <v>1727</v>
      </c>
      <c r="B1179" s="1">
        <v>95.0</v>
      </c>
      <c r="C1179" s="1">
        <v>3.8087756E7</v>
      </c>
      <c r="D1179" s="1" t="s">
        <v>1247</v>
      </c>
      <c r="E1179" s="1" t="s">
        <v>2603</v>
      </c>
      <c r="F1179" s="1" t="s">
        <v>2604</v>
      </c>
      <c r="G1179" s="1">
        <v>49612.0</v>
      </c>
      <c r="H1179" s="1">
        <v>39.0</v>
      </c>
      <c r="I1179" s="1" t="s">
        <v>16</v>
      </c>
      <c r="J1179" s="1">
        <v>4.0E7</v>
      </c>
      <c r="K1179" s="1">
        <v>1994.0</v>
      </c>
      <c r="L1179" s="1">
        <v>5.2</v>
      </c>
      <c r="O1179" s="3"/>
      <c r="S1179" s="4"/>
    </row>
    <row r="1180" ht="14.25" customHeight="1">
      <c r="A1180" s="1" t="s">
        <v>2605</v>
      </c>
      <c r="B1180" s="1">
        <v>103.0</v>
      </c>
      <c r="C1180" s="1">
        <v>3.7752931E7</v>
      </c>
      <c r="D1180" s="1" t="s">
        <v>92</v>
      </c>
      <c r="E1180" s="1" t="s">
        <v>35</v>
      </c>
      <c r="F1180" s="1" t="s">
        <v>2606</v>
      </c>
      <c r="G1180" s="1">
        <v>20201.0</v>
      </c>
      <c r="H1180" s="1">
        <v>180.0</v>
      </c>
      <c r="I1180" s="1" t="s">
        <v>16</v>
      </c>
      <c r="J1180" s="1">
        <v>4.0E7</v>
      </c>
      <c r="K1180" s="1">
        <v>2000.0</v>
      </c>
      <c r="L1180" s="1">
        <v>5.5</v>
      </c>
      <c r="O1180" s="3"/>
      <c r="S1180" s="4"/>
    </row>
    <row r="1181" ht="14.25" customHeight="1">
      <c r="A1181" s="1" t="s">
        <v>2607</v>
      </c>
      <c r="B1181" s="1">
        <v>109.0</v>
      </c>
      <c r="C1181" s="1">
        <v>3.7371385E7</v>
      </c>
      <c r="D1181" s="1" t="s">
        <v>782</v>
      </c>
      <c r="E1181" s="1" t="s">
        <v>2608</v>
      </c>
      <c r="F1181" s="1" t="s">
        <v>2609</v>
      </c>
      <c r="G1181" s="1">
        <v>192462.0</v>
      </c>
      <c r="H1181" s="1">
        <v>334.0</v>
      </c>
      <c r="I1181" s="1" t="s">
        <v>16</v>
      </c>
      <c r="J1181" s="1">
        <v>4.0E7</v>
      </c>
      <c r="K1181" s="1">
        <v>2011.0</v>
      </c>
      <c r="L1181" s="1">
        <v>7.0</v>
      </c>
      <c r="O1181" s="3"/>
      <c r="S1181" s="4"/>
    </row>
    <row r="1182" ht="14.25" customHeight="1">
      <c r="A1182" s="1" t="s">
        <v>2484</v>
      </c>
      <c r="B1182" s="1">
        <v>95.0</v>
      </c>
      <c r="C1182" s="1">
        <v>3.7101011E7</v>
      </c>
      <c r="D1182" s="1" t="s">
        <v>1059</v>
      </c>
      <c r="E1182" s="1" t="s">
        <v>2610</v>
      </c>
      <c r="F1182" s="1" t="s">
        <v>2611</v>
      </c>
      <c r="G1182" s="1">
        <v>30394.0</v>
      </c>
      <c r="H1182" s="1">
        <v>103.0</v>
      </c>
      <c r="I1182" s="1" t="s">
        <v>16</v>
      </c>
      <c r="J1182" s="1">
        <v>4.0E7</v>
      </c>
      <c r="K1182" s="1">
        <v>2012.0</v>
      </c>
      <c r="L1182" s="1">
        <v>5.8</v>
      </c>
      <c r="O1182" s="3"/>
      <c r="S1182" s="4"/>
    </row>
    <row r="1183" ht="14.25" customHeight="1">
      <c r="A1183" s="1" t="s">
        <v>2511</v>
      </c>
      <c r="B1183" s="1">
        <v>111.0</v>
      </c>
      <c r="C1183" s="1">
        <v>3.8176892E7</v>
      </c>
      <c r="D1183" s="1" t="s">
        <v>2512</v>
      </c>
      <c r="E1183" s="1" t="s">
        <v>2612</v>
      </c>
      <c r="F1183" s="1" t="s">
        <v>2613</v>
      </c>
      <c r="G1183" s="1">
        <v>104119.0</v>
      </c>
      <c r="H1183" s="1">
        <v>518.0</v>
      </c>
      <c r="I1183" s="1" t="s">
        <v>16</v>
      </c>
      <c r="J1183" s="1">
        <v>4.0E7</v>
      </c>
      <c r="K1183" s="1">
        <v>2011.0</v>
      </c>
      <c r="L1183" s="1">
        <v>6.2</v>
      </c>
      <c r="O1183" s="3"/>
      <c r="S1183" s="4"/>
    </row>
    <row r="1184" ht="14.25" customHeight="1">
      <c r="A1184" s="1" t="s">
        <v>552</v>
      </c>
      <c r="B1184" s="1">
        <v>123.0</v>
      </c>
      <c r="C1184" s="1">
        <v>3.6283504E7</v>
      </c>
      <c r="D1184" s="1" t="s">
        <v>362</v>
      </c>
      <c r="E1184" s="1" t="s">
        <v>301</v>
      </c>
      <c r="F1184" s="1" t="s">
        <v>2614</v>
      </c>
      <c r="G1184" s="1">
        <v>104564.0</v>
      </c>
      <c r="H1184" s="1">
        <v>587.0</v>
      </c>
      <c r="I1184" s="1" t="s">
        <v>16</v>
      </c>
      <c r="J1184" s="1">
        <v>4.0E7</v>
      </c>
      <c r="K1184" s="1">
        <v>1999.0</v>
      </c>
      <c r="L1184" s="1">
        <v>6.5</v>
      </c>
      <c r="O1184" s="3"/>
      <c r="S1184" s="4"/>
    </row>
    <row r="1185" ht="14.25" customHeight="1">
      <c r="A1185" s="1" t="s">
        <v>324</v>
      </c>
      <c r="B1185" s="1">
        <v>140.0</v>
      </c>
      <c r="C1185" s="1">
        <v>3.5183792E7</v>
      </c>
      <c r="D1185" s="1" t="s">
        <v>2591</v>
      </c>
      <c r="E1185" s="1" t="s">
        <v>2615</v>
      </c>
      <c r="F1185" s="1" t="s">
        <v>2616</v>
      </c>
      <c r="G1185" s="1">
        <v>68159.0</v>
      </c>
      <c r="H1185" s="1">
        <v>209.0</v>
      </c>
      <c r="I1185" s="1" t="s">
        <v>16</v>
      </c>
      <c r="J1185" s="1">
        <v>3.8E7</v>
      </c>
      <c r="K1185" s="1">
        <v>1991.0</v>
      </c>
      <c r="L1185" s="1">
        <v>7.2</v>
      </c>
      <c r="O1185" s="3"/>
      <c r="S1185" s="4"/>
    </row>
    <row r="1186" ht="14.25" customHeight="1">
      <c r="A1186" s="1" t="s">
        <v>2617</v>
      </c>
      <c r="B1186" s="1">
        <v>94.0</v>
      </c>
      <c r="C1186" s="1">
        <v>3.8543473E7</v>
      </c>
      <c r="D1186" s="1" t="s">
        <v>828</v>
      </c>
      <c r="E1186" s="1" t="s">
        <v>2618</v>
      </c>
      <c r="F1186" s="1" t="s">
        <v>2619</v>
      </c>
      <c r="G1186" s="1">
        <v>84382.0</v>
      </c>
      <c r="H1186" s="1">
        <v>158.0</v>
      </c>
      <c r="I1186" s="1" t="s">
        <v>16</v>
      </c>
      <c r="J1186" s="1">
        <v>4.0E7</v>
      </c>
      <c r="K1186" s="1">
        <v>2014.0</v>
      </c>
      <c r="L1186" s="1">
        <v>5.1</v>
      </c>
      <c r="O1186" s="3"/>
      <c r="S1186" s="4"/>
    </row>
    <row r="1187" ht="14.25" customHeight="1">
      <c r="A1187" s="1" t="s">
        <v>2620</v>
      </c>
      <c r="B1187" s="1">
        <v>94.0</v>
      </c>
      <c r="C1187" s="1">
        <v>3.6037909E7</v>
      </c>
      <c r="D1187" s="1" t="s">
        <v>1059</v>
      </c>
      <c r="E1187" s="1" t="s">
        <v>2621</v>
      </c>
      <c r="F1187" s="1" t="s">
        <v>2622</v>
      </c>
      <c r="G1187" s="1">
        <v>10132.0</v>
      </c>
      <c r="H1187" s="1">
        <v>130.0</v>
      </c>
      <c r="I1187" s="1" t="s">
        <v>16</v>
      </c>
      <c r="J1187" s="1">
        <v>6.0E7</v>
      </c>
      <c r="K1187" s="1">
        <v>2000.0</v>
      </c>
      <c r="L1187" s="1">
        <v>4.7</v>
      </c>
      <c r="O1187" s="3"/>
      <c r="S1187" s="4"/>
    </row>
    <row r="1188" ht="14.25" customHeight="1">
      <c r="A1188" s="1" t="s">
        <v>2111</v>
      </c>
      <c r="B1188" s="1">
        <v>92.0</v>
      </c>
      <c r="C1188" s="1">
        <v>4.2575718E7</v>
      </c>
      <c r="D1188" s="1" t="s">
        <v>2551</v>
      </c>
      <c r="E1188" s="1" t="s">
        <v>2623</v>
      </c>
      <c r="F1188" s="1" t="s">
        <v>2624</v>
      </c>
      <c r="G1188" s="1">
        <v>83788.0</v>
      </c>
      <c r="H1188" s="1">
        <v>227.0</v>
      </c>
      <c r="I1188" s="1" t="s">
        <v>16</v>
      </c>
      <c r="J1188" s="1">
        <v>4.0E7</v>
      </c>
      <c r="K1188" s="1">
        <v>2011.0</v>
      </c>
      <c r="L1188" s="1">
        <v>5.9</v>
      </c>
      <c r="O1188" s="3"/>
      <c r="S1188" s="4"/>
    </row>
    <row r="1189" ht="14.25" customHeight="1">
      <c r="A1189" s="1" t="s">
        <v>2625</v>
      </c>
      <c r="B1189" s="1">
        <v>102.0</v>
      </c>
      <c r="C1189" s="1">
        <v>3.3864342E7</v>
      </c>
      <c r="D1189" s="1" t="s">
        <v>1737</v>
      </c>
      <c r="E1189" s="1" t="s">
        <v>229</v>
      </c>
      <c r="F1189" s="1" t="s">
        <v>2626</v>
      </c>
      <c r="G1189" s="1">
        <v>29968.0</v>
      </c>
      <c r="H1189" s="1">
        <v>117.0</v>
      </c>
      <c r="I1189" s="1" t="s">
        <v>16</v>
      </c>
      <c r="J1189" s="1">
        <v>4.0E7</v>
      </c>
      <c r="K1189" s="1">
        <v>1999.0</v>
      </c>
      <c r="L1189" s="1">
        <v>5.8</v>
      </c>
      <c r="O1189" s="3"/>
      <c r="S1189" s="4"/>
    </row>
    <row r="1190" ht="14.25" customHeight="1">
      <c r="A1190" s="1" t="s">
        <v>1072</v>
      </c>
      <c r="B1190" s="1">
        <v>123.0</v>
      </c>
      <c r="C1190" s="1">
        <v>3.3508922E7</v>
      </c>
      <c r="D1190" s="1" t="s">
        <v>1391</v>
      </c>
      <c r="E1190" s="1" t="s">
        <v>52</v>
      </c>
      <c r="F1190" s="1" t="s">
        <v>2627</v>
      </c>
      <c r="G1190" s="1">
        <v>95860.0</v>
      </c>
      <c r="H1190" s="1">
        <v>660.0</v>
      </c>
      <c r="I1190" s="1" t="s">
        <v>16</v>
      </c>
      <c r="J1190" s="1">
        <v>4.0E7</v>
      </c>
      <c r="K1190" s="1">
        <v>2000.0</v>
      </c>
      <c r="L1190" s="1">
        <v>7.2</v>
      </c>
      <c r="O1190" s="3"/>
      <c r="S1190" s="4"/>
    </row>
    <row r="1191" ht="14.25" customHeight="1">
      <c r="A1191" s="1" t="s">
        <v>1428</v>
      </c>
      <c r="B1191" s="1">
        <v>104.0</v>
      </c>
      <c r="C1191" s="1">
        <v>4.2071069E7</v>
      </c>
      <c r="D1191" s="1" t="s">
        <v>1825</v>
      </c>
      <c r="E1191" s="1" t="s">
        <v>2628</v>
      </c>
      <c r="F1191" s="1" t="s">
        <v>2629</v>
      </c>
      <c r="G1191" s="1">
        <v>36223.0</v>
      </c>
      <c r="H1191" s="1">
        <v>208.0</v>
      </c>
      <c r="I1191" s="1" t="s">
        <v>16</v>
      </c>
      <c r="J1191" s="1">
        <v>3.0E7</v>
      </c>
      <c r="K1191" s="1">
        <v>2005.0</v>
      </c>
      <c r="L1191" s="1">
        <v>6.2</v>
      </c>
      <c r="O1191" s="3"/>
      <c r="S1191" s="4"/>
    </row>
    <row r="1192" ht="14.25" customHeight="1">
      <c r="A1192" s="1" t="s">
        <v>1147</v>
      </c>
      <c r="B1192" s="1">
        <v>102.0</v>
      </c>
      <c r="C1192" s="1">
        <v>3.285364E7</v>
      </c>
      <c r="D1192" s="1" t="s">
        <v>1059</v>
      </c>
      <c r="E1192" s="1" t="s">
        <v>2557</v>
      </c>
      <c r="F1192" s="1" t="s">
        <v>2630</v>
      </c>
      <c r="G1192" s="1">
        <v>50199.0</v>
      </c>
      <c r="H1192" s="1">
        <v>101.0</v>
      </c>
      <c r="I1192" s="1" t="s">
        <v>16</v>
      </c>
      <c r="J1192" s="1">
        <v>4.0E7</v>
      </c>
      <c r="K1192" s="1">
        <v>2008.0</v>
      </c>
      <c r="L1192" s="1">
        <v>5.7</v>
      </c>
      <c r="O1192" s="3"/>
      <c r="S1192" s="4"/>
    </row>
    <row r="1193" ht="14.25" customHeight="1">
      <c r="A1193" s="1" t="s">
        <v>1053</v>
      </c>
      <c r="B1193" s="1">
        <v>136.0</v>
      </c>
      <c r="C1193" s="1">
        <v>4.2615685E7</v>
      </c>
      <c r="D1193" s="1" t="s">
        <v>2631</v>
      </c>
      <c r="E1193" s="1" t="s">
        <v>100</v>
      </c>
      <c r="F1193" s="1" t="s">
        <v>2632</v>
      </c>
      <c r="G1193" s="1">
        <v>136093.0</v>
      </c>
      <c r="H1193" s="1">
        <v>416.0</v>
      </c>
      <c r="I1193" s="1" t="s">
        <v>16</v>
      </c>
      <c r="J1193" s="1">
        <v>4.0E7</v>
      </c>
      <c r="K1193" s="1">
        <v>2014.0</v>
      </c>
      <c r="L1193" s="1">
        <v>6.1</v>
      </c>
      <c r="O1193" s="3"/>
      <c r="S1193" s="4"/>
    </row>
    <row r="1194" ht="14.25" customHeight="1">
      <c r="A1194" s="1" t="s">
        <v>2322</v>
      </c>
      <c r="B1194" s="1">
        <v>93.0</v>
      </c>
      <c r="C1194" s="1">
        <v>3.2055248E7</v>
      </c>
      <c r="D1194" s="1" t="s">
        <v>2633</v>
      </c>
      <c r="E1194" s="1" t="s">
        <v>2268</v>
      </c>
      <c r="F1194" s="1" t="s">
        <v>2634</v>
      </c>
      <c r="G1194" s="1">
        <v>18723.0</v>
      </c>
      <c r="H1194" s="1">
        <v>146.0</v>
      </c>
      <c r="I1194" s="1" t="s">
        <v>16</v>
      </c>
      <c r="J1194" s="1">
        <v>2.5E7</v>
      </c>
      <c r="K1194" s="1">
        <v>1994.0</v>
      </c>
      <c r="L1194" s="1">
        <v>6.0</v>
      </c>
      <c r="O1194" s="3"/>
      <c r="S1194" s="4"/>
    </row>
    <row r="1195" ht="14.25" customHeight="1">
      <c r="A1195" s="1" t="s">
        <v>2635</v>
      </c>
      <c r="B1195" s="1">
        <v>129.0</v>
      </c>
      <c r="C1195" s="1">
        <v>3.1836745E7</v>
      </c>
      <c r="D1195" s="1" t="s">
        <v>2636</v>
      </c>
      <c r="E1195" s="1" t="s">
        <v>140</v>
      </c>
      <c r="F1195" s="1" t="s">
        <v>2637</v>
      </c>
      <c r="G1195" s="1">
        <v>81298.0</v>
      </c>
      <c r="H1195" s="1">
        <v>341.0</v>
      </c>
      <c r="I1195" s="1" t="s">
        <v>16</v>
      </c>
      <c r="J1195" s="1">
        <v>4.0E7</v>
      </c>
      <c r="K1195" s="1">
        <v>2011.0</v>
      </c>
      <c r="L1195" s="1">
        <v>6.9</v>
      </c>
      <c r="O1195" s="3"/>
      <c r="S1195" s="4"/>
    </row>
    <row r="1196" ht="14.25" customHeight="1">
      <c r="A1196" s="1" t="s">
        <v>2299</v>
      </c>
      <c r="B1196" s="1">
        <v>107.0</v>
      </c>
      <c r="C1196" s="1">
        <v>3.0993544E7</v>
      </c>
      <c r="D1196" s="1" t="s">
        <v>593</v>
      </c>
      <c r="E1196" s="1" t="s">
        <v>2638</v>
      </c>
      <c r="F1196" s="1" t="s">
        <v>2639</v>
      </c>
      <c r="G1196" s="1">
        <v>58871.0</v>
      </c>
      <c r="H1196" s="1">
        <v>156.0</v>
      </c>
      <c r="I1196" s="1" t="s">
        <v>16</v>
      </c>
      <c r="J1196" s="1">
        <v>4.0E7</v>
      </c>
      <c r="K1196" s="1">
        <v>2010.0</v>
      </c>
      <c r="L1196" s="1">
        <v>6.5</v>
      </c>
      <c r="O1196" s="3"/>
      <c r="S1196" s="4"/>
    </row>
    <row r="1197" ht="14.25" customHeight="1">
      <c r="A1197" s="1" t="s">
        <v>2179</v>
      </c>
      <c r="B1197" s="1">
        <v>117.0</v>
      </c>
      <c r="C1197" s="1">
        <v>3.098185E7</v>
      </c>
      <c r="D1197" s="1" t="s">
        <v>2640</v>
      </c>
      <c r="E1197" s="1" t="s">
        <v>2641</v>
      </c>
      <c r="F1197" s="1" t="s">
        <v>2642</v>
      </c>
      <c r="G1197" s="1">
        <v>35834.0</v>
      </c>
      <c r="H1197" s="1">
        <v>284.0</v>
      </c>
      <c r="I1197" s="1" t="s">
        <v>16</v>
      </c>
      <c r="J1197" s="1">
        <v>4.0E7</v>
      </c>
      <c r="K1197" s="1">
        <v>2005.0</v>
      </c>
      <c r="L1197" s="1">
        <v>5.0</v>
      </c>
      <c r="O1197" s="3"/>
      <c r="S1197" s="4"/>
    </row>
    <row r="1198" ht="14.25" customHeight="1">
      <c r="A1198" s="1" t="s">
        <v>2643</v>
      </c>
      <c r="B1198" s="1">
        <v>116.0</v>
      </c>
      <c r="C1198" s="1">
        <v>3.0199105E7</v>
      </c>
      <c r="D1198" s="1" t="s">
        <v>1362</v>
      </c>
      <c r="E1198" s="1" t="s">
        <v>1389</v>
      </c>
      <c r="F1198" s="1" t="s">
        <v>2644</v>
      </c>
      <c r="G1198" s="1">
        <v>25346.0</v>
      </c>
      <c r="H1198" s="1">
        <v>167.0</v>
      </c>
      <c r="I1198" s="1" t="s">
        <v>16</v>
      </c>
      <c r="J1198" s="1">
        <v>4.0E7</v>
      </c>
      <c r="K1198" s="1">
        <v>2000.0</v>
      </c>
      <c r="L1198" s="1">
        <v>5.7</v>
      </c>
      <c r="O1198" s="3"/>
      <c r="S1198" s="4"/>
    </row>
    <row r="1199" ht="14.25" customHeight="1">
      <c r="A1199" s="1" t="s">
        <v>524</v>
      </c>
      <c r="B1199" s="1">
        <v>135.0</v>
      </c>
      <c r="C1199" s="1">
        <v>2.9077547E7</v>
      </c>
      <c r="D1199" s="1" t="s">
        <v>1170</v>
      </c>
      <c r="E1199" s="1" t="s">
        <v>798</v>
      </c>
      <c r="F1199" s="1" t="s">
        <v>2645</v>
      </c>
      <c r="G1199" s="1">
        <v>41685.0</v>
      </c>
      <c r="H1199" s="1">
        <v>754.0</v>
      </c>
      <c r="I1199" s="1" t="s">
        <v>16</v>
      </c>
      <c r="J1199" s="1">
        <v>4.0E7</v>
      </c>
      <c r="K1199" s="1">
        <v>2005.0</v>
      </c>
      <c r="L1199" s="1">
        <v>7.0</v>
      </c>
      <c r="O1199" s="3"/>
      <c r="S1199" s="4"/>
    </row>
    <row r="1200" ht="14.25" customHeight="1">
      <c r="A1200" s="1" t="s">
        <v>730</v>
      </c>
      <c r="B1200" s="1">
        <v>107.0</v>
      </c>
      <c r="C1200" s="1">
        <v>2.9374178E7</v>
      </c>
      <c r="D1200" s="1" t="s">
        <v>2646</v>
      </c>
      <c r="E1200" s="1" t="s">
        <v>1467</v>
      </c>
      <c r="F1200" s="1" t="s">
        <v>2647</v>
      </c>
      <c r="G1200" s="1">
        <v>12093.0</v>
      </c>
      <c r="H1200" s="1">
        <v>188.0</v>
      </c>
      <c r="I1200" s="1" t="s">
        <v>16</v>
      </c>
      <c r="J1200" s="1">
        <v>4.0E7</v>
      </c>
      <c r="K1200" s="1">
        <v>2000.0</v>
      </c>
      <c r="L1200" s="1">
        <v>5.1</v>
      </c>
      <c r="O1200" s="3"/>
      <c r="S1200" s="4"/>
    </row>
    <row r="1201" ht="14.25" customHeight="1">
      <c r="A1201" s="1" t="s">
        <v>1861</v>
      </c>
      <c r="B1201" s="1">
        <v>90.0</v>
      </c>
      <c r="C1201" s="1">
        <v>2.8535768E7</v>
      </c>
      <c r="D1201" s="1" t="s">
        <v>828</v>
      </c>
      <c r="E1201" s="1" t="s">
        <v>2648</v>
      </c>
      <c r="F1201" s="1" t="s">
        <v>2649</v>
      </c>
      <c r="G1201" s="1">
        <v>10446.0</v>
      </c>
      <c r="H1201" s="1">
        <v>105.0</v>
      </c>
      <c r="I1201" s="1" t="s">
        <v>16</v>
      </c>
      <c r="J1201" s="1">
        <v>4.0E7</v>
      </c>
      <c r="K1201" s="1">
        <v>1999.0</v>
      </c>
      <c r="L1201" s="1">
        <v>5.3</v>
      </c>
      <c r="O1201" s="3"/>
      <c r="S1201" s="4"/>
    </row>
    <row r="1202" ht="14.25" customHeight="1">
      <c r="A1202" s="1" t="s">
        <v>1904</v>
      </c>
      <c r="B1202" s="1">
        <v>99.0</v>
      </c>
      <c r="C1202" s="1">
        <v>2.7663982E7</v>
      </c>
      <c r="D1202" s="1" t="s">
        <v>1764</v>
      </c>
      <c r="E1202" s="1" t="s">
        <v>1857</v>
      </c>
      <c r="F1202" s="1" t="s">
        <v>2650</v>
      </c>
      <c r="G1202" s="1">
        <v>26051.0</v>
      </c>
      <c r="H1202" s="1">
        <v>164.0</v>
      </c>
      <c r="I1202" s="1" t="s">
        <v>16</v>
      </c>
      <c r="J1202" s="1">
        <v>4.0E7</v>
      </c>
      <c r="K1202" s="1">
        <v>1996.0</v>
      </c>
      <c r="L1202" s="1">
        <v>4.4</v>
      </c>
      <c r="O1202" s="3"/>
      <c r="S1202" s="4"/>
    </row>
    <row r="1203" ht="14.25" customHeight="1">
      <c r="A1203" s="1" t="s">
        <v>758</v>
      </c>
      <c r="B1203" s="1">
        <v>104.0</v>
      </c>
      <c r="C1203" s="1">
        <v>2.7053815E7</v>
      </c>
      <c r="D1203" s="1" t="s">
        <v>34</v>
      </c>
      <c r="E1203" s="1" t="s">
        <v>2651</v>
      </c>
      <c r="F1203" s="1" t="s">
        <v>2652</v>
      </c>
      <c r="G1203" s="1">
        <v>12856.0</v>
      </c>
      <c r="H1203" s="1">
        <v>291.0</v>
      </c>
      <c r="I1203" s="1" t="s">
        <v>16</v>
      </c>
      <c r="J1203" s="1">
        <v>4.0E7</v>
      </c>
      <c r="K1203" s="1">
        <v>2001.0</v>
      </c>
      <c r="L1203" s="1">
        <v>4.7</v>
      </c>
      <c r="O1203" s="3"/>
      <c r="S1203" s="4"/>
    </row>
    <row r="1204" ht="14.25" customHeight="1">
      <c r="A1204" s="1" t="s">
        <v>2653</v>
      </c>
      <c r="B1204" s="1">
        <v>115.0</v>
      </c>
      <c r="C1204" s="1">
        <v>2.6814957E7</v>
      </c>
      <c r="D1204" s="1" t="s">
        <v>2432</v>
      </c>
      <c r="E1204" s="1" t="s">
        <v>603</v>
      </c>
      <c r="F1204" s="1" t="s">
        <v>2654</v>
      </c>
      <c r="G1204" s="1">
        <v>84357.0</v>
      </c>
      <c r="H1204" s="1">
        <v>252.0</v>
      </c>
      <c r="I1204" s="1" t="s">
        <v>16</v>
      </c>
      <c r="J1204" s="1">
        <v>3.5E7</v>
      </c>
      <c r="K1204" s="1">
        <v>2008.0</v>
      </c>
      <c r="L1204" s="1">
        <v>6.7</v>
      </c>
      <c r="O1204" s="3"/>
      <c r="S1204" s="4"/>
    </row>
    <row r="1205" ht="14.25" customHeight="1">
      <c r="A1205" s="1" t="s">
        <v>2655</v>
      </c>
      <c r="B1205" s="1">
        <v>119.0</v>
      </c>
      <c r="C1205" s="1">
        <v>2.5178165E7</v>
      </c>
      <c r="D1205" s="1" t="s">
        <v>92</v>
      </c>
      <c r="E1205" s="1" t="s">
        <v>252</v>
      </c>
      <c r="F1205" s="1" t="s">
        <v>2656</v>
      </c>
      <c r="G1205" s="1">
        <v>70292.0</v>
      </c>
      <c r="H1205" s="1">
        <v>274.0</v>
      </c>
      <c r="I1205" s="1" t="s">
        <v>16</v>
      </c>
      <c r="J1205" s="1">
        <v>4.0E7</v>
      </c>
      <c r="K1205" s="1">
        <v>2001.0</v>
      </c>
      <c r="L1205" s="1">
        <v>6.7</v>
      </c>
      <c r="O1205" s="3"/>
      <c r="S1205" s="4"/>
    </row>
    <row r="1206" ht="14.25" customHeight="1">
      <c r="A1206" s="1" t="s">
        <v>1127</v>
      </c>
      <c r="B1206" s="1">
        <v>99.0</v>
      </c>
      <c r="C1206" s="1">
        <v>2.5117498E7</v>
      </c>
      <c r="D1206" s="1" t="s">
        <v>2657</v>
      </c>
      <c r="E1206" s="1" t="s">
        <v>2658</v>
      </c>
      <c r="F1206" s="1" t="s">
        <v>2659</v>
      </c>
      <c r="G1206" s="1">
        <v>37412.0</v>
      </c>
      <c r="H1206" s="1">
        <v>178.0</v>
      </c>
      <c r="I1206" s="1" t="s">
        <v>16</v>
      </c>
      <c r="J1206" s="1">
        <v>4.0E7</v>
      </c>
      <c r="K1206" s="1">
        <v>2007.0</v>
      </c>
      <c r="L1206" s="1">
        <v>5.7</v>
      </c>
      <c r="O1206" s="3"/>
      <c r="S1206" s="4"/>
    </row>
    <row r="1207" ht="14.25" customHeight="1">
      <c r="A1207" s="1" t="s">
        <v>208</v>
      </c>
      <c r="B1207" s="1">
        <v>112.0</v>
      </c>
      <c r="C1207" s="1">
        <v>32645.0</v>
      </c>
      <c r="D1207" s="1" t="s">
        <v>2126</v>
      </c>
      <c r="E1207" s="1" t="s">
        <v>725</v>
      </c>
      <c r="F1207" s="1" t="s">
        <v>2660</v>
      </c>
      <c r="G1207" s="1">
        <v>67797.0</v>
      </c>
      <c r="H1207" s="1">
        <v>223.0</v>
      </c>
      <c r="I1207" s="1" t="s">
        <v>16</v>
      </c>
      <c r="J1207" s="1">
        <v>500000.0</v>
      </c>
      <c r="K1207" s="1">
        <v>1973.0</v>
      </c>
      <c r="L1207" s="1">
        <v>7.4</v>
      </c>
      <c r="O1207" s="3"/>
      <c r="S1207" s="4"/>
    </row>
    <row r="1208" ht="14.25" customHeight="1">
      <c r="A1208" s="1" t="s">
        <v>2246</v>
      </c>
      <c r="B1208" s="1">
        <v>128.0</v>
      </c>
      <c r="C1208" s="1">
        <v>2.4332324E7</v>
      </c>
      <c r="D1208" s="1" t="s">
        <v>1059</v>
      </c>
      <c r="E1208" s="1" t="s">
        <v>413</v>
      </c>
      <c r="F1208" s="1" t="s">
        <v>2661</v>
      </c>
      <c r="G1208" s="1">
        <v>13830.0</v>
      </c>
      <c r="H1208" s="1">
        <v>61.0</v>
      </c>
      <c r="I1208" s="1" t="s">
        <v>16</v>
      </c>
      <c r="J1208" s="1">
        <v>4.0E7</v>
      </c>
      <c r="K1208" s="1">
        <v>1994.0</v>
      </c>
      <c r="L1208" s="1">
        <v>6.1</v>
      </c>
      <c r="O1208" s="3"/>
      <c r="S1208" s="4"/>
    </row>
    <row r="1209" ht="14.25" customHeight="1">
      <c r="A1209" s="1" t="s">
        <v>2234</v>
      </c>
      <c r="B1209" s="1">
        <v>112.0</v>
      </c>
      <c r="C1209" s="1">
        <v>3.6665854E7</v>
      </c>
      <c r="D1209" s="1" t="s">
        <v>197</v>
      </c>
      <c r="E1209" s="1" t="s">
        <v>2662</v>
      </c>
      <c r="F1209" s="1" t="s">
        <v>2663</v>
      </c>
      <c r="G1209" s="1">
        <v>76498.0</v>
      </c>
      <c r="H1209" s="1">
        <v>203.0</v>
      </c>
      <c r="I1209" s="1" t="s">
        <v>16</v>
      </c>
      <c r="J1209" s="1">
        <v>4.0E7</v>
      </c>
      <c r="K1209" s="1">
        <v>2011.0</v>
      </c>
      <c r="L1209" s="1">
        <v>6.4</v>
      </c>
      <c r="O1209" s="3"/>
      <c r="S1209" s="4"/>
    </row>
    <row r="1210" ht="14.25" customHeight="1">
      <c r="A1210" s="1" t="s">
        <v>2664</v>
      </c>
      <c r="B1210" s="1">
        <v>86.0</v>
      </c>
      <c r="C1210" s="1">
        <v>2.2717758E7</v>
      </c>
      <c r="D1210" s="1" t="s">
        <v>2665</v>
      </c>
      <c r="E1210" s="1" t="s">
        <v>249</v>
      </c>
      <c r="F1210" s="1" t="s">
        <v>2666</v>
      </c>
      <c r="G1210" s="1">
        <v>11156.0</v>
      </c>
      <c r="H1210" s="1">
        <v>67.0</v>
      </c>
      <c r="I1210" s="1" t="s">
        <v>16</v>
      </c>
      <c r="J1210" s="1">
        <v>4.0E7</v>
      </c>
      <c r="K1210" s="1">
        <v>1998.0</v>
      </c>
      <c r="L1210" s="1">
        <v>6.2</v>
      </c>
      <c r="O1210" s="3"/>
      <c r="S1210" s="4"/>
    </row>
    <row r="1211" ht="14.25" customHeight="1">
      <c r="A1211" s="1" t="s">
        <v>1437</v>
      </c>
      <c r="B1211" s="1">
        <v>108.0</v>
      </c>
      <c r="C1211" s="1">
        <v>2.2433915E7</v>
      </c>
      <c r="D1211" s="1" t="s">
        <v>909</v>
      </c>
      <c r="E1211" s="1" t="s">
        <v>725</v>
      </c>
      <c r="F1211" s="1" t="s">
        <v>2667</v>
      </c>
      <c r="G1211" s="1">
        <v>21319.0</v>
      </c>
      <c r="H1211" s="1">
        <v>166.0</v>
      </c>
      <c r="I1211" s="1" t="s">
        <v>16</v>
      </c>
      <c r="J1211" s="1">
        <v>6.0E7</v>
      </c>
      <c r="K1211" s="1">
        <v>2002.0</v>
      </c>
      <c r="L1211" s="1">
        <v>6.2</v>
      </c>
      <c r="O1211" s="3"/>
      <c r="S1211" s="4"/>
    </row>
    <row r="1212" ht="14.25" customHeight="1">
      <c r="A1212" s="1" t="s">
        <v>2668</v>
      </c>
      <c r="B1212" s="1">
        <v>128.0</v>
      </c>
      <c r="C1212" s="1">
        <v>2.2326247E7</v>
      </c>
      <c r="D1212" s="1" t="s">
        <v>92</v>
      </c>
      <c r="E1212" s="1" t="s">
        <v>2669</v>
      </c>
      <c r="F1212" s="1" t="s">
        <v>2670</v>
      </c>
      <c r="G1212" s="1">
        <v>11232.0</v>
      </c>
      <c r="H1212" s="1">
        <v>106.0</v>
      </c>
      <c r="I1212" s="1" t="s">
        <v>16</v>
      </c>
      <c r="J1212" s="1">
        <v>6.0E7</v>
      </c>
      <c r="K1212" s="1">
        <v>1999.0</v>
      </c>
      <c r="L1212" s="1">
        <v>5.9</v>
      </c>
      <c r="O1212" s="3"/>
      <c r="S1212" s="4"/>
    </row>
    <row r="1213" ht="14.25" customHeight="1">
      <c r="A1213" s="1" t="s">
        <v>2671</v>
      </c>
      <c r="B1213" s="1">
        <v>84.0</v>
      </c>
      <c r="C1213" s="1">
        <v>2.1176322E7</v>
      </c>
      <c r="D1213" s="1" t="s">
        <v>728</v>
      </c>
      <c r="E1213" s="1" t="s">
        <v>2672</v>
      </c>
      <c r="F1213" s="1" t="s">
        <v>2673</v>
      </c>
      <c r="G1213" s="1">
        <v>23747.0</v>
      </c>
      <c r="H1213" s="1">
        <v>207.0</v>
      </c>
      <c r="I1213" s="1" t="s">
        <v>16</v>
      </c>
      <c r="J1213" s="1">
        <v>4.0E7</v>
      </c>
      <c r="K1213" s="1">
        <v>2004.0</v>
      </c>
      <c r="L1213" s="1">
        <v>4.0</v>
      </c>
      <c r="O1213" s="3"/>
      <c r="S1213" s="4"/>
    </row>
    <row r="1214" ht="14.25" customHeight="1">
      <c r="A1214" s="1" t="s">
        <v>1747</v>
      </c>
      <c r="B1214" s="1">
        <v>111.0</v>
      </c>
      <c r="C1214" s="1">
        <v>2.03E7</v>
      </c>
      <c r="D1214" s="1" t="s">
        <v>1654</v>
      </c>
      <c r="E1214" s="1" t="s">
        <v>1002</v>
      </c>
      <c r="F1214" s="1" t="s">
        <v>2674</v>
      </c>
      <c r="G1214" s="1">
        <v>16741.0</v>
      </c>
      <c r="H1214" s="1">
        <v>60.0</v>
      </c>
      <c r="I1214" s="1" t="s">
        <v>16</v>
      </c>
      <c r="J1214" s="1">
        <v>4.0E7</v>
      </c>
      <c r="K1214" s="1">
        <v>1996.0</v>
      </c>
      <c r="L1214" s="1">
        <v>6.2</v>
      </c>
      <c r="O1214" s="3"/>
      <c r="S1214" s="4"/>
    </row>
    <row r="1215" ht="14.25" customHeight="1">
      <c r="A1215" s="1" t="s">
        <v>542</v>
      </c>
      <c r="B1215" s="1">
        <v>131.0</v>
      </c>
      <c r="C1215" s="1">
        <v>2.0302961E7</v>
      </c>
      <c r="D1215" s="1" t="s">
        <v>1391</v>
      </c>
      <c r="E1215" s="1" t="s">
        <v>2675</v>
      </c>
      <c r="F1215" s="1" t="s">
        <v>2676</v>
      </c>
      <c r="G1215" s="1">
        <v>49874.0</v>
      </c>
      <c r="H1215" s="1">
        <v>450.0</v>
      </c>
      <c r="I1215" s="1" t="s">
        <v>16</v>
      </c>
      <c r="J1215" s="1">
        <v>4.5E7</v>
      </c>
      <c r="K1215" s="1">
        <v>1995.0</v>
      </c>
      <c r="L1215" s="1">
        <v>4.6</v>
      </c>
      <c r="O1215" s="3"/>
      <c r="S1215" s="4"/>
    </row>
    <row r="1216" ht="14.25" customHeight="1">
      <c r="A1216" s="1" t="s">
        <v>2677</v>
      </c>
      <c r="B1216" s="1">
        <v>123.0</v>
      </c>
      <c r="C1216" s="1">
        <v>1.5962471E7</v>
      </c>
      <c r="D1216" s="1" t="s">
        <v>2432</v>
      </c>
      <c r="E1216" s="1" t="s">
        <v>1971</v>
      </c>
      <c r="F1216" s="1" t="s">
        <v>2678</v>
      </c>
      <c r="G1216" s="1">
        <v>79892.0</v>
      </c>
      <c r="H1216" s="1">
        <v>619.0</v>
      </c>
      <c r="I1216" s="1" t="s">
        <v>16</v>
      </c>
      <c r="J1216" s="1">
        <v>4.0E7</v>
      </c>
      <c r="K1216" s="1">
        <v>2006.0</v>
      </c>
      <c r="L1216" s="1">
        <v>6.4</v>
      </c>
      <c r="O1216" s="3"/>
      <c r="S1216" s="4"/>
    </row>
    <row r="1217" ht="14.25" customHeight="1">
      <c r="A1217" s="1" t="s">
        <v>2145</v>
      </c>
      <c r="B1217" s="1">
        <v>101.0</v>
      </c>
      <c r="C1217" s="1">
        <v>1.4942422E7</v>
      </c>
      <c r="D1217" s="1" t="s">
        <v>146</v>
      </c>
      <c r="E1217" s="1" t="s">
        <v>301</v>
      </c>
      <c r="F1217" s="1" t="s">
        <v>2679</v>
      </c>
      <c r="G1217" s="1">
        <v>14226.0</v>
      </c>
      <c r="H1217" s="1">
        <v>60.0</v>
      </c>
      <c r="I1217" s="1" t="s">
        <v>16</v>
      </c>
      <c r="J1217" s="1">
        <v>4.0E7</v>
      </c>
      <c r="K1217" s="1">
        <v>1995.0</v>
      </c>
      <c r="L1217" s="1">
        <v>5.9</v>
      </c>
      <c r="O1217" s="3"/>
      <c r="S1217" s="4"/>
    </row>
    <row r="1218" ht="14.25" customHeight="1">
      <c r="A1218" s="1" t="s">
        <v>2680</v>
      </c>
      <c r="B1218" s="1">
        <v>102.0</v>
      </c>
      <c r="C1218" s="1">
        <v>1.4967182E7</v>
      </c>
      <c r="D1218" s="1" t="s">
        <v>197</v>
      </c>
      <c r="E1218" s="1" t="s">
        <v>1061</v>
      </c>
      <c r="F1218" s="1" t="s">
        <v>2681</v>
      </c>
      <c r="G1218" s="1">
        <v>27305.0</v>
      </c>
      <c r="H1218" s="1">
        <v>284.0</v>
      </c>
      <c r="I1218" s="1" t="s">
        <v>16</v>
      </c>
      <c r="J1218" s="1">
        <v>4.0E7</v>
      </c>
      <c r="K1218" s="1">
        <v>2000.0</v>
      </c>
      <c r="L1218" s="1">
        <v>5.1</v>
      </c>
      <c r="O1218" s="3"/>
      <c r="S1218" s="4"/>
    </row>
    <row r="1219" ht="14.25" customHeight="1">
      <c r="A1219" s="1" t="s">
        <v>2682</v>
      </c>
      <c r="B1219" s="1">
        <v>114.0</v>
      </c>
      <c r="C1219" s="1">
        <v>1.8996755E7</v>
      </c>
      <c r="D1219" s="1" t="s">
        <v>1654</v>
      </c>
      <c r="E1219" s="1" t="s">
        <v>90</v>
      </c>
      <c r="F1219" s="1" t="s">
        <v>2683</v>
      </c>
      <c r="G1219" s="1">
        <v>145270.0</v>
      </c>
      <c r="H1219" s="1">
        <v>322.0</v>
      </c>
      <c r="I1219" s="1" t="s">
        <v>16</v>
      </c>
      <c r="J1219" s="1">
        <v>4.5E7</v>
      </c>
      <c r="K1219" s="1">
        <v>2012.0</v>
      </c>
      <c r="L1219" s="1">
        <v>7.6</v>
      </c>
      <c r="O1219" s="3"/>
      <c r="S1219" s="4"/>
    </row>
    <row r="1220" ht="14.25" customHeight="1">
      <c r="A1220" s="1" t="s">
        <v>2684</v>
      </c>
      <c r="B1220" s="1">
        <v>107.0</v>
      </c>
      <c r="C1220" s="1">
        <v>1.4375181E7</v>
      </c>
      <c r="D1220" s="1" t="s">
        <v>2685</v>
      </c>
      <c r="E1220" s="1" t="s">
        <v>2686</v>
      </c>
      <c r="F1220" s="1" t="s">
        <v>2687</v>
      </c>
      <c r="G1220" s="1">
        <v>8692.0</v>
      </c>
      <c r="H1220" s="1">
        <v>126.0</v>
      </c>
      <c r="I1220" s="1" t="s">
        <v>16</v>
      </c>
      <c r="J1220" s="1">
        <v>5.1E7</v>
      </c>
      <c r="K1220" s="1">
        <v>1987.0</v>
      </c>
      <c r="L1220" s="1">
        <v>4.2</v>
      </c>
      <c r="O1220" s="3"/>
      <c r="S1220" s="4"/>
    </row>
    <row r="1221" ht="14.25" customHeight="1">
      <c r="A1221" s="1" t="s">
        <v>2161</v>
      </c>
      <c r="B1221" s="1">
        <v>87.0</v>
      </c>
      <c r="C1221" s="1">
        <v>2.0999103E7</v>
      </c>
      <c r="D1221" s="1" t="s">
        <v>2688</v>
      </c>
      <c r="E1221" s="1" t="s">
        <v>899</v>
      </c>
      <c r="F1221" s="1" t="s">
        <v>2689</v>
      </c>
      <c r="G1221" s="1">
        <v>139114.0</v>
      </c>
      <c r="H1221" s="1">
        <v>245.0</v>
      </c>
      <c r="I1221" s="1" t="s">
        <v>16</v>
      </c>
      <c r="J1221" s="1">
        <v>4.0E7</v>
      </c>
      <c r="K1221" s="1">
        <v>2009.0</v>
      </c>
      <c r="L1221" s="1">
        <v>7.8</v>
      </c>
      <c r="O1221" s="3"/>
      <c r="S1221" s="4"/>
    </row>
    <row r="1222" ht="14.25" customHeight="1">
      <c r="A1222" s="1" t="s">
        <v>1809</v>
      </c>
      <c r="B1222" s="1">
        <v>103.0</v>
      </c>
      <c r="C1222" s="1">
        <v>1.4448589E7</v>
      </c>
      <c r="D1222" s="1" t="s">
        <v>699</v>
      </c>
      <c r="E1222" s="1" t="s">
        <v>245</v>
      </c>
      <c r="F1222" s="1" t="s">
        <v>2690</v>
      </c>
      <c r="G1222" s="1">
        <v>19364.0</v>
      </c>
      <c r="H1222" s="1">
        <v>128.0</v>
      </c>
      <c r="I1222" s="1" t="s">
        <v>16</v>
      </c>
      <c r="J1222" s="1">
        <v>4.0E7</v>
      </c>
      <c r="K1222" s="1">
        <v>2002.0</v>
      </c>
      <c r="L1222" s="1">
        <v>5.8</v>
      </c>
      <c r="O1222" s="3"/>
      <c r="S1222" s="4"/>
    </row>
    <row r="1223" ht="14.25" customHeight="1">
      <c r="A1223" s="1" t="s">
        <v>2158</v>
      </c>
      <c r="B1223" s="1">
        <v>99.0</v>
      </c>
      <c r="C1223" s="1">
        <v>1.4358033E7</v>
      </c>
      <c r="D1223" s="1" t="s">
        <v>2691</v>
      </c>
      <c r="E1223" s="1" t="s">
        <v>2692</v>
      </c>
      <c r="F1223" s="1" t="s">
        <v>2693</v>
      </c>
      <c r="G1223" s="1">
        <v>17365.0</v>
      </c>
      <c r="H1223" s="1">
        <v>66.0</v>
      </c>
      <c r="I1223" s="1" t="s">
        <v>16</v>
      </c>
      <c r="J1223" s="1">
        <v>4.0E7</v>
      </c>
      <c r="K1223" s="1">
        <v>1992.0</v>
      </c>
      <c r="L1223" s="1">
        <v>5.9</v>
      </c>
      <c r="O1223" s="3"/>
      <c r="S1223" s="4"/>
    </row>
    <row r="1224" ht="14.25" customHeight="1">
      <c r="A1224" s="1" t="s">
        <v>1700</v>
      </c>
      <c r="B1224" s="1">
        <v>122.0</v>
      </c>
      <c r="C1224" s="1">
        <v>3.3201661E7</v>
      </c>
      <c r="D1224" s="1" t="s">
        <v>699</v>
      </c>
      <c r="E1224" s="1" t="s">
        <v>2348</v>
      </c>
      <c r="F1224" s="1" t="s">
        <v>2694</v>
      </c>
      <c r="G1224" s="1">
        <v>534262.0</v>
      </c>
      <c r="H1224" s="1">
        <v>1314.0</v>
      </c>
      <c r="I1224" s="1" t="s">
        <v>1189</v>
      </c>
      <c r="J1224" s="1">
        <v>7.7E7</v>
      </c>
      <c r="K1224" s="1">
        <v>2001.0</v>
      </c>
      <c r="L1224" s="1">
        <v>8.4</v>
      </c>
      <c r="O1224" s="3"/>
      <c r="S1224" s="4"/>
    </row>
    <row r="1225" ht="14.25" customHeight="1">
      <c r="A1225" s="1" t="s">
        <v>2695</v>
      </c>
      <c r="B1225" s="1">
        <v>91.0</v>
      </c>
      <c r="C1225" s="1">
        <v>1.4018364E7</v>
      </c>
      <c r="D1225" s="1" t="s">
        <v>2696</v>
      </c>
      <c r="E1225" s="1" t="s">
        <v>2697</v>
      </c>
      <c r="F1225" s="1" t="s">
        <v>2698</v>
      </c>
      <c r="G1225" s="1">
        <v>17722.0</v>
      </c>
      <c r="H1225" s="1">
        <v>111.0</v>
      </c>
      <c r="I1225" s="1" t="s">
        <v>16</v>
      </c>
      <c r="J1225" s="1">
        <v>3.0E7</v>
      </c>
      <c r="K1225" s="1">
        <v>2004.0</v>
      </c>
      <c r="L1225" s="1">
        <v>4.8</v>
      </c>
      <c r="O1225" s="3"/>
      <c r="S1225" s="4"/>
    </row>
    <row r="1226" ht="14.25" customHeight="1">
      <c r="A1226" s="1" t="s">
        <v>2699</v>
      </c>
      <c r="B1226" s="1">
        <v>103.0</v>
      </c>
      <c r="C1226" s="1">
        <v>1.3395939E7</v>
      </c>
      <c r="D1226" s="1" t="s">
        <v>593</v>
      </c>
      <c r="E1226" s="1" t="s">
        <v>2700</v>
      </c>
      <c r="F1226" s="1" t="s">
        <v>2701</v>
      </c>
      <c r="G1226" s="1">
        <v>43442.0</v>
      </c>
      <c r="H1226" s="1">
        <v>146.0</v>
      </c>
      <c r="I1226" s="1" t="s">
        <v>16</v>
      </c>
      <c r="J1226" s="1">
        <v>6.0E7</v>
      </c>
      <c r="K1226" s="1">
        <v>2004.0</v>
      </c>
      <c r="L1226" s="1">
        <v>6.2</v>
      </c>
      <c r="O1226" s="3"/>
      <c r="S1226" s="4"/>
    </row>
    <row r="1227" ht="14.25" customHeight="1">
      <c r="A1227" s="1" t="s">
        <v>2506</v>
      </c>
      <c r="B1227" s="1">
        <v>107.0</v>
      </c>
      <c r="C1227" s="1">
        <v>2.0113965E7</v>
      </c>
      <c r="D1227" s="1" t="s">
        <v>2521</v>
      </c>
      <c r="E1227" s="1" t="s">
        <v>2702</v>
      </c>
      <c r="F1227" s="1" t="s">
        <v>2703</v>
      </c>
      <c r="G1227" s="1">
        <v>15231.0</v>
      </c>
      <c r="H1227" s="1">
        <v>66.0</v>
      </c>
      <c r="I1227" s="1" t="s">
        <v>16</v>
      </c>
      <c r="J1227" s="1">
        <v>4.0E7</v>
      </c>
      <c r="K1227" s="1">
        <v>2012.0</v>
      </c>
      <c r="L1227" s="1">
        <v>6.5</v>
      </c>
      <c r="O1227" s="3"/>
      <c r="S1227" s="4"/>
    </row>
    <row r="1228" ht="14.25" customHeight="1">
      <c r="A1228" s="1" t="s">
        <v>2704</v>
      </c>
      <c r="B1228" s="1">
        <v>106.0</v>
      </c>
      <c r="C1228" s="1">
        <v>1.3376506E7</v>
      </c>
      <c r="D1228" s="1" t="s">
        <v>1391</v>
      </c>
      <c r="E1228" s="1" t="s">
        <v>2351</v>
      </c>
      <c r="F1228" s="1" t="s">
        <v>2705</v>
      </c>
      <c r="G1228" s="1">
        <v>10413.0</v>
      </c>
      <c r="H1228" s="1">
        <v>111.0</v>
      </c>
      <c r="I1228" s="1" t="s">
        <v>16</v>
      </c>
      <c r="J1228" s="1">
        <v>4.0E7</v>
      </c>
      <c r="K1228" s="1">
        <v>1999.0</v>
      </c>
      <c r="L1228" s="1">
        <v>6.3</v>
      </c>
      <c r="O1228" s="3"/>
      <c r="S1228" s="4"/>
    </row>
    <row r="1229" ht="14.25" customHeight="1">
      <c r="A1229" s="1" t="s">
        <v>2706</v>
      </c>
      <c r="B1229" s="1">
        <v>101.0</v>
      </c>
      <c r="C1229" s="1">
        <v>1.3208023E7</v>
      </c>
      <c r="D1229" s="1" t="s">
        <v>2707</v>
      </c>
      <c r="E1229" s="1" t="s">
        <v>1612</v>
      </c>
      <c r="F1229" s="1" t="s">
        <v>2708</v>
      </c>
      <c r="G1229" s="1">
        <v>17309.0</v>
      </c>
      <c r="H1229" s="1">
        <v>388.0</v>
      </c>
      <c r="I1229" s="1" t="s">
        <v>16</v>
      </c>
      <c r="J1229" s="1">
        <v>4.2E7</v>
      </c>
      <c r="K1229" s="1">
        <v>2002.0</v>
      </c>
      <c r="L1229" s="1">
        <v>3.3</v>
      </c>
      <c r="O1229" s="3"/>
      <c r="S1229" s="4"/>
    </row>
    <row r="1230" ht="14.25" customHeight="1">
      <c r="A1230" s="1" t="s">
        <v>724</v>
      </c>
      <c r="B1230" s="1">
        <v>109.0</v>
      </c>
      <c r="C1230" s="1">
        <v>1.383813E7</v>
      </c>
      <c r="D1230" s="1" t="s">
        <v>809</v>
      </c>
      <c r="E1230" s="1" t="s">
        <v>753</v>
      </c>
      <c r="F1230" s="1" t="s">
        <v>2709</v>
      </c>
      <c r="G1230" s="1">
        <v>35990.0</v>
      </c>
      <c r="H1230" s="1">
        <v>157.0</v>
      </c>
      <c r="I1230" s="1" t="s">
        <v>16</v>
      </c>
      <c r="J1230" s="1">
        <v>4.0E7</v>
      </c>
      <c r="K1230" s="1">
        <v>2009.0</v>
      </c>
      <c r="L1230" s="1">
        <v>5.9</v>
      </c>
      <c r="O1230" s="3"/>
      <c r="S1230" s="4"/>
    </row>
    <row r="1231" ht="14.25" customHeight="1">
      <c r="A1231" s="1" t="s">
        <v>2198</v>
      </c>
      <c r="B1231" s="1">
        <v>89.0</v>
      </c>
      <c r="C1231" s="1">
        <v>9652000.0</v>
      </c>
      <c r="D1231" s="1" t="s">
        <v>828</v>
      </c>
      <c r="E1231" s="1" t="s">
        <v>2710</v>
      </c>
      <c r="F1231" s="1" t="s">
        <v>2711</v>
      </c>
      <c r="G1231" s="1">
        <v>46205.0</v>
      </c>
      <c r="H1231" s="1">
        <v>147.0</v>
      </c>
      <c r="I1231" s="1" t="s">
        <v>16</v>
      </c>
      <c r="J1231" s="1">
        <v>4.0E7</v>
      </c>
      <c r="K1231" s="1">
        <v>2003.0</v>
      </c>
      <c r="L1231" s="1">
        <v>5.8</v>
      </c>
      <c r="O1231" s="3"/>
      <c r="S1231" s="4"/>
    </row>
    <row r="1232" ht="14.25" customHeight="1">
      <c r="A1232" s="1" t="s">
        <v>2712</v>
      </c>
      <c r="B1232" s="1">
        <v>119.0</v>
      </c>
      <c r="C1232" s="1">
        <v>7000000.0</v>
      </c>
      <c r="D1232" s="1" t="s">
        <v>304</v>
      </c>
      <c r="E1232" s="1" t="s">
        <v>2713</v>
      </c>
      <c r="F1232" s="1" t="s">
        <v>2714</v>
      </c>
      <c r="G1232" s="1">
        <v>2933.0</v>
      </c>
      <c r="H1232" s="1">
        <v>70.0</v>
      </c>
      <c r="I1232" s="1" t="s">
        <v>16</v>
      </c>
      <c r="J1232" s="1">
        <v>3.6E7</v>
      </c>
      <c r="K1232" s="1">
        <v>1980.0</v>
      </c>
      <c r="L1232" s="1">
        <v>4.7</v>
      </c>
      <c r="O1232" s="3"/>
      <c r="S1232" s="4"/>
    </row>
    <row r="1233" ht="14.25" customHeight="1">
      <c r="A1233" s="1" t="s">
        <v>2715</v>
      </c>
      <c r="B1233" s="1">
        <v>83.0</v>
      </c>
      <c r="C1233" s="1">
        <v>1.043122E7</v>
      </c>
      <c r="D1233" s="1" t="s">
        <v>278</v>
      </c>
      <c r="E1233" s="1" t="s">
        <v>2561</v>
      </c>
      <c r="F1233" s="1" t="s">
        <v>2716</v>
      </c>
      <c r="G1233" s="1">
        <v>24216.0</v>
      </c>
      <c r="H1233" s="1">
        <v>162.0</v>
      </c>
      <c r="I1233" s="1" t="s">
        <v>16</v>
      </c>
      <c r="J1233" s="1">
        <v>2.4E7</v>
      </c>
      <c r="K1233" s="1">
        <v>1999.0</v>
      </c>
      <c r="L1233" s="1">
        <v>4.1</v>
      </c>
      <c r="O1233" s="3"/>
      <c r="S1233" s="4"/>
    </row>
    <row r="1234" ht="14.25" customHeight="1">
      <c r="A1234" s="1" t="s">
        <v>2717</v>
      </c>
      <c r="B1234" s="1">
        <v>108.0</v>
      </c>
      <c r="C1234" s="1">
        <v>1.0326062E7</v>
      </c>
      <c r="D1234" s="1" t="s">
        <v>2718</v>
      </c>
      <c r="E1234" s="1" t="s">
        <v>1953</v>
      </c>
      <c r="F1234" s="1" t="s">
        <v>2719</v>
      </c>
      <c r="G1234" s="1">
        <v>121432.0</v>
      </c>
      <c r="H1234" s="1">
        <v>310.0</v>
      </c>
      <c r="I1234" s="1" t="s">
        <v>16</v>
      </c>
      <c r="J1234" s="1">
        <v>3.3E7</v>
      </c>
      <c r="K1234" s="1">
        <v>2009.0</v>
      </c>
      <c r="L1234" s="1">
        <v>6.8</v>
      </c>
      <c r="O1234" s="3"/>
      <c r="S1234" s="4"/>
    </row>
    <row r="1235" ht="14.25" customHeight="1">
      <c r="A1235" s="1" t="s">
        <v>2081</v>
      </c>
      <c r="B1235" s="1">
        <v>102.0</v>
      </c>
      <c r="C1235" s="1">
        <v>6114237.0</v>
      </c>
      <c r="D1235" s="1" t="s">
        <v>932</v>
      </c>
      <c r="E1235" s="1" t="s">
        <v>1702</v>
      </c>
      <c r="F1235" s="1" t="s">
        <v>2720</v>
      </c>
      <c r="G1235" s="1">
        <v>19986.0</v>
      </c>
      <c r="H1235" s="1">
        <v>207.0</v>
      </c>
      <c r="I1235" s="1" t="s">
        <v>16</v>
      </c>
      <c r="J1235" s="1">
        <v>4.0E7</v>
      </c>
      <c r="K1235" s="1">
        <v>2001.0</v>
      </c>
      <c r="L1235" s="1">
        <v>6.2</v>
      </c>
      <c r="O1235" s="3"/>
      <c r="S1235" s="4"/>
    </row>
    <row r="1236" ht="14.25" customHeight="1">
      <c r="A1236" s="1" t="s">
        <v>2643</v>
      </c>
      <c r="B1236" s="1">
        <v>93.0</v>
      </c>
      <c r="C1236" s="1">
        <v>4835968.0</v>
      </c>
      <c r="D1236" s="1" t="s">
        <v>22</v>
      </c>
      <c r="E1236" s="1" t="s">
        <v>1467</v>
      </c>
      <c r="F1236" s="1" t="s">
        <v>2721</v>
      </c>
      <c r="G1236" s="1">
        <v>4821.0</v>
      </c>
      <c r="H1236" s="1">
        <v>82.0</v>
      </c>
      <c r="I1236" s="1" t="s">
        <v>16</v>
      </c>
      <c r="J1236" s="1">
        <v>4.0E7</v>
      </c>
      <c r="K1236" s="1">
        <v>2002.0</v>
      </c>
      <c r="L1236" s="1">
        <v>4.5</v>
      </c>
      <c r="O1236" s="3"/>
      <c r="S1236" s="4"/>
    </row>
    <row r="1237" ht="14.25" customHeight="1">
      <c r="A1237" s="1" t="s">
        <v>2722</v>
      </c>
      <c r="B1237" s="1">
        <v>84.0</v>
      </c>
      <c r="C1237" s="1">
        <v>4777007.0</v>
      </c>
      <c r="D1237" s="1" t="s">
        <v>2723</v>
      </c>
      <c r="E1237" s="1" t="s">
        <v>2724</v>
      </c>
      <c r="F1237" s="1" t="s">
        <v>2725</v>
      </c>
      <c r="G1237" s="1">
        <v>15130.0</v>
      </c>
      <c r="H1237" s="1">
        <v>98.0</v>
      </c>
      <c r="I1237" s="1" t="s">
        <v>16</v>
      </c>
      <c r="J1237" s="1">
        <v>4.0E7</v>
      </c>
      <c r="K1237" s="1">
        <v>2001.0</v>
      </c>
      <c r="L1237" s="1">
        <v>5.8</v>
      </c>
      <c r="O1237" s="3"/>
      <c r="S1237" s="4"/>
    </row>
    <row r="1238" ht="14.25" customHeight="1">
      <c r="A1238" s="1" t="s">
        <v>2132</v>
      </c>
      <c r="B1238" s="1">
        <v>107.0</v>
      </c>
      <c r="C1238" s="1">
        <v>3675072.0</v>
      </c>
      <c r="D1238" s="1" t="s">
        <v>492</v>
      </c>
      <c r="E1238" s="1" t="s">
        <v>459</v>
      </c>
      <c r="F1238" s="1" t="s">
        <v>2726</v>
      </c>
      <c r="G1238" s="1">
        <v>190132.0</v>
      </c>
      <c r="H1238" s="1">
        <v>801.0</v>
      </c>
      <c r="I1238" s="1" t="s">
        <v>16</v>
      </c>
      <c r="J1238" s="1">
        <v>2.6E7</v>
      </c>
      <c r="K1238" s="1">
        <v>2007.0</v>
      </c>
      <c r="L1238" s="1">
        <v>7.3</v>
      </c>
      <c r="O1238" s="3"/>
      <c r="S1238" s="4"/>
    </row>
    <row r="1239" ht="14.25" customHeight="1">
      <c r="A1239" s="1" t="s">
        <v>1665</v>
      </c>
      <c r="B1239" s="1">
        <v>91.0</v>
      </c>
      <c r="C1239" s="1">
        <v>1.8438149E7</v>
      </c>
      <c r="D1239" s="1" t="s">
        <v>1059</v>
      </c>
      <c r="E1239" s="1" t="s">
        <v>2727</v>
      </c>
      <c r="F1239" s="1" t="s">
        <v>2728</v>
      </c>
      <c r="G1239" s="1">
        <v>30842.0</v>
      </c>
      <c r="H1239" s="1">
        <v>93.0</v>
      </c>
      <c r="I1239" s="1" t="s">
        <v>16</v>
      </c>
      <c r="J1239" s="1">
        <v>4.0E7</v>
      </c>
      <c r="K1239" s="1">
        <v>2012.0</v>
      </c>
      <c r="L1239" s="1">
        <v>5.9</v>
      </c>
      <c r="O1239" s="3"/>
      <c r="S1239" s="4"/>
    </row>
    <row r="1240" ht="14.25" customHeight="1">
      <c r="A1240" s="1" t="s">
        <v>2729</v>
      </c>
      <c r="B1240" s="1">
        <v>94.0</v>
      </c>
      <c r="C1240" s="1">
        <v>511920.0</v>
      </c>
      <c r="D1240" s="1" t="s">
        <v>2730</v>
      </c>
      <c r="E1240" s="1" t="s">
        <v>1870</v>
      </c>
      <c r="F1240" s="1" t="s">
        <v>2731</v>
      </c>
      <c r="G1240" s="1">
        <v>2458.0</v>
      </c>
      <c r="H1240" s="1">
        <v>26.0</v>
      </c>
      <c r="I1240" s="1" t="s">
        <v>16</v>
      </c>
      <c r="J1240" s="1">
        <v>4.0E7</v>
      </c>
      <c r="K1240" s="1">
        <v>2008.0</v>
      </c>
      <c r="L1240" s="1">
        <v>4.4</v>
      </c>
      <c r="O1240" s="3"/>
      <c r="S1240" s="4"/>
    </row>
    <row r="1241" ht="14.25" customHeight="1">
      <c r="A1241" s="1" t="s">
        <v>2007</v>
      </c>
      <c r="B1241" s="1">
        <v>115.0</v>
      </c>
      <c r="C1241" s="1">
        <v>1.0640645E7</v>
      </c>
      <c r="D1241" s="1" t="s">
        <v>998</v>
      </c>
      <c r="E1241" s="1" t="s">
        <v>789</v>
      </c>
      <c r="F1241" s="1" t="s">
        <v>2732</v>
      </c>
      <c r="G1241" s="1">
        <v>28429.0</v>
      </c>
      <c r="H1241" s="1">
        <v>110.0</v>
      </c>
      <c r="I1241" s="1" t="s">
        <v>16</v>
      </c>
      <c r="J1241" s="1">
        <v>4.0E7</v>
      </c>
      <c r="K1241" s="1">
        <v>2015.0</v>
      </c>
      <c r="L1241" s="1">
        <v>5.8</v>
      </c>
      <c r="O1241" s="3"/>
      <c r="S1241" s="4"/>
    </row>
    <row r="1242" ht="14.25" customHeight="1">
      <c r="A1242" s="1" t="s">
        <v>2733</v>
      </c>
      <c r="B1242" s="1">
        <v>93.0</v>
      </c>
      <c r="C1242" s="1">
        <v>652526.0</v>
      </c>
      <c r="D1242" s="1" t="s">
        <v>2734</v>
      </c>
      <c r="E1242" s="1" t="s">
        <v>2088</v>
      </c>
      <c r="F1242" s="1" t="s">
        <v>2735</v>
      </c>
      <c r="G1242" s="1">
        <v>20201.0</v>
      </c>
      <c r="H1242" s="1">
        <v>187.0</v>
      </c>
      <c r="I1242" s="1" t="s">
        <v>16</v>
      </c>
      <c r="J1242" s="1">
        <v>4.0E7</v>
      </c>
      <c r="K1242" s="1">
        <v>2006.0</v>
      </c>
      <c r="L1242" s="1">
        <v>5.1</v>
      </c>
      <c r="O1242" s="3"/>
      <c r="S1242" s="4"/>
    </row>
    <row r="1243" ht="14.25" customHeight="1">
      <c r="A1243" s="1" t="s">
        <v>1093</v>
      </c>
      <c r="B1243" s="1">
        <v>105.0</v>
      </c>
      <c r="C1243" s="1">
        <v>8.0050171E7</v>
      </c>
      <c r="D1243" s="1" t="s">
        <v>806</v>
      </c>
      <c r="E1243" s="1" t="s">
        <v>2736</v>
      </c>
      <c r="F1243" s="1" t="s">
        <v>2737</v>
      </c>
      <c r="G1243" s="1">
        <v>186982.0</v>
      </c>
      <c r="H1243" s="1">
        <v>491.0</v>
      </c>
      <c r="I1243" s="1" t="s">
        <v>16</v>
      </c>
      <c r="J1243" s="1">
        <v>2.0E7</v>
      </c>
      <c r="K1243" s="1">
        <v>2007.0</v>
      </c>
      <c r="L1243" s="1">
        <v>6.9</v>
      </c>
      <c r="O1243" s="3"/>
      <c r="S1243" s="4"/>
    </row>
    <row r="1244" ht="14.25" customHeight="1">
      <c r="A1244" s="1" t="s">
        <v>1794</v>
      </c>
      <c r="B1244" s="1">
        <v>107.0</v>
      </c>
      <c r="C1244" s="1">
        <v>7564000.0</v>
      </c>
      <c r="D1244" s="1" t="s">
        <v>2140</v>
      </c>
      <c r="E1244" s="1" t="s">
        <v>245</v>
      </c>
      <c r="F1244" s="1" t="s">
        <v>2738</v>
      </c>
      <c r="G1244" s="1">
        <v>54650.0</v>
      </c>
      <c r="H1244" s="1">
        <v>223.0</v>
      </c>
      <c r="I1244" s="1" t="s">
        <v>16</v>
      </c>
      <c r="J1244" s="1">
        <v>2.0E7</v>
      </c>
      <c r="K1244" s="1">
        <v>1995.0</v>
      </c>
      <c r="L1244" s="1">
        <v>6.2</v>
      </c>
      <c r="O1244" s="3"/>
      <c r="S1244" s="4"/>
    </row>
    <row r="1245" ht="14.25" customHeight="1">
      <c r="A1245" s="1" t="s">
        <v>2739</v>
      </c>
      <c r="B1245" s="1">
        <v>101.0</v>
      </c>
      <c r="C1245" s="1">
        <v>876671.0</v>
      </c>
      <c r="D1245" s="1" t="s">
        <v>2740</v>
      </c>
      <c r="E1245" s="1" t="s">
        <v>2741</v>
      </c>
      <c r="F1245" s="1" t="s">
        <v>2742</v>
      </c>
      <c r="G1245" s="1">
        <v>22010.0</v>
      </c>
      <c r="H1245" s="1">
        <v>90.0</v>
      </c>
      <c r="I1245" s="1" t="s">
        <v>16</v>
      </c>
      <c r="J1245" s="1">
        <v>2.5E7</v>
      </c>
      <c r="K1245" s="1">
        <v>2007.0</v>
      </c>
      <c r="L1245" s="1">
        <v>6.9</v>
      </c>
      <c r="O1245" s="3"/>
      <c r="S1245" s="4"/>
    </row>
    <row r="1246" ht="14.25" customHeight="1">
      <c r="A1246" s="1" t="s">
        <v>1736</v>
      </c>
      <c r="B1246" s="1">
        <v>111.0</v>
      </c>
      <c r="C1246" s="1">
        <v>2869369.0</v>
      </c>
      <c r="D1246" s="1" t="s">
        <v>1148</v>
      </c>
      <c r="E1246" s="1" t="s">
        <v>2743</v>
      </c>
      <c r="F1246" s="1" t="s">
        <v>2744</v>
      </c>
      <c r="G1246" s="1">
        <v>65474.0</v>
      </c>
      <c r="H1246" s="1">
        <v>211.0</v>
      </c>
      <c r="I1246" s="1" t="s">
        <v>16</v>
      </c>
      <c r="J1246" s="1">
        <v>3.0E7</v>
      </c>
      <c r="K1246" s="1">
        <v>1994.0</v>
      </c>
      <c r="L1246" s="1">
        <v>7.3</v>
      </c>
      <c r="O1246" s="3"/>
      <c r="S1246" s="4"/>
    </row>
    <row r="1247" ht="14.25" customHeight="1">
      <c r="A1247" s="1" t="s">
        <v>2745</v>
      </c>
      <c r="B1247" s="1">
        <v>113.0</v>
      </c>
      <c r="C1247" s="1">
        <v>128978.0</v>
      </c>
      <c r="D1247" s="1" t="s">
        <v>319</v>
      </c>
      <c r="E1247" s="1" t="s">
        <v>216</v>
      </c>
      <c r="F1247" s="1" t="s">
        <v>2746</v>
      </c>
      <c r="G1247" s="1">
        <v>22897.0</v>
      </c>
      <c r="H1247" s="1">
        <v>61.0</v>
      </c>
      <c r="I1247" s="1" t="s">
        <v>816</v>
      </c>
      <c r="J1247" s="1">
        <v>4.0E7</v>
      </c>
      <c r="K1247" s="1">
        <v>2007.0</v>
      </c>
      <c r="L1247" s="1">
        <v>7.1</v>
      </c>
      <c r="O1247" s="3"/>
      <c r="S1247" s="4"/>
    </row>
    <row r="1248" ht="14.25" customHeight="1">
      <c r="A1248" s="1" t="s">
        <v>852</v>
      </c>
      <c r="B1248" s="1">
        <v>112.0</v>
      </c>
      <c r="C1248" s="1">
        <v>77231.0</v>
      </c>
      <c r="D1248" s="1" t="s">
        <v>824</v>
      </c>
      <c r="E1248" s="1" t="s">
        <v>2747</v>
      </c>
      <c r="F1248" s="1" t="s">
        <v>2748</v>
      </c>
      <c r="G1248" s="1">
        <v>3322.0</v>
      </c>
      <c r="H1248" s="1">
        <v>32.0</v>
      </c>
      <c r="I1248" s="1" t="s">
        <v>2749</v>
      </c>
      <c r="J1248" s="1">
        <v>2.5E7</v>
      </c>
      <c r="K1248" s="1">
        <v>2005.0</v>
      </c>
      <c r="L1248" s="1">
        <v>6.0</v>
      </c>
      <c r="O1248" s="3"/>
      <c r="S1248" s="4"/>
    </row>
    <row r="1249" ht="14.25" customHeight="1">
      <c r="A1249" s="1" t="s">
        <v>2750</v>
      </c>
      <c r="B1249" s="1">
        <v>126.0</v>
      </c>
      <c r="C1249" s="1">
        <v>4563029.0</v>
      </c>
      <c r="D1249" s="1" t="s">
        <v>581</v>
      </c>
      <c r="E1249" s="1" t="s">
        <v>459</v>
      </c>
      <c r="F1249" s="1" t="s">
        <v>2751</v>
      </c>
      <c r="G1249" s="1">
        <v>181472.0</v>
      </c>
      <c r="H1249" s="1">
        <v>514.0</v>
      </c>
      <c r="I1249" s="1" t="s">
        <v>16</v>
      </c>
      <c r="J1249" s="1">
        <v>3.92E7</v>
      </c>
      <c r="K1249" s="1">
        <v>2013.0</v>
      </c>
      <c r="L1249" s="1">
        <v>7.0</v>
      </c>
      <c r="O1249" s="3"/>
      <c r="S1249" s="4"/>
    </row>
    <row r="1250" ht="14.25" customHeight="1">
      <c r="A1250" s="1" t="s">
        <v>439</v>
      </c>
      <c r="B1250" s="1">
        <v>98.0</v>
      </c>
      <c r="C1250" s="1">
        <v>5.0693162E7</v>
      </c>
      <c r="D1250" s="1" t="s">
        <v>2752</v>
      </c>
      <c r="E1250" s="1" t="s">
        <v>2615</v>
      </c>
      <c r="F1250" s="1" t="s">
        <v>2753</v>
      </c>
      <c r="G1250" s="1">
        <v>136580.0</v>
      </c>
      <c r="H1250" s="1">
        <v>545.0</v>
      </c>
      <c r="I1250" s="1" t="s">
        <v>16</v>
      </c>
      <c r="J1250" s="1">
        <v>2.3E7</v>
      </c>
      <c r="K1250" s="1">
        <v>1994.0</v>
      </c>
      <c r="L1250" s="1">
        <v>7.6</v>
      </c>
      <c r="O1250" s="3"/>
      <c r="S1250" s="4"/>
    </row>
    <row r="1251" ht="14.25" customHeight="1">
      <c r="A1251" s="1" t="s">
        <v>2754</v>
      </c>
      <c r="B1251" s="1">
        <v>159.0</v>
      </c>
      <c r="C1251" s="1">
        <v>6498000.0</v>
      </c>
      <c r="D1251" s="1" t="s">
        <v>2755</v>
      </c>
      <c r="E1251" s="1" t="s">
        <v>2756</v>
      </c>
      <c r="F1251" s="1" t="s">
        <v>2757</v>
      </c>
      <c r="G1251" s="1">
        <v>62756.0</v>
      </c>
      <c r="H1251" s="1">
        <v>410.0</v>
      </c>
      <c r="I1251" s="1" t="s">
        <v>2758</v>
      </c>
      <c r="J1251" s="1">
        <v>1.8026148E7</v>
      </c>
      <c r="K1251" s="1">
        <v>2015.0</v>
      </c>
      <c r="L1251" s="1">
        <v>8.4</v>
      </c>
      <c r="O1251" s="3"/>
      <c r="S1251" s="4"/>
    </row>
    <row r="1252" ht="14.25" customHeight="1">
      <c r="A1252" s="1" t="s">
        <v>526</v>
      </c>
      <c r="B1252" s="1">
        <v>107.0</v>
      </c>
      <c r="C1252" s="1">
        <v>6.3411478E7</v>
      </c>
      <c r="D1252" s="1" t="s">
        <v>2759</v>
      </c>
      <c r="E1252" s="1" t="s">
        <v>2760</v>
      </c>
      <c r="F1252" s="1" t="s">
        <v>2761</v>
      </c>
      <c r="G1252" s="1">
        <v>114925.0</v>
      </c>
      <c r="H1252" s="1">
        <v>234.0</v>
      </c>
      <c r="I1252" s="1" t="s">
        <v>16</v>
      </c>
      <c r="J1252" s="1">
        <v>3.9E7</v>
      </c>
      <c r="K1252" s="1">
        <v>2009.0</v>
      </c>
      <c r="L1252" s="1">
        <v>7.1</v>
      </c>
      <c r="O1252" s="3"/>
      <c r="S1252" s="4"/>
    </row>
    <row r="1253" ht="14.25" customHeight="1">
      <c r="A1253" s="1" t="s">
        <v>214</v>
      </c>
      <c r="B1253" s="1">
        <v>106.0</v>
      </c>
      <c r="C1253" s="1">
        <v>1.4451231E8</v>
      </c>
      <c r="D1253" s="1" t="s">
        <v>146</v>
      </c>
      <c r="E1253" s="1" t="s">
        <v>289</v>
      </c>
      <c r="F1253" s="1" t="s">
        <v>290</v>
      </c>
      <c r="G1253" s="1">
        <v>272227.0</v>
      </c>
      <c r="H1253" s="1">
        <v>988.0</v>
      </c>
      <c r="I1253" s="1" t="s">
        <v>16</v>
      </c>
      <c r="J1253" s="1">
        <v>3.8E7</v>
      </c>
      <c r="K1253" s="1">
        <v>2001.0</v>
      </c>
      <c r="L1253" s="1">
        <v>6.7</v>
      </c>
      <c r="O1253" s="3"/>
      <c r="S1253" s="4"/>
    </row>
    <row r="1254" ht="14.25" customHeight="1">
      <c r="A1254" s="1" t="s">
        <v>111</v>
      </c>
      <c r="B1254" s="1">
        <v>87.0</v>
      </c>
      <c r="C1254" s="1">
        <v>3.5287788E7</v>
      </c>
      <c r="D1254" s="1" t="s">
        <v>2762</v>
      </c>
      <c r="E1254" s="1" t="s">
        <v>1332</v>
      </c>
      <c r="F1254" s="1" t="s">
        <v>2763</v>
      </c>
      <c r="G1254" s="1">
        <v>73886.0</v>
      </c>
      <c r="H1254" s="1">
        <v>165.0</v>
      </c>
      <c r="I1254" s="1" t="s">
        <v>16</v>
      </c>
      <c r="J1254" s="1">
        <v>3.9E7</v>
      </c>
      <c r="K1254" s="1">
        <v>2012.0</v>
      </c>
      <c r="L1254" s="1">
        <v>7.0</v>
      </c>
      <c r="O1254" s="3"/>
      <c r="S1254" s="4"/>
    </row>
    <row r="1255" ht="14.25" customHeight="1">
      <c r="A1255" s="1" t="s">
        <v>41</v>
      </c>
      <c r="B1255" s="1">
        <v>119.0</v>
      </c>
      <c r="C1255" s="1">
        <v>2.5335935E7</v>
      </c>
      <c r="D1255" s="1" t="s">
        <v>99</v>
      </c>
      <c r="E1255" s="1" t="s">
        <v>2764</v>
      </c>
      <c r="F1255" s="1" t="s">
        <v>2765</v>
      </c>
      <c r="G1255" s="1">
        <v>242599.0</v>
      </c>
      <c r="H1255" s="1">
        <v>1594.0</v>
      </c>
      <c r="I1255" s="1" t="s">
        <v>16</v>
      </c>
      <c r="J1255" s="1">
        <v>4.0E7</v>
      </c>
      <c r="K1255" s="1">
        <v>2005.0</v>
      </c>
      <c r="L1255" s="1">
        <v>8.0</v>
      </c>
      <c r="O1255" s="3"/>
      <c r="S1255" s="4"/>
    </row>
    <row r="1256" ht="14.25" customHeight="1">
      <c r="A1256" s="1" t="s">
        <v>1898</v>
      </c>
      <c r="B1256" s="1">
        <v>110.0</v>
      </c>
      <c r="C1256" s="1">
        <v>5881504.0</v>
      </c>
      <c r="D1256" s="1" t="s">
        <v>2766</v>
      </c>
      <c r="E1256" s="1" t="s">
        <v>2700</v>
      </c>
      <c r="F1256" s="1" t="s">
        <v>2767</v>
      </c>
      <c r="G1256" s="1">
        <v>5917.0</v>
      </c>
      <c r="H1256" s="1">
        <v>50.0</v>
      </c>
      <c r="I1256" s="1" t="s">
        <v>16</v>
      </c>
      <c r="J1256" s="1">
        <v>3.9E7</v>
      </c>
      <c r="K1256" s="1">
        <v>2004.0</v>
      </c>
      <c r="L1256" s="1">
        <v>5.3</v>
      </c>
      <c r="O1256" s="3"/>
      <c r="S1256" s="4"/>
    </row>
    <row r="1257" ht="14.25" customHeight="1">
      <c r="A1257" s="1" t="s">
        <v>1962</v>
      </c>
      <c r="B1257" s="1">
        <v>125.0</v>
      </c>
      <c r="C1257" s="1">
        <v>6.0E7</v>
      </c>
      <c r="D1257" s="1" t="s">
        <v>797</v>
      </c>
      <c r="E1257" s="1" t="s">
        <v>1964</v>
      </c>
      <c r="F1257" s="1" t="s">
        <v>2768</v>
      </c>
      <c r="G1257" s="1">
        <v>49934.0</v>
      </c>
      <c r="H1257" s="1">
        <v>224.0</v>
      </c>
      <c r="I1257" s="1" t="s">
        <v>16</v>
      </c>
      <c r="J1257" s="1">
        <v>3.9E7</v>
      </c>
      <c r="K1257" s="1">
        <v>1983.0</v>
      </c>
      <c r="L1257" s="1">
        <v>4.9</v>
      </c>
      <c r="O1257" s="3"/>
      <c r="S1257" s="4"/>
    </row>
    <row r="1258" ht="14.25" customHeight="1">
      <c r="A1258" s="1" t="s">
        <v>1036</v>
      </c>
      <c r="B1258" s="1">
        <v>113.0</v>
      </c>
      <c r="C1258" s="1">
        <v>2.9802761E7</v>
      </c>
      <c r="D1258" s="1" t="s">
        <v>1592</v>
      </c>
      <c r="E1258" s="1" t="s">
        <v>725</v>
      </c>
      <c r="F1258" s="1" t="s">
        <v>2769</v>
      </c>
      <c r="G1258" s="1">
        <v>46480.0</v>
      </c>
      <c r="H1258" s="1">
        <v>115.0</v>
      </c>
      <c r="I1258" s="1" t="s">
        <v>16</v>
      </c>
      <c r="J1258" s="1">
        <v>4.0E7</v>
      </c>
      <c r="K1258" s="1">
        <v>2013.0</v>
      </c>
      <c r="L1258" s="1">
        <v>6.4</v>
      </c>
      <c r="O1258" s="3"/>
      <c r="S1258" s="4"/>
    </row>
    <row r="1259" ht="14.25" customHeight="1">
      <c r="A1259" s="1" t="s">
        <v>559</v>
      </c>
      <c r="B1259" s="1">
        <v>150.0</v>
      </c>
      <c r="C1259" s="1">
        <v>626809.0</v>
      </c>
      <c r="D1259" s="1" t="s">
        <v>464</v>
      </c>
      <c r="E1259" s="1" t="s">
        <v>2770</v>
      </c>
      <c r="F1259" s="1" t="s">
        <v>2771</v>
      </c>
      <c r="G1259" s="1">
        <v>36894.0</v>
      </c>
      <c r="H1259" s="1">
        <v>105.0</v>
      </c>
      <c r="I1259" s="1" t="s">
        <v>816</v>
      </c>
      <c r="J1259" s="1">
        <v>5.53632E8</v>
      </c>
      <c r="K1259" s="1">
        <v>2008.0</v>
      </c>
      <c r="L1259" s="1">
        <v>7.4</v>
      </c>
      <c r="O1259" s="3"/>
      <c r="S1259" s="4"/>
    </row>
    <row r="1260" ht="14.25" customHeight="1">
      <c r="A1260" s="1" t="s">
        <v>1281</v>
      </c>
      <c r="B1260" s="1">
        <v>108.0</v>
      </c>
      <c r="C1260" s="1">
        <v>1.27214072E8</v>
      </c>
      <c r="D1260" s="1" t="s">
        <v>699</v>
      </c>
      <c r="E1260" s="1" t="s">
        <v>2772</v>
      </c>
      <c r="F1260" s="1" t="s">
        <v>2773</v>
      </c>
      <c r="G1260" s="1">
        <v>83786.0</v>
      </c>
      <c r="H1260" s="1">
        <v>392.0</v>
      </c>
      <c r="I1260" s="1" t="s">
        <v>16</v>
      </c>
      <c r="J1260" s="1">
        <v>3.8E7</v>
      </c>
      <c r="K1260" s="1">
        <v>2002.0</v>
      </c>
      <c r="L1260" s="1">
        <v>6.1</v>
      </c>
      <c r="O1260" s="3"/>
      <c r="S1260" s="4"/>
    </row>
    <row r="1261" ht="14.25" customHeight="1">
      <c r="A1261" s="1" t="s">
        <v>1265</v>
      </c>
      <c r="B1261" s="1">
        <v>96.0</v>
      </c>
      <c r="C1261" s="1">
        <v>8.8915214E7</v>
      </c>
      <c r="D1261" s="1" t="s">
        <v>699</v>
      </c>
      <c r="E1261" s="1" t="s">
        <v>275</v>
      </c>
      <c r="F1261" s="1" t="s">
        <v>2774</v>
      </c>
      <c r="G1261" s="1">
        <v>163665.0</v>
      </c>
      <c r="H1261" s="1">
        <v>169.0</v>
      </c>
      <c r="I1261" s="1" t="s">
        <v>16</v>
      </c>
      <c r="J1261" s="1">
        <v>3.8E7</v>
      </c>
      <c r="K1261" s="1">
        <v>2009.0</v>
      </c>
      <c r="L1261" s="1">
        <v>6.5</v>
      </c>
      <c r="O1261" s="3"/>
      <c r="S1261" s="4"/>
    </row>
    <row r="1262" ht="14.25" customHeight="1">
      <c r="A1262" s="1" t="s">
        <v>2775</v>
      </c>
      <c r="B1262" s="1">
        <v>93.0</v>
      </c>
      <c r="C1262" s="1">
        <v>3.04E7</v>
      </c>
      <c r="D1262" s="1" t="s">
        <v>828</v>
      </c>
      <c r="E1262" s="1" t="s">
        <v>2776</v>
      </c>
      <c r="F1262" s="1" t="s">
        <v>2777</v>
      </c>
      <c r="G1262" s="1">
        <v>17810.0</v>
      </c>
      <c r="H1262" s="1">
        <v>73.0</v>
      </c>
      <c r="I1262" s="1" t="s">
        <v>16</v>
      </c>
      <c r="J1262" s="1">
        <v>3.9E7</v>
      </c>
      <c r="K1262" s="1">
        <v>1996.0</v>
      </c>
      <c r="L1262" s="1">
        <v>5.7</v>
      </c>
      <c r="O1262" s="3"/>
      <c r="S1262" s="4"/>
    </row>
    <row r="1263" ht="14.25" customHeight="1">
      <c r="A1263" s="1" t="s">
        <v>1980</v>
      </c>
      <c r="B1263" s="1">
        <v>100.0</v>
      </c>
      <c r="C1263" s="1">
        <v>8.5570368E7</v>
      </c>
      <c r="D1263" s="1" t="s">
        <v>1242</v>
      </c>
      <c r="E1263" s="1" t="s">
        <v>119</v>
      </c>
      <c r="F1263" s="1" t="s">
        <v>2778</v>
      </c>
      <c r="G1263" s="1">
        <v>44885.0</v>
      </c>
      <c r="H1263" s="1">
        <v>107.0</v>
      </c>
      <c r="I1263" s="1" t="s">
        <v>16</v>
      </c>
      <c r="J1263" s="1">
        <v>3.8E7</v>
      </c>
      <c r="K1263" s="1">
        <v>2002.0</v>
      </c>
      <c r="L1263" s="1">
        <v>5.1</v>
      </c>
      <c r="O1263" s="3"/>
      <c r="S1263" s="4"/>
    </row>
    <row r="1264" ht="14.25" customHeight="1">
      <c r="A1264" s="1" t="s">
        <v>2779</v>
      </c>
      <c r="B1264" s="1">
        <v>118.0</v>
      </c>
      <c r="C1264" s="1">
        <v>7.5668868E7</v>
      </c>
      <c r="D1264" s="1" t="s">
        <v>663</v>
      </c>
      <c r="E1264" s="1" t="s">
        <v>1377</v>
      </c>
      <c r="F1264" s="1" t="s">
        <v>2780</v>
      </c>
      <c r="G1264" s="1">
        <v>60504.0</v>
      </c>
      <c r="H1264" s="1">
        <v>249.0</v>
      </c>
      <c r="I1264" s="1" t="s">
        <v>16</v>
      </c>
      <c r="J1264" s="1">
        <v>3.5E7</v>
      </c>
      <c r="K1264" s="1">
        <v>1994.0</v>
      </c>
      <c r="L1264" s="1">
        <v>6.6</v>
      </c>
      <c r="O1264" s="3"/>
      <c r="S1264" s="4"/>
    </row>
    <row r="1265" ht="14.25" customHeight="1">
      <c r="A1265" s="1" t="s">
        <v>2781</v>
      </c>
      <c r="B1265" s="1">
        <v>122.0</v>
      </c>
      <c r="C1265" s="1">
        <v>6594136.0</v>
      </c>
      <c r="D1265" s="1" t="s">
        <v>2782</v>
      </c>
      <c r="E1265" s="1" t="s">
        <v>2783</v>
      </c>
      <c r="F1265" s="1" t="s">
        <v>2784</v>
      </c>
      <c r="G1265" s="1">
        <v>24557.0</v>
      </c>
      <c r="H1265" s="1">
        <v>111.0</v>
      </c>
      <c r="I1265" s="1" t="s">
        <v>816</v>
      </c>
      <c r="J1265" s="1">
        <v>3.86E7</v>
      </c>
      <c r="K1265" s="1">
        <v>2013.0</v>
      </c>
      <c r="L1265" s="1">
        <v>6.5</v>
      </c>
      <c r="O1265" s="3"/>
      <c r="S1265" s="4"/>
    </row>
    <row r="1266" ht="14.25" customHeight="1">
      <c r="A1266" s="1" t="s">
        <v>297</v>
      </c>
      <c r="B1266" s="1">
        <v>120.0</v>
      </c>
      <c r="C1266" s="1">
        <v>5.8700247E7</v>
      </c>
      <c r="D1266" s="1" t="s">
        <v>92</v>
      </c>
      <c r="E1266" s="1" t="s">
        <v>328</v>
      </c>
      <c r="F1266" s="1" t="s">
        <v>2785</v>
      </c>
      <c r="G1266" s="1">
        <v>95367.0</v>
      </c>
      <c r="H1266" s="1">
        <v>260.0</v>
      </c>
      <c r="I1266" s="1" t="s">
        <v>16</v>
      </c>
      <c r="J1266" s="1">
        <v>3.8E7</v>
      </c>
      <c r="K1266" s="1">
        <v>2011.0</v>
      </c>
      <c r="L1266" s="1">
        <v>6.9</v>
      </c>
      <c r="O1266" s="3"/>
      <c r="S1266" s="4"/>
    </row>
    <row r="1267" ht="14.25" customHeight="1">
      <c r="A1267" s="1" t="s">
        <v>2786</v>
      </c>
      <c r="B1267" s="1">
        <v>146.0</v>
      </c>
      <c r="C1267" s="1">
        <v>5.0668906E7</v>
      </c>
      <c r="D1267" s="1" t="s">
        <v>681</v>
      </c>
      <c r="E1267" s="1" t="s">
        <v>717</v>
      </c>
      <c r="F1267" s="1" t="s">
        <v>2787</v>
      </c>
      <c r="G1267" s="1">
        <v>76016.0</v>
      </c>
      <c r="H1267" s="1">
        <v>265.0</v>
      </c>
      <c r="I1267" s="1" t="s">
        <v>16</v>
      </c>
      <c r="J1267" s="1">
        <v>3.8E7</v>
      </c>
      <c r="K1267" s="1">
        <v>1999.0</v>
      </c>
      <c r="L1267" s="1">
        <v>7.6</v>
      </c>
      <c r="O1267" s="3"/>
      <c r="S1267" s="4"/>
    </row>
    <row r="1268" ht="14.25" customHeight="1">
      <c r="A1268" s="1" t="s">
        <v>316</v>
      </c>
      <c r="B1268" s="1">
        <v>115.0</v>
      </c>
      <c r="C1268" s="1">
        <v>3.9177215E7</v>
      </c>
      <c r="D1268" s="1" t="s">
        <v>901</v>
      </c>
      <c r="E1268" s="1" t="s">
        <v>2293</v>
      </c>
      <c r="F1268" s="1" t="s">
        <v>2788</v>
      </c>
      <c r="G1268" s="1">
        <v>30667.0</v>
      </c>
      <c r="H1268" s="1">
        <v>234.0</v>
      </c>
      <c r="I1268" s="1" t="s">
        <v>16</v>
      </c>
      <c r="J1268" s="1">
        <v>3.8E7</v>
      </c>
      <c r="K1268" s="1">
        <v>2002.0</v>
      </c>
      <c r="L1268" s="1">
        <v>5.6</v>
      </c>
      <c r="O1268" s="3"/>
      <c r="S1268" s="4"/>
    </row>
    <row r="1269" ht="14.25" customHeight="1">
      <c r="A1269" s="1" t="s">
        <v>2789</v>
      </c>
      <c r="B1269" s="1">
        <v>123.0</v>
      </c>
      <c r="C1269" s="1">
        <v>4.0334024E7</v>
      </c>
      <c r="D1269" s="1" t="s">
        <v>1737</v>
      </c>
      <c r="E1269" s="1" t="s">
        <v>2790</v>
      </c>
      <c r="F1269" s="1" t="s">
        <v>2791</v>
      </c>
      <c r="G1269" s="1">
        <v>44168.0</v>
      </c>
      <c r="H1269" s="1">
        <v>216.0</v>
      </c>
      <c r="I1269" s="1" t="s">
        <v>16</v>
      </c>
      <c r="J1269" s="1">
        <v>3.5E7</v>
      </c>
      <c r="K1269" s="1">
        <v>2001.0</v>
      </c>
      <c r="L1269" s="1">
        <v>6.2</v>
      </c>
      <c r="O1269" s="3"/>
      <c r="S1269" s="4"/>
    </row>
    <row r="1270" ht="14.25" customHeight="1">
      <c r="A1270" s="1" t="s">
        <v>2068</v>
      </c>
      <c r="B1270" s="1">
        <v>94.0</v>
      </c>
      <c r="C1270" s="1">
        <v>7.103819E7</v>
      </c>
      <c r="D1270" s="1" t="s">
        <v>728</v>
      </c>
      <c r="E1270" s="1" t="s">
        <v>2792</v>
      </c>
      <c r="F1270" s="1" t="s">
        <v>2793</v>
      </c>
      <c r="G1270" s="1">
        <v>23473.0</v>
      </c>
      <c r="H1270" s="1">
        <v>123.0</v>
      </c>
      <c r="I1270" s="1" t="s">
        <v>16</v>
      </c>
      <c r="J1270" s="1">
        <v>3.0E7</v>
      </c>
      <c r="K1270" s="1">
        <v>2015.0</v>
      </c>
      <c r="L1270" s="1">
        <v>4.4</v>
      </c>
      <c r="O1270" s="3"/>
      <c r="S1270" s="4"/>
    </row>
    <row r="1271" ht="14.25" customHeight="1">
      <c r="A1271" s="1" t="s">
        <v>2794</v>
      </c>
      <c r="B1271" s="1">
        <v>102.0</v>
      </c>
      <c r="C1271" s="1">
        <v>2.4044532E7</v>
      </c>
      <c r="D1271" s="1" t="s">
        <v>92</v>
      </c>
      <c r="E1271" s="1" t="s">
        <v>2795</v>
      </c>
      <c r="F1271" s="1" t="s">
        <v>2796</v>
      </c>
      <c r="G1271" s="1">
        <v>19686.0</v>
      </c>
      <c r="H1271" s="1">
        <v>180.0</v>
      </c>
      <c r="I1271" s="1" t="s">
        <v>16</v>
      </c>
      <c r="J1271" s="1">
        <v>3.8E7</v>
      </c>
      <c r="K1271" s="1">
        <v>2001.0</v>
      </c>
      <c r="L1271" s="1">
        <v>5.6</v>
      </c>
      <c r="O1271" s="3"/>
      <c r="S1271" s="4"/>
    </row>
    <row r="1272" ht="14.25" customHeight="1">
      <c r="A1272" s="1" t="s">
        <v>1712</v>
      </c>
      <c r="B1272" s="1">
        <v>98.0</v>
      </c>
      <c r="C1272" s="1">
        <v>2.2770864E7</v>
      </c>
      <c r="D1272" s="1" t="s">
        <v>1059</v>
      </c>
      <c r="E1272" s="1" t="s">
        <v>1670</v>
      </c>
      <c r="F1272" s="1" t="s">
        <v>2797</v>
      </c>
      <c r="G1272" s="1">
        <v>8433.0</v>
      </c>
      <c r="H1272" s="1">
        <v>85.0</v>
      </c>
      <c r="I1272" s="1" t="s">
        <v>16</v>
      </c>
      <c r="J1272" s="1">
        <v>3.8E7</v>
      </c>
      <c r="K1272" s="1">
        <v>2001.0</v>
      </c>
      <c r="L1272" s="1">
        <v>5.5</v>
      </c>
      <c r="O1272" s="3"/>
      <c r="S1272" s="4"/>
    </row>
    <row r="1273" ht="14.25" customHeight="1">
      <c r="A1273" s="1" t="s">
        <v>1550</v>
      </c>
      <c r="B1273" s="1">
        <v>133.0</v>
      </c>
      <c r="C1273" s="1">
        <v>1.8653746E7</v>
      </c>
      <c r="D1273" s="1" t="s">
        <v>362</v>
      </c>
      <c r="E1273" s="1" t="s">
        <v>19</v>
      </c>
      <c r="F1273" s="1" t="s">
        <v>2798</v>
      </c>
      <c r="G1273" s="1">
        <v>137722.0</v>
      </c>
      <c r="H1273" s="1">
        <v>638.0</v>
      </c>
      <c r="I1273" s="1" t="s">
        <v>16</v>
      </c>
      <c r="J1273" s="1">
        <v>3.8E7</v>
      </c>
      <c r="K1273" s="1">
        <v>1999.0</v>
      </c>
      <c r="L1273" s="1">
        <v>6.7</v>
      </c>
      <c r="O1273" s="3"/>
      <c r="S1273" s="4"/>
    </row>
    <row r="1274" ht="14.25" customHeight="1">
      <c r="A1274" s="1" t="s">
        <v>316</v>
      </c>
      <c r="B1274" s="1">
        <v>118.0</v>
      </c>
      <c r="C1274" s="1">
        <v>1.7305211E7</v>
      </c>
      <c r="D1274" s="1" t="s">
        <v>909</v>
      </c>
      <c r="E1274" s="1" t="s">
        <v>35</v>
      </c>
      <c r="F1274" s="1" t="s">
        <v>2799</v>
      </c>
      <c r="G1274" s="1">
        <v>14066.0</v>
      </c>
      <c r="H1274" s="1">
        <v>75.0</v>
      </c>
      <c r="I1274" s="1" t="s">
        <v>16</v>
      </c>
      <c r="J1274" s="1">
        <v>3.8E7</v>
      </c>
      <c r="K1274" s="1">
        <v>1996.0</v>
      </c>
      <c r="L1274" s="1">
        <v>6.1</v>
      </c>
      <c r="O1274" s="3"/>
      <c r="S1274" s="4"/>
    </row>
    <row r="1275" ht="14.25" customHeight="1">
      <c r="A1275" s="1" t="s">
        <v>1809</v>
      </c>
      <c r="B1275" s="1">
        <v>105.0</v>
      </c>
      <c r="C1275" s="1">
        <v>1.6991902E7</v>
      </c>
      <c r="D1275" s="1" t="s">
        <v>2466</v>
      </c>
      <c r="E1275" s="1" t="s">
        <v>2800</v>
      </c>
      <c r="F1275" s="1" t="s">
        <v>2801</v>
      </c>
      <c r="G1275" s="1">
        <v>34592.0</v>
      </c>
      <c r="H1275" s="1">
        <v>191.0</v>
      </c>
      <c r="I1275" s="1" t="s">
        <v>16</v>
      </c>
      <c r="J1275" s="1">
        <v>5.7E7</v>
      </c>
      <c r="K1275" s="1">
        <v>2001.0</v>
      </c>
      <c r="L1275" s="1">
        <v>6.2</v>
      </c>
      <c r="O1275" s="3"/>
      <c r="S1275" s="4"/>
    </row>
    <row r="1276" ht="14.25" customHeight="1">
      <c r="A1276" s="1" t="s">
        <v>2802</v>
      </c>
      <c r="B1276" s="1">
        <v>109.0</v>
      </c>
      <c r="C1276" s="1">
        <v>4.7536959E7</v>
      </c>
      <c r="D1276" s="1" t="s">
        <v>1391</v>
      </c>
      <c r="E1276" s="1" t="s">
        <v>2803</v>
      </c>
      <c r="F1276" s="1" t="s">
        <v>2804</v>
      </c>
      <c r="G1276" s="1">
        <v>86955.0</v>
      </c>
      <c r="H1276" s="1">
        <v>275.0</v>
      </c>
      <c r="I1276" s="1" t="s">
        <v>16</v>
      </c>
      <c r="J1276" s="1">
        <v>1.0E7</v>
      </c>
      <c r="K1276" s="1">
        <v>2009.0</v>
      </c>
      <c r="L1276" s="1">
        <v>7.3</v>
      </c>
      <c r="O1276" s="3"/>
      <c r="S1276" s="4"/>
    </row>
    <row r="1277" ht="14.25" customHeight="1">
      <c r="A1277" s="1" t="s">
        <v>80</v>
      </c>
      <c r="B1277" s="1">
        <v>129.0</v>
      </c>
      <c r="C1277" s="1">
        <v>1.03E7</v>
      </c>
      <c r="D1277" s="1" t="s">
        <v>2805</v>
      </c>
      <c r="E1277" s="1" t="s">
        <v>130</v>
      </c>
      <c r="F1277" s="1" t="s">
        <v>2806</v>
      </c>
      <c r="G1277" s="1">
        <v>17859.0</v>
      </c>
      <c r="H1277" s="1">
        <v>89.0</v>
      </c>
      <c r="I1277" s="1" t="s">
        <v>16</v>
      </c>
      <c r="J1277" s="1">
        <v>3.8E7</v>
      </c>
      <c r="K1277" s="1">
        <v>1996.0</v>
      </c>
      <c r="L1277" s="1">
        <v>6.6</v>
      </c>
      <c r="O1277" s="3"/>
      <c r="S1277" s="4"/>
    </row>
    <row r="1278" ht="14.25" customHeight="1">
      <c r="A1278" s="1" t="s">
        <v>2158</v>
      </c>
      <c r="B1278" s="1">
        <v>109.0</v>
      </c>
      <c r="C1278" s="1">
        <v>1.3782838E7</v>
      </c>
      <c r="D1278" s="1" t="s">
        <v>2807</v>
      </c>
      <c r="E1278" s="1" t="s">
        <v>2808</v>
      </c>
      <c r="F1278" s="1" t="s">
        <v>2809</v>
      </c>
      <c r="G1278" s="1">
        <v>258078.0</v>
      </c>
      <c r="H1278" s="1">
        <v>911.0</v>
      </c>
      <c r="I1278" s="1" t="s">
        <v>16</v>
      </c>
      <c r="J1278" s="1">
        <v>1.5E7</v>
      </c>
      <c r="K1278" s="1">
        <v>1982.0</v>
      </c>
      <c r="L1278" s="1">
        <v>8.2</v>
      </c>
      <c r="O1278" s="3"/>
      <c r="S1278" s="4"/>
    </row>
    <row r="1279" ht="14.25" customHeight="1">
      <c r="A1279" s="1" t="s">
        <v>583</v>
      </c>
      <c r="B1279" s="1">
        <v>127.0</v>
      </c>
      <c r="C1279" s="1">
        <v>4.199779E7</v>
      </c>
      <c r="D1279" s="1" t="s">
        <v>1154</v>
      </c>
      <c r="E1279" s="1" t="s">
        <v>584</v>
      </c>
      <c r="F1279" s="1" t="s">
        <v>2810</v>
      </c>
      <c r="G1279" s="1">
        <v>125305.0</v>
      </c>
      <c r="H1279" s="1">
        <v>343.0</v>
      </c>
      <c r="I1279" s="1" t="s">
        <v>16</v>
      </c>
      <c r="J1279" s="1">
        <v>3.8E7</v>
      </c>
      <c r="K1279" s="1">
        <v>2013.0</v>
      </c>
      <c r="L1279" s="1">
        <v>6.4</v>
      </c>
      <c r="O1279" s="3"/>
      <c r="S1279" s="4"/>
    </row>
    <row r="1280" ht="14.25" customHeight="1">
      <c r="A1280" s="1" t="s">
        <v>2811</v>
      </c>
      <c r="B1280" s="1">
        <v>118.0</v>
      </c>
      <c r="C1280" s="1">
        <v>6482195.0</v>
      </c>
      <c r="D1280" s="1" t="s">
        <v>938</v>
      </c>
      <c r="E1280" s="1" t="s">
        <v>2812</v>
      </c>
      <c r="F1280" s="1" t="s">
        <v>2813</v>
      </c>
      <c r="G1280" s="1">
        <v>9740.0</v>
      </c>
      <c r="H1280" s="1">
        <v>81.0</v>
      </c>
      <c r="I1280" s="1" t="s">
        <v>16</v>
      </c>
      <c r="J1280" s="1">
        <v>3.7E7</v>
      </c>
      <c r="K1280" s="1">
        <v>1997.0</v>
      </c>
      <c r="L1280" s="1">
        <v>6.4</v>
      </c>
      <c r="O1280" s="3"/>
      <c r="S1280" s="4"/>
    </row>
    <row r="1281" ht="14.25" customHeight="1">
      <c r="A1281" s="1" t="s">
        <v>2814</v>
      </c>
      <c r="B1281" s="1">
        <v>110.0</v>
      </c>
      <c r="C1281" s="1">
        <v>623374.0</v>
      </c>
      <c r="D1281" s="1" t="s">
        <v>2815</v>
      </c>
      <c r="E1281" s="1" t="s">
        <v>2816</v>
      </c>
      <c r="F1281" s="1" t="s">
        <v>2817</v>
      </c>
      <c r="G1281" s="1">
        <v>4757.0</v>
      </c>
      <c r="H1281" s="1">
        <v>67.0</v>
      </c>
      <c r="I1281" s="1" t="s">
        <v>16</v>
      </c>
      <c r="J1281" s="1">
        <v>3.8E7</v>
      </c>
      <c r="K1281" s="1">
        <v>2001.0</v>
      </c>
      <c r="L1281" s="1">
        <v>5.2</v>
      </c>
      <c r="O1281" s="3"/>
      <c r="S1281" s="4"/>
    </row>
    <row r="1282" ht="14.25" customHeight="1">
      <c r="A1282" s="1" t="s">
        <v>1271</v>
      </c>
      <c r="B1282" s="1">
        <v>90.0</v>
      </c>
      <c r="C1282" s="1">
        <v>7871693.0</v>
      </c>
      <c r="D1282" s="1" t="s">
        <v>2818</v>
      </c>
      <c r="E1282" s="1" t="s">
        <v>899</v>
      </c>
      <c r="F1282" s="1" t="s">
        <v>2819</v>
      </c>
      <c r="G1282" s="1">
        <v>52908.0</v>
      </c>
      <c r="H1282" s="1">
        <v>102.0</v>
      </c>
      <c r="I1282" s="1" t="s">
        <v>16</v>
      </c>
      <c r="J1282" s="1">
        <v>5.5E7</v>
      </c>
      <c r="K1282" s="1">
        <v>2008.0</v>
      </c>
      <c r="L1282" s="1">
        <v>6.5</v>
      </c>
      <c r="O1282" s="3"/>
      <c r="S1282" s="4"/>
    </row>
    <row r="1283" ht="14.25" customHeight="1">
      <c r="A1283" s="1" t="s">
        <v>2820</v>
      </c>
      <c r="B1283" s="1">
        <v>144.0</v>
      </c>
      <c r="C1283" s="1">
        <v>1.6377274E7</v>
      </c>
      <c r="D1283" s="1" t="s">
        <v>1391</v>
      </c>
      <c r="E1283" s="1" t="s">
        <v>2821</v>
      </c>
      <c r="F1283" s="1" t="s">
        <v>2822</v>
      </c>
      <c r="G1283" s="1">
        <v>105144.0</v>
      </c>
      <c r="H1283" s="1">
        <v>405.0</v>
      </c>
      <c r="I1283" s="1" t="s">
        <v>16</v>
      </c>
      <c r="J1283" s="1">
        <v>3.2E7</v>
      </c>
      <c r="K1283" s="1">
        <v>2012.0</v>
      </c>
      <c r="L1283" s="1">
        <v>7.1</v>
      </c>
      <c r="O1283" s="3"/>
      <c r="S1283" s="4"/>
    </row>
    <row r="1284" ht="14.25" customHeight="1">
      <c r="A1284" s="1" t="s">
        <v>2081</v>
      </c>
      <c r="B1284" s="1">
        <v>130.0</v>
      </c>
      <c r="C1284" s="1">
        <v>9589875.0</v>
      </c>
      <c r="D1284" s="1" t="s">
        <v>681</v>
      </c>
      <c r="E1284" s="1" t="s">
        <v>870</v>
      </c>
      <c r="F1284" s="1" t="s">
        <v>2823</v>
      </c>
      <c r="G1284" s="1">
        <v>16673.0</v>
      </c>
      <c r="H1284" s="1">
        <v>45.0</v>
      </c>
      <c r="I1284" s="1" t="s">
        <v>16</v>
      </c>
      <c r="J1284" s="1">
        <v>4.0E7</v>
      </c>
      <c r="K1284" s="1">
        <v>2008.0</v>
      </c>
      <c r="L1284" s="1">
        <v>7.3</v>
      </c>
      <c r="O1284" s="3"/>
      <c r="S1284" s="4"/>
    </row>
    <row r="1285" ht="14.25" customHeight="1">
      <c r="A1285" s="1" t="s">
        <v>2824</v>
      </c>
      <c r="B1285" s="1">
        <v>112.0</v>
      </c>
      <c r="C1285" s="1">
        <v>3.4912982E7</v>
      </c>
      <c r="D1285" s="1" t="s">
        <v>99</v>
      </c>
      <c r="E1285" s="1" t="s">
        <v>210</v>
      </c>
      <c r="F1285" s="1" t="s">
        <v>2825</v>
      </c>
      <c r="G1285" s="1">
        <v>55617.0</v>
      </c>
      <c r="H1285" s="1">
        <v>266.0</v>
      </c>
      <c r="I1285" s="1" t="s">
        <v>16</v>
      </c>
      <c r="J1285" s="1">
        <v>3.8E7</v>
      </c>
      <c r="K1285" s="1">
        <v>2016.0</v>
      </c>
      <c r="L1285" s="1">
        <v>5.2</v>
      </c>
      <c r="O1285" s="3"/>
      <c r="S1285" s="4"/>
    </row>
    <row r="1286" ht="14.25" customHeight="1">
      <c r="A1286" s="1" t="s">
        <v>2826</v>
      </c>
      <c r="B1286" s="1">
        <v>133.0</v>
      </c>
      <c r="C1286" s="1">
        <v>1.09712885E8</v>
      </c>
      <c r="D1286" s="1" t="s">
        <v>1540</v>
      </c>
      <c r="E1286" s="1" t="s">
        <v>1061</v>
      </c>
      <c r="F1286" s="1" t="s">
        <v>2827</v>
      </c>
      <c r="G1286" s="1">
        <v>146708.0</v>
      </c>
      <c r="H1286" s="1">
        <v>362.0</v>
      </c>
      <c r="I1286" s="1" t="s">
        <v>16</v>
      </c>
      <c r="J1286" s="1">
        <v>3.5E7</v>
      </c>
      <c r="K1286" s="1">
        <v>2015.0</v>
      </c>
      <c r="L1286" s="1">
        <v>7.7</v>
      </c>
      <c r="O1286" s="3"/>
      <c r="S1286" s="4"/>
    </row>
    <row r="1287" ht="14.25" customHeight="1">
      <c r="A1287" s="1" t="s">
        <v>2388</v>
      </c>
      <c r="B1287" s="1">
        <v>150.0</v>
      </c>
      <c r="C1287" s="1">
        <v>9.2173235E7</v>
      </c>
      <c r="D1287" s="1" t="s">
        <v>901</v>
      </c>
      <c r="E1287" s="1" t="s">
        <v>550</v>
      </c>
      <c r="F1287" s="1" t="s">
        <v>2828</v>
      </c>
      <c r="G1287" s="1">
        <v>280228.0</v>
      </c>
      <c r="H1287" s="1">
        <v>420.0</v>
      </c>
      <c r="I1287" s="1" t="s">
        <v>16</v>
      </c>
      <c r="J1287" s="1">
        <v>3.7E7</v>
      </c>
      <c r="K1287" s="1">
        <v>2010.0</v>
      </c>
      <c r="L1287" s="1">
        <v>7.6</v>
      </c>
      <c r="O1287" s="3"/>
      <c r="S1287" s="4"/>
    </row>
    <row r="1288" ht="14.25" customHeight="1">
      <c r="A1288" s="1" t="s">
        <v>2829</v>
      </c>
      <c r="B1288" s="1">
        <v>110.0</v>
      </c>
      <c r="C1288" s="1">
        <v>4.1102171E7</v>
      </c>
      <c r="D1288" s="1" t="s">
        <v>593</v>
      </c>
      <c r="E1288" s="1" t="s">
        <v>1032</v>
      </c>
      <c r="F1288" s="1" t="s">
        <v>2830</v>
      </c>
      <c r="G1288" s="1">
        <v>57266.0</v>
      </c>
      <c r="H1288" s="1">
        <v>89.0</v>
      </c>
      <c r="I1288" s="1" t="s">
        <v>16</v>
      </c>
      <c r="J1288" s="1">
        <v>4.0E7</v>
      </c>
      <c r="K1288" s="1">
        <v>2012.0</v>
      </c>
      <c r="L1288" s="1">
        <v>5.7</v>
      </c>
      <c r="O1288" s="3"/>
      <c r="S1288" s="4"/>
    </row>
    <row r="1289" ht="14.25" customHeight="1">
      <c r="A1289" s="1" t="s">
        <v>2831</v>
      </c>
      <c r="B1289" s="1">
        <v>96.0</v>
      </c>
      <c r="C1289" s="1">
        <v>6.0338891E7</v>
      </c>
      <c r="D1289" s="1" t="s">
        <v>1059</v>
      </c>
      <c r="E1289" s="1" t="s">
        <v>35</v>
      </c>
      <c r="F1289" s="1" t="s">
        <v>2832</v>
      </c>
      <c r="G1289" s="1">
        <v>248468.0</v>
      </c>
      <c r="H1289" s="1">
        <v>545.0</v>
      </c>
      <c r="I1289" s="1" t="s">
        <v>16</v>
      </c>
      <c r="J1289" s="1">
        <v>3.7E7</v>
      </c>
      <c r="K1289" s="1">
        <v>2008.0</v>
      </c>
      <c r="L1289" s="1">
        <v>7.0</v>
      </c>
      <c r="O1289" s="3"/>
      <c r="S1289" s="4"/>
    </row>
    <row r="1290" ht="14.25" customHeight="1">
      <c r="A1290" s="1" t="s">
        <v>2833</v>
      </c>
      <c r="B1290" s="1">
        <v>96.0</v>
      </c>
      <c r="C1290" s="1">
        <v>4.8006503E7</v>
      </c>
      <c r="D1290" s="1" t="s">
        <v>335</v>
      </c>
      <c r="E1290" s="1" t="s">
        <v>275</v>
      </c>
      <c r="F1290" s="1" t="s">
        <v>2834</v>
      </c>
      <c r="G1290" s="1">
        <v>28109.0</v>
      </c>
      <c r="H1290" s="1">
        <v>110.0</v>
      </c>
      <c r="I1290" s="1" t="s">
        <v>16</v>
      </c>
      <c r="J1290" s="1">
        <v>3.7E7</v>
      </c>
      <c r="K1290" s="1">
        <v>2008.0</v>
      </c>
      <c r="L1290" s="1">
        <v>6.0</v>
      </c>
      <c r="O1290" s="3"/>
      <c r="S1290" s="4"/>
    </row>
    <row r="1291" ht="14.25" customHeight="1">
      <c r="A1291" s="1" t="s">
        <v>361</v>
      </c>
      <c r="B1291" s="1">
        <v>123.0</v>
      </c>
      <c r="C1291" s="1">
        <v>2.6903709E7</v>
      </c>
      <c r="D1291" s="1" t="s">
        <v>2835</v>
      </c>
      <c r="E1291" s="1" t="s">
        <v>42</v>
      </c>
      <c r="F1291" s="1" t="s">
        <v>2836</v>
      </c>
      <c r="G1291" s="1">
        <v>312629.0</v>
      </c>
      <c r="H1291" s="1">
        <v>475.0</v>
      </c>
      <c r="I1291" s="1" t="s">
        <v>16</v>
      </c>
      <c r="J1291" s="1">
        <v>3.8E7</v>
      </c>
      <c r="K1291" s="1">
        <v>2013.0</v>
      </c>
      <c r="L1291" s="1">
        <v>8.1</v>
      </c>
      <c r="O1291" s="3"/>
      <c r="S1291" s="4"/>
    </row>
    <row r="1292" ht="14.25" customHeight="1">
      <c r="A1292" s="1" t="s">
        <v>2820</v>
      </c>
      <c r="B1292" s="1">
        <v>188.0</v>
      </c>
      <c r="C1292" s="1">
        <v>2.2450975E7</v>
      </c>
      <c r="D1292" s="1" t="s">
        <v>1391</v>
      </c>
      <c r="E1292" s="1" t="s">
        <v>2837</v>
      </c>
      <c r="F1292" s="1" t="s">
        <v>2838</v>
      </c>
      <c r="G1292" s="1">
        <v>241030.0</v>
      </c>
      <c r="H1292" s="1">
        <v>1437.0</v>
      </c>
      <c r="I1292" s="1" t="s">
        <v>16</v>
      </c>
      <c r="J1292" s="1">
        <v>3.7E7</v>
      </c>
      <c r="K1292" s="1">
        <v>1999.0</v>
      </c>
      <c r="L1292" s="1">
        <v>8.0</v>
      </c>
      <c r="O1292" s="3"/>
      <c r="S1292" s="4"/>
    </row>
    <row r="1293" ht="14.25" customHeight="1">
      <c r="A1293" s="1" t="s">
        <v>2839</v>
      </c>
      <c r="B1293" s="1">
        <v>107.0</v>
      </c>
      <c r="C1293" s="1">
        <v>4.4867349E7</v>
      </c>
      <c r="D1293" s="1" t="s">
        <v>728</v>
      </c>
      <c r="E1293" s="1" t="s">
        <v>415</v>
      </c>
      <c r="F1293" s="1" t="s">
        <v>2840</v>
      </c>
      <c r="G1293" s="1">
        <v>75347.0</v>
      </c>
      <c r="H1293" s="1">
        <v>176.0</v>
      </c>
      <c r="I1293" s="1" t="s">
        <v>16</v>
      </c>
      <c r="J1293" s="1">
        <v>3.7E7</v>
      </c>
      <c r="K1293" s="1">
        <v>2010.0</v>
      </c>
      <c r="L1293" s="1">
        <v>5.6</v>
      </c>
      <c r="O1293" s="3"/>
      <c r="S1293" s="4"/>
    </row>
    <row r="1294" ht="14.25" customHeight="1">
      <c r="A1294" s="1" t="s">
        <v>2841</v>
      </c>
      <c r="B1294" s="1">
        <v>110.0</v>
      </c>
      <c r="C1294" s="1">
        <v>4.6813366E7</v>
      </c>
      <c r="D1294" s="1" t="s">
        <v>699</v>
      </c>
      <c r="E1294" s="1" t="s">
        <v>2612</v>
      </c>
      <c r="F1294" s="1" t="s">
        <v>2842</v>
      </c>
      <c r="G1294" s="1">
        <v>39440.0</v>
      </c>
      <c r="H1294" s="1">
        <v>83.0</v>
      </c>
      <c r="I1294" s="1" t="s">
        <v>16</v>
      </c>
      <c r="J1294" s="1">
        <v>3.8E7</v>
      </c>
      <c r="K1294" s="1">
        <v>2016.0</v>
      </c>
      <c r="L1294" s="1">
        <v>6.1</v>
      </c>
      <c r="O1294" s="3"/>
      <c r="S1294" s="4"/>
    </row>
    <row r="1295" ht="14.25" customHeight="1">
      <c r="A1295" s="1" t="s">
        <v>2843</v>
      </c>
      <c r="B1295" s="1">
        <v>113.0</v>
      </c>
      <c r="C1295" s="1">
        <v>7.227969E7</v>
      </c>
      <c r="D1295" s="1" t="s">
        <v>2844</v>
      </c>
      <c r="E1295" s="1" t="s">
        <v>600</v>
      </c>
      <c r="F1295" s="1" t="s">
        <v>2845</v>
      </c>
      <c r="G1295" s="1">
        <v>17948.0</v>
      </c>
      <c r="H1295" s="1">
        <v>86.0</v>
      </c>
      <c r="I1295" s="1" t="s">
        <v>16</v>
      </c>
      <c r="J1295" s="1">
        <v>3.7E7</v>
      </c>
      <c r="K1295" s="1">
        <v>2011.0</v>
      </c>
      <c r="L1295" s="1">
        <v>6.9</v>
      </c>
      <c r="O1295" s="3"/>
      <c r="S1295" s="4"/>
    </row>
    <row r="1296" ht="14.25" customHeight="1">
      <c r="A1296" s="1" t="s">
        <v>2447</v>
      </c>
      <c r="B1296" s="1">
        <v>122.0</v>
      </c>
      <c r="C1296" s="1">
        <v>1.91449475E8</v>
      </c>
      <c r="D1296" s="1" t="s">
        <v>292</v>
      </c>
      <c r="E1296" s="1" t="s">
        <v>1050</v>
      </c>
      <c r="F1296" s="1" t="s">
        <v>2846</v>
      </c>
      <c r="G1296" s="1">
        <v>348007.0</v>
      </c>
      <c r="H1296" s="1">
        <v>1535.0</v>
      </c>
      <c r="I1296" s="1" t="s">
        <v>16</v>
      </c>
      <c r="J1296" s="1">
        <v>3.7E7</v>
      </c>
      <c r="K1296" s="1">
        <v>2008.0</v>
      </c>
      <c r="L1296" s="1">
        <v>5.2</v>
      </c>
      <c r="O1296" s="3"/>
      <c r="S1296" s="4"/>
    </row>
    <row r="1297" ht="14.25" customHeight="1">
      <c r="A1297" s="1" t="s">
        <v>2549</v>
      </c>
      <c r="B1297" s="1">
        <v>116.0</v>
      </c>
      <c r="C1297" s="1">
        <v>7.1026631E7</v>
      </c>
      <c r="D1297" s="1" t="s">
        <v>901</v>
      </c>
      <c r="E1297" s="1" t="s">
        <v>717</v>
      </c>
      <c r="F1297" s="1" t="s">
        <v>2847</v>
      </c>
      <c r="G1297" s="1">
        <v>98899.0</v>
      </c>
      <c r="H1297" s="1">
        <v>394.0</v>
      </c>
      <c r="I1297" s="1" t="s">
        <v>16</v>
      </c>
      <c r="J1297" s="1">
        <v>3.6E7</v>
      </c>
      <c r="K1297" s="1">
        <v>2002.0</v>
      </c>
      <c r="L1297" s="1">
        <v>7.0</v>
      </c>
      <c r="O1297" s="3"/>
      <c r="S1297" s="4"/>
    </row>
    <row r="1298" ht="14.25" customHeight="1">
      <c r="A1298" s="1" t="s">
        <v>1100</v>
      </c>
      <c r="B1298" s="1">
        <v>93.0</v>
      </c>
      <c r="C1298" s="1">
        <v>6.820819E7</v>
      </c>
      <c r="D1298" s="1" t="s">
        <v>180</v>
      </c>
      <c r="E1298" s="1" t="s">
        <v>1691</v>
      </c>
      <c r="F1298" s="1" t="s">
        <v>2848</v>
      </c>
      <c r="G1298" s="1">
        <v>60572.0</v>
      </c>
      <c r="H1298" s="1">
        <v>144.0</v>
      </c>
      <c r="I1298" s="1" t="s">
        <v>16</v>
      </c>
      <c r="J1298" s="1">
        <v>6.5E7</v>
      </c>
      <c r="K1298" s="1">
        <v>1999.0</v>
      </c>
      <c r="L1298" s="1">
        <v>6.3</v>
      </c>
      <c r="O1298" s="3"/>
      <c r="S1298" s="4"/>
    </row>
    <row r="1299" ht="14.25" customHeight="1">
      <c r="A1299" s="1" t="s">
        <v>2042</v>
      </c>
      <c r="B1299" s="1">
        <v>118.0</v>
      </c>
      <c r="C1299" s="1">
        <v>1.50368971E8</v>
      </c>
      <c r="D1299" s="1" t="s">
        <v>427</v>
      </c>
      <c r="E1299" s="1" t="s">
        <v>2849</v>
      </c>
      <c r="F1299" s="1" t="s">
        <v>2850</v>
      </c>
      <c r="G1299" s="1">
        <v>316671.0</v>
      </c>
      <c r="H1299" s="1">
        <v>301.0</v>
      </c>
      <c r="I1299" s="1" t="s">
        <v>16</v>
      </c>
      <c r="J1299" s="1">
        <v>3.7E7</v>
      </c>
      <c r="K1299" s="1">
        <v>2013.0</v>
      </c>
      <c r="L1299" s="1">
        <v>7.0</v>
      </c>
      <c r="O1299" s="3"/>
      <c r="S1299" s="4"/>
    </row>
    <row r="1300" ht="14.25" customHeight="1">
      <c r="A1300" s="1" t="s">
        <v>277</v>
      </c>
      <c r="B1300" s="1">
        <v>93.0</v>
      </c>
      <c r="C1300" s="1">
        <v>5.0129186E7</v>
      </c>
      <c r="D1300" s="1" t="s">
        <v>998</v>
      </c>
      <c r="E1300" s="1" t="s">
        <v>2851</v>
      </c>
      <c r="F1300" s="1" t="s">
        <v>2852</v>
      </c>
      <c r="G1300" s="1">
        <v>38399.0</v>
      </c>
      <c r="H1300" s="1">
        <v>218.0</v>
      </c>
      <c r="I1300" s="1" t="s">
        <v>16</v>
      </c>
      <c r="J1300" s="1">
        <v>3.6E7</v>
      </c>
      <c r="K1300" s="1">
        <v>1997.0</v>
      </c>
      <c r="L1300" s="1">
        <v>6.9</v>
      </c>
      <c r="O1300" s="3"/>
      <c r="S1300" s="4"/>
    </row>
    <row r="1301" ht="14.25" customHeight="1">
      <c r="A1301" s="1" t="s">
        <v>2853</v>
      </c>
      <c r="B1301" s="1">
        <v>121.0</v>
      </c>
      <c r="C1301" s="1">
        <v>5.55E7</v>
      </c>
      <c r="D1301" s="1" t="s">
        <v>22</v>
      </c>
      <c r="E1301" s="1" t="s">
        <v>2854</v>
      </c>
      <c r="F1301" s="1" t="s">
        <v>2855</v>
      </c>
      <c r="G1301" s="1">
        <v>48636.0</v>
      </c>
      <c r="H1301" s="1">
        <v>214.0</v>
      </c>
      <c r="I1301" s="1" t="s">
        <v>16</v>
      </c>
      <c r="J1301" s="1">
        <v>3.6E7</v>
      </c>
      <c r="K1301" s="1">
        <v>1983.0</v>
      </c>
      <c r="L1301" s="1">
        <v>6.2</v>
      </c>
      <c r="O1301" s="3"/>
      <c r="S1301" s="4"/>
    </row>
    <row r="1302" ht="14.25" customHeight="1">
      <c r="A1302" s="1" t="s">
        <v>2856</v>
      </c>
      <c r="B1302" s="1">
        <v>101.0</v>
      </c>
      <c r="C1302" s="1">
        <v>5.0213619E7</v>
      </c>
      <c r="D1302" s="1" t="s">
        <v>2203</v>
      </c>
      <c r="E1302" s="1" t="s">
        <v>2857</v>
      </c>
      <c r="F1302" s="1" t="s">
        <v>2858</v>
      </c>
      <c r="G1302" s="1">
        <v>139184.0</v>
      </c>
      <c r="H1302" s="1">
        <v>243.0</v>
      </c>
      <c r="I1302" s="1" t="s">
        <v>16</v>
      </c>
      <c r="J1302" s="1">
        <v>3.6E7</v>
      </c>
      <c r="K1302" s="1">
        <v>2010.0</v>
      </c>
      <c r="L1302" s="1">
        <v>6.4</v>
      </c>
      <c r="O1302" s="3"/>
      <c r="S1302" s="4"/>
    </row>
    <row r="1303" ht="14.25" customHeight="1">
      <c r="A1303" s="1" t="s">
        <v>2843</v>
      </c>
      <c r="B1303" s="1">
        <v>107.0</v>
      </c>
      <c r="C1303" s="1">
        <v>4.2019483E7</v>
      </c>
      <c r="D1303" s="1" t="s">
        <v>2844</v>
      </c>
      <c r="E1303" s="1" t="s">
        <v>600</v>
      </c>
      <c r="F1303" s="1" t="s">
        <v>2859</v>
      </c>
      <c r="G1303" s="1">
        <v>6069.0</v>
      </c>
      <c r="H1303" s="1">
        <v>33.0</v>
      </c>
      <c r="I1303" s="1" t="s">
        <v>16</v>
      </c>
      <c r="J1303" s="1">
        <v>3.6E7</v>
      </c>
      <c r="K1303" s="1">
        <v>2014.0</v>
      </c>
      <c r="L1303" s="1">
        <v>6.4</v>
      </c>
      <c r="O1303" s="3"/>
      <c r="S1303" s="4"/>
    </row>
    <row r="1304" ht="14.25" customHeight="1">
      <c r="A1304" s="1" t="s">
        <v>1904</v>
      </c>
      <c r="B1304" s="1">
        <v>124.0</v>
      </c>
      <c r="C1304" s="1">
        <v>2.3360779E7</v>
      </c>
      <c r="D1304" s="1" t="s">
        <v>2860</v>
      </c>
      <c r="E1304" s="1" t="s">
        <v>1139</v>
      </c>
      <c r="F1304" s="1" t="s">
        <v>2861</v>
      </c>
      <c r="G1304" s="1">
        <v>31113.0</v>
      </c>
      <c r="H1304" s="1">
        <v>212.0</v>
      </c>
      <c r="I1304" s="1" t="s">
        <v>16</v>
      </c>
      <c r="J1304" s="1">
        <v>3.4E7</v>
      </c>
      <c r="K1304" s="1">
        <v>2000.0</v>
      </c>
      <c r="L1304" s="1">
        <v>5.7</v>
      </c>
      <c r="M1304" s="8" t="s">
        <v>2862</v>
      </c>
      <c r="O1304" s="3"/>
      <c r="S1304" s="4"/>
      <c r="AE1304" s="8" t="s">
        <v>2862</v>
      </c>
    </row>
    <row r="1305" ht="14.25" customHeight="1">
      <c r="A1305" s="1" t="s">
        <v>1258</v>
      </c>
      <c r="B1305" s="1">
        <v>109.0</v>
      </c>
      <c r="C1305" s="1">
        <v>2.6183197E7</v>
      </c>
      <c r="D1305" s="1" t="s">
        <v>197</v>
      </c>
      <c r="E1305" s="1" t="s">
        <v>584</v>
      </c>
      <c r="F1305" s="1" t="s">
        <v>2863</v>
      </c>
      <c r="G1305" s="1">
        <v>38348.0</v>
      </c>
      <c r="H1305" s="1">
        <v>135.0</v>
      </c>
      <c r="I1305" s="1" t="s">
        <v>16</v>
      </c>
      <c r="J1305" s="1">
        <v>3.6E7</v>
      </c>
      <c r="K1305" s="1">
        <v>2003.0</v>
      </c>
      <c r="L1305" s="1">
        <v>6.1</v>
      </c>
      <c r="O1305" s="3"/>
      <c r="S1305" s="4"/>
    </row>
    <row r="1306" ht="14.25" customHeight="1">
      <c r="A1306" s="1" t="s">
        <v>1364</v>
      </c>
      <c r="B1306" s="1">
        <v>105.0</v>
      </c>
      <c r="C1306" s="1">
        <v>2.0991497E7</v>
      </c>
      <c r="D1306" s="1" t="s">
        <v>593</v>
      </c>
      <c r="E1306" s="1" t="s">
        <v>78</v>
      </c>
      <c r="F1306" s="1" t="s">
        <v>2864</v>
      </c>
      <c r="G1306" s="1">
        <v>39778.0</v>
      </c>
      <c r="H1306" s="1">
        <v>172.0</v>
      </c>
      <c r="I1306" s="1" t="s">
        <v>16</v>
      </c>
      <c r="J1306" s="1">
        <v>3.7E7</v>
      </c>
      <c r="K1306" s="1">
        <v>2015.0</v>
      </c>
      <c r="L1306" s="1">
        <v>5.4</v>
      </c>
      <c r="O1306" s="3"/>
      <c r="S1306" s="4"/>
    </row>
    <row r="1307" ht="14.25" customHeight="1">
      <c r="A1307" s="1" t="s">
        <v>1580</v>
      </c>
      <c r="B1307" s="1">
        <v>130.0</v>
      </c>
      <c r="C1307" s="1">
        <v>1.3052741E7</v>
      </c>
      <c r="D1307" s="1" t="s">
        <v>2596</v>
      </c>
      <c r="E1307" s="1" t="s">
        <v>2351</v>
      </c>
      <c r="F1307" s="1" t="s">
        <v>2865</v>
      </c>
      <c r="G1307" s="1">
        <v>8531.0</v>
      </c>
      <c r="H1307" s="1">
        <v>57.0</v>
      </c>
      <c r="I1307" s="1" t="s">
        <v>16</v>
      </c>
      <c r="J1307" s="1">
        <v>3.6E7</v>
      </c>
      <c r="K1307" s="1">
        <v>1996.0</v>
      </c>
      <c r="L1307" s="1">
        <v>6.7</v>
      </c>
      <c r="O1307" s="3"/>
      <c r="S1307" s="4"/>
    </row>
    <row r="1308" ht="14.25" customHeight="1">
      <c r="A1308" s="1" t="s">
        <v>2866</v>
      </c>
      <c r="B1308" s="1">
        <v>127.0</v>
      </c>
      <c r="C1308" s="1">
        <v>1.4378353E7</v>
      </c>
      <c r="D1308" s="1" t="s">
        <v>1339</v>
      </c>
      <c r="E1308" s="1" t="s">
        <v>2867</v>
      </c>
      <c r="F1308" s="1" t="s">
        <v>2868</v>
      </c>
      <c r="G1308" s="1">
        <v>12375.0</v>
      </c>
      <c r="H1308" s="1">
        <v>194.0</v>
      </c>
      <c r="I1308" s="1" t="s">
        <v>16</v>
      </c>
      <c r="J1308" s="1">
        <v>3.6E7</v>
      </c>
      <c r="K1308" s="1">
        <v>1999.0</v>
      </c>
      <c r="L1308" s="1">
        <v>6.8</v>
      </c>
      <c r="O1308" s="3"/>
      <c r="S1308" s="4"/>
    </row>
    <row r="1309" ht="14.25" customHeight="1">
      <c r="A1309" s="1" t="s">
        <v>1440</v>
      </c>
      <c r="B1309" s="1">
        <v>114.0</v>
      </c>
      <c r="C1309" s="1">
        <v>3.3037754E7</v>
      </c>
      <c r="D1309" s="1" t="s">
        <v>2439</v>
      </c>
      <c r="E1309" s="1" t="s">
        <v>326</v>
      </c>
      <c r="F1309" s="1" t="s">
        <v>2869</v>
      </c>
      <c r="G1309" s="1">
        <v>75864.0</v>
      </c>
      <c r="H1309" s="1">
        <v>197.0</v>
      </c>
      <c r="I1309" s="1" t="s">
        <v>16</v>
      </c>
      <c r="J1309" s="1">
        <v>3.7E7</v>
      </c>
      <c r="K1309" s="1">
        <v>2011.0</v>
      </c>
      <c r="L1309" s="1">
        <v>6.0</v>
      </c>
      <c r="O1309" s="3"/>
      <c r="S1309" s="4"/>
    </row>
    <row r="1310" ht="14.25" customHeight="1">
      <c r="A1310" s="1" t="s">
        <v>2152</v>
      </c>
      <c r="B1310" s="1">
        <v>106.0</v>
      </c>
      <c r="C1310" s="1">
        <v>1.2339633E7</v>
      </c>
      <c r="D1310" s="1" t="s">
        <v>1112</v>
      </c>
      <c r="E1310" s="1" t="s">
        <v>2870</v>
      </c>
      <c r="F1310" s="1" t="s">
        <v>2871</v>
      </c>
      <c r="G1310" s="1">
        <v>220591.0</v>
      </c>
      <c r="H1310" s="1">
        <v>641.0</v>
      </c>
      <c r="I1310" s="1" t="s">
        <v>16</v>
      </c>
      <c r="J1310" s="1">
        <v>3.6E7</v>
      </c>
      <c r="K1310" s="1">
        <v>1997.0</v>
      </c>
      <c r="L1310" s="1">
        <v>7.8</v>
      </c>
      <c r="O1310" s="3"/>
      <c r="S1310" s="4"/>
    </row>
    <row r="1311" ht="14.25" customHeight="1">
      <c r="A1311" s="1" t="s">
        <v>2139</v>
      </c>
      <c r="B1311" s="1">
        <v>95.0</v>
      </c>
      <c r="C1311" s="1">
        <v>2954405.0</v>
      </c>
      <c r="D1311" s="1" t="s">
        <v>2872</v>
      </c>
      <c r="E1311" s="1" t="s">
        <v>2873</v>
      </c>
      <c r="F1311" s="1" t="s">
        <v>2874</v>
      </c>
      <c r="G1311" s="1">
        <v>1977.0</v>
      </c>
      <c r="H1311" s="1">
        <v>64.0</v>
      </c>
      <c r="I1311" s="1" t="s">
        <v>16</v>
      </c>
      <c r="J1311" s="1">
        <v>3.6E7</v>
      </c>
      <c r="K1311" s="1">
        <v>2000.0</v>
      </c>
      <c r="L1311" s="1">
        <v>5.3</v>
      </c>
      <c r="O1311" s="3"/>
      <c r="S1311" s="4"/>
    </row>
    <row r="1312" ht="14.25" customHeight="1">
      <c r="A1312" s="1" t="s">
        <v>609</v>
      </c>
      <c r="B1312" s="1">
        <v>81.0</v>
      </c>
      <c r="C1312" s="1">
        <v>3.0105968E7</v>
      </c>
      <c r="D1312" s="1" t="s">
        <v>267</v>
      </c>
      <c r="E1312" s="1" t="s">
        <v>2875</v>
      </c>
      <c r="F1312" s="1" t="s">
        <v>2876</v>
      </c>
      <c r="G1312" s="1">
        <v>8860.0</v>
      </c>
      <c r="H1312" s="1">
        <v>45.0</v>
      </c>
      <c r="I1312" s="1" t="s">
        <v>16</v>
      </c>
      <c r="J1312" s="1">
        <v>3.7E7</v>
      </c>
      <c r="K1312" s="1">
        <v>2008.0</v>
      </c>
      <c r="L1312" s="1">
        <v>4.5</v>
      </c>
      <c r="O1312" s="3"/>
      <c r="S1312" s="4"/>
    </row>
    <row r="1313" ht="14.25" customHeight="1">
      <c r="A1313" s="1" t="s">
        <v>2877</v>
      </c>
      <c r="B1313" s="1">
        <v>95.0</v>
      </c>
      <c r="C1313" s="1">
        <v>3.7788228E7</v>
      </c>
      <c r="D1313" s="1" t="s">
        <v>828</v>
      </c>
      <c r="E1313" s="1" t="s">
        <v>343</v>
      </c>
      <c r="F1313" s="1" t="s">
        <v>2878</v>
      </c>
      <c r="G1313" s="1">
        <v>15046.0</v>
      </c>
      <c r="H1313" s="1">
        <v>80.0</v>
      </c>
      <c r="I1313" s="1" t="s">
        <v>16</v>
      </c>
      <c r="J1313" s="1">
        <v>3.52E7</v>
      </c>
      <c r="K1313" s="1">
        <v>2003.0</v>
      </c>
      <c r="L1313" s="1">
        <v>5.4</v>
      </c>
      <c r="O1313" s="3"/>
      <c r="S1313" s="4"/>
    </row>
    <row r="1314" ht="14.25" customHeight="1">
      <c r="A1314" s="1" t="s">
        <v>1065</v>
      </c>
      <c r="B1314" s="1">
        <v>108.0</v>
      </c>
      <c r="C1314" s="1">
        <v>2.77313371E8</v>
      </c>
      <c r="D1314" s="1" t="s">
        <v>828</v>
      </c>
      <c r="E1314" s="1" t="s">
        <v>282</v>
      </c>
      <c r="F1314" s="1" t="s">
        <v>2879</v>
      </c>
      <c r="G1314" s="1">
        <v>583341.0</v>
      </c>
      <c r="H1314" s="1">
        <v>626.0</v>
      </c>
      <c r="I1314" s="1" t="s">
        <v>16</v>
      </c>
      <c r="J1314" s="1">
        <v>3.5E7</v>
      </c>
      <c r="K1314" s="1">
        <v>2009.0</v>
      </c>
      <c r="L1314" s="1">
        <v>7.8</v>
      </c>
      <c r="O1314" s="3"/>
      <c r="S1314" s="4"/>
    </row>
    <row r="1315" ht="14.25" customHeight="1">
      <c r="A1315" s="1" t="s">
        <v>2880</v>
      </c>
      <c r="B1315" s="1">
        <v>105.0</v>
      </c>
      <c r="C1315" s="1">
        <v>2126511.0</v>
      </c>
      <c r="D1315" s="1" t="s">
        <v>2881</v>
      </c>
      <c r="E1315" s="1" t="s">
        <v>2882</v>
      </c>
      <c r="F1315" s="1" t="s">
        <v>2883</v>
      </c>
      <c r="G1315" s="1">
        <v>21912.0</v>
      </c>
      <c r="H1315" s="1">
        <v>45.0</v>
      </c>
      <c r="I1315" s="1" t="s">
        <v>2884</v>
      </c>
      <c r="J1315" s="1">
        <v>3.6E7</v>
      </c>
      <c r="K1315" s="1">
        <v>2015.0</v>
      </c>
      <c r="L1315" s="1">
        <v>7.2</v>
      </c>
      <c r="O1315" s="3"/>
      <c r="S1315" s="4"/>
    </row>
    <row r="1316" ht="14.25" customHeight="1">
      <c r="A1316" s="1" t="s">
        <v>827</v>
      </c>
      <c r="B1316" s="1">
        <v>95.0</v>
      </c>
      <c r="C1316" s="1">
        <v>2.05399422E8</v>
      </c>
      <c r="D1316" s="1" t="s">
        <v>572</v>
      </c>
      <c r="E1316" s="1" t="s">
        <v>2147</v>
      </c>
      <c r="F1316" s="1" t="s">
        <v>2885</v>
      </c>
      <c r="G1316" s="1">
        <v>181225.0</v>
      </c>
      <c r="H1316" s="1">
        <v>784.0</v>
      </c>
      <c r="I1316" s="1" t="s">
        <v>16</v>
      </c>
      <c r="J1316" s="1">
        <v>3.3E7</v>
      </c>
      <c r="K1316" s="1">
        <v>1999.0</v>
      </c>
      <c r="L1316" s="1">
        <v>6.6</v>
      </c>
      <c r="O1316" s="3"/>
      <c r="S1316" s="4"/>
    </row>
    <row r="1317" ht="14.25" customHeight="1">
      <c r="A1317" s="1" t="s">
        <v>111</v>
      </c>
      <c r="B1317" s="1">
        <v>126.0</v>
      </c>
      <c r="C1317" s="1">
        <v>2.51188924E8</v>
      </c>
      <c r="D1317" s="1" t="s">
        <v>55</v>
      </c>
      <c r="E1317" s="1" t="s">
        <v>554</v>
      </c>
      <c r="F1317" s="1" t="s">
        <v>2886</v>
      </c>
      <c r="G1317" s="1">
        <v>269033.0</v>
      </c>
      <c r="H1317" s="1">
        <v>817.0</v>
      </c>
      <c r="I1317" s="1" t="s">
        <v>16</v>
      </c>
      <c r="J1317" s="1">
        <v>3.5E7</v>
      </c>
      <c r="K1317" s="1">
        <v>1989.0</v>
      </c>
      <c r="L1317" s="1">
        <v>7.6</v>
      </c>
      <c r="O1317" s="3"/>
      <c r="S1317" s="4"/>
    </row>
    <row r="1318" ht="14.25" customHeight="1">
      <c r="A1318" s="1" t="s">
        <v>2187</v>
      </c>
      <c r="B1318" s="1">
        <v>102.0</v>
      </c>
      <c r="C1318" s="1">
        <v>1068392.0</v>
      </c>
      <c r="D1318" s="1" t="s">
        <v>2887</v>
      </c>
      <c r="E1318" s="1" t="s">
        <v>2662</v>
      </c>
      <c r="F1318" s="1" t="s">
        <v>2888</v>
      </c>
      <c r="G1318" s="1">
        <v>3865.0</v>
      </c>
      <c r="H1318" s="1">
        <v>53.0</v>
      </c>
      <c r="I1318" s="1" t="s">
        <v>16</v>
      </c>
      <c r="J1318" s="1">
        <v>3.6E7</v>
      </c>
      <c r="K1318" s="1">
        <v>2011.0</v>
      </c>
      <c r="L1318" s="1">
        <v>5.9</v>
      </c>
      <c r="O1318" s="3"/>
      <c r="S1318" s="4"/>
    </row>
    <row r="1319" ht="14.25" customHeight="1">
      <c r="A1319" s="1" t="s">
        <v>446</v>
      </c>
      <c r="B1319" s="1">
        <v>121.0</v>
      </c>
      <c r="C1319" s="1">
        <v>1.44731527E8</v>
      </c>
      <c r="D1319" s="1" t="s">
        <v>146</v>
      </c>
      <c r="E1319" s="1" t="s">
        <v>2889</v>
      </c>
      <c r="F1319" s="1" t="s">
        <v>2890</v>
      </c>
      <c r="G1319" s="1">
        <v>128010.0</v>
      </c>
      <c r="H1319" s="1">
        <v>136.0</v>
      </c>
      <c r="I1319" s="1" t="s">
        <v>16</v>
      </c>
      <c r="J1319" s="1">
        <v>3.5E7</v>
      </c>
      <c r="K1319" s="1">
        <v>1992.0</v>
      </c>
      <c r="L1319" s="1">
        <v>6.7</v>
      </c>
      <c r="O1319" s="3"/>
      <c r="S1319" s="4"/>
    </row>
    <row r="1320" ht="14.25" customHeight="1">
      <c r="A1320" s="1" t="s">
        <v>868</v>
      </c>
      <c r="B1320" s="1">
        <v>129.0</v>
      </c>
      <c r="C1320" s="1">
        <v>2.55950375E8</v>
      </c>
      <c r="D1320" s="1" t="s">
        <v>681</v>
      </c>
      <c r="E1320" s="1" t="s">
        <v>2891</v>
      </c>
      <c r="F1320" s="1" t="s">
        <v>2892</v>
      </c>
      <c r="G1320" s="1">
        <v>223127.0</v>
      </c>
      <c r="H1320" s="1">
        <v>420.0</v>
      </c>
      <c r="I1320" s="1" t="s">
        <v>16</v>
      </c>
      <c r="J1320" s="1">
        <v>2.9E7</v>
      </c>
      <c r="K1320" s="1">
        <v>2009.0</v>
      </c>
      <c r="L1320" s="1">
        <v>7.7</v>
      </c>
      <c r="O1320" s="3"/>
      <c r="S1320" s="4"/>
    </row>
    <row r="1321" ht="14.25" customHeight="1">
      <c r="A1321" s="1" t="s">
        <v>1980</v>
      </c>
      <c r="B1321" s="1">
        <v>88.0</v>
      </c>
      <c r="C1321" s="1">
        <v>1.12692062E8</v>
      </c>
      <c r="D1321" s="1" t="s">
        <v>1242</v>
      </c>
      <c r="E1321" s="1" t="s">
        <v>2351</v>
      </c>
      <c r="F1321" s="1" t="s">
        <v>2893</v>
      </c>
      <c r="G1321" s="1">
        <v>84325.0</v>
      </c>
      <c r="H1321" s="1">
        <v>205.0</v>
      </c>
      <c r="I1321" s="1" t="s">
        <v>16</v>
      </c>
      <c r="J1321" s="1">
        <v>3.5E7</v>
      </c>
      <c r="K1321" s="1">
        <v>2001.0</v>
      </c>
      <c r="L1321" s="1">
        <v>5.4</v>
      </c>
      <c r="O1321" s="3"/>
      <c r="S1321" s="4"/>
    </row>
    <row r="1322" ht="14.25" customHeight="1">
      <c r="A1322" s="1" t="s">
        <v>1083</v>
      </c>
      <c r="B1322" s="1">
        <v>106.0</v>
      </c>
      <c r="C1322" s="1">
        <v>1.17528646E8</v>
      </c>
      <c r="D1322" s="1" t="s">
        <v>427</v>
      </c>
      <c r="E1322" s="1" t="s">
        <v>52</v>
      </c>
      <c r="F1322" s="1" t="s">
        <v>2894</v>
      </c>
      <c r="G1322" s="1">
        <v>353442.0</v>
      </c>
      <c r="H1322" s="1">
        <v>387.0</v>
      </c>
      <c r="I1322" s="1" t="s">
        <v>16</v>
      </c>
      <c r="J1322" s="1">
        <v>3.5E7</v>
      </c>
      <c r="K1322" s="1">
        <v>2011.0</v>
      </c>
      <c r="L1322" s="1">
        <v>6.9</v>
      </c>
      <c r="O1322" s="3"/>
      <c r="S1322" s="4"/>
    </row>
    <row r="1323" ht="14.25" customHeight="1">
      <c r="A1323" s="1" t="s">
        <v>2831</v>
      </c>
      <c r="B1323" s="1">
        <v>110.0</v>
      </c>
      <c r="C1323" s="1">
        <v>1.71031347E8</v>
      </c>
      <c r="D1323" s="1" t="s">
        <v>2404</v>
      </c>
      <c r="E1323" s="1" t="s">
        <v>486</v>
      </c>
      <c r="F1323" s="1" t="s">
        <v>2895</v>
      </c>
      <c r="G1323" s="1">
        <v>240962.0</v>
      </c>
      <c r="H1323" s="1">
        <v>724.0</v>
      </c>
      <c r="I1323" s="1" t="s">
        <v>16</v>
      </c>
      <c r="J1323" s="1">
        <v>3.8E7</v>
      </c>
      <c r="K1323" s="1">
        <v>2010.0</v>
      </c>
      <c r="L1323" s="1">
        <v>7.7</v>
      </c>
      <c r="O1323" s="3"/>
      <c r="S1323" s="4"/>
    </row>
    <row r="1324" ht="14.25" customHeight="1">
      <c r="A1324" s="1" t="s">
        <v>1598</v>
      </c>
      <c r="B1324" s="1">
        <v>109.0</v>
      </c>
      <c r="C1324" s="1">
        <v>1.24732962E8</v>
      </c>
      <c r="D1324" s="1" t="s">
        <v>593</v>
      </c>
      <c r="E1324" s="1" t="s">
        <v>1000</v>
      </c>
      <c r="F1324" s="1" t="s">
        <v>2896</v>
      </c>
      <c r="G1324" s="1">
        <v>286178.0</v>
      </c>
      <c r="H1324" s="1">
        <v>631.0</v>
      </c>
      <c r="I1324" s="1" t="s">
        <v>16</v>
      </c>
      <c r="J1324" s="1">
        <v>3.5E7</v>
      </c>
      <c r="K1324" s="1">
        <v>2006.0</v>
      </c>
      <c r="L1324" s="1">
        <v>6.8</v>
      </c>
      <c r="O1324" s="3"/>
      <c r="S1324" s="4"/>
    </row>
    <row r="1325" ht="14.25" customHeight="1">
      <c r="A1325" s="1" t="s">
        <v>2897</v>
      </c>
      <c r="B1325" s="1">
        <v>143.0</v>
      </c>
      <c r="C1325" s="1">
        <v>8.23E7</v>
      </c>
      <c r="D1325" s="1" t="s">
        <v>575</v>
      </c>
      <c r="E1325" s="1" t="s">
        <v>914</v>
      </c>
      <c r="F1325" s="1" t="s">
        <v>2898</v>
      </c>
      <c r="G1325" s="1">
        <v>63330.0</v>
      </c>
      <c r="H1325" s="1">
        <v>405.0</v>
      </c>
      <c r="I1325" s="1" t="s">
        <v>16</v>
      </c>
      <c r="J1325" s="1">
        <v>3.5E7</v>
      </c>
      <c r="K1325" s="1">
        <v>1979.0</v>
      </c>
      <c r="L1325" s="1">
        <v>6.4</v>
      </c>
      <c r="O1325" s="3"/>
      <c r="S1325" s="4"/>
    </row>
    <row r="1326" ht="14.25" customHeight="1">
      <c r="A1326" s="1" t="s">
        <v>1083</v>
      </c>
      <c r="B1326" s="1">
        <v>120.0</v>
      </c>
      <c r="C1326" s="1">
        <v>1.34455175E8</v>
      </c>
      <c r="D1326" s="1" t="s">
        <v>427</v>
      </c>
      <c r="E1326" s="1" t="s">
        <v>206</v>
      </c>
      <c r="F1326" s="1" t="s">
        <v>2899</v>
      </c>
      <c r="G1326" s="1">
        <v>97664.0</v>
      </c>
      <c r="H1326" s="1">
        <v>232.0</v>
      </c>
      <c r="I1326" s="1" t="s">
        <v>16</v>
      </c>
      <c r="J1326" s="1">
        <v>3.5E7</v>
      </c>
      <c r="K1326" s="1">
        <v>2013.0</v>
      </c>
      <c r="L1326" s="1">
        <v>5.7</v>
      </c>
      <c r="O1326" s="3"/>
      <c r="S1326" s="4"/>
    </row>
    <row r="1327" ht="14.25" customHeight="1">
      <c r="A1327" s="1" t="s">
        <v>208</v>
      </c>
      <c r="B1327" s="1">
        <v>128.0</v>
      </c>
      <c r="C1327" s="1">
        <v>7.91E7</v>
      </c>
      <c r="D1327" s="1" t="s">
        <v>640</v>
      </c>
      <c r="E1327" s="1" t="s">
        <v>725</v>
      </c>
      <c r="F1327" s="1" t="s">
        <v>2900</v>
      </c>
      <c r="G1327" s="1">
        <v>127503.0</v>
      </c>
      <c r="H1327" s="1">
        <v>261.0</v>
      </c>
      <c r="I1327" s="1" t="s">
        <v>16</v>
      </c>
      <c r="J1327" s="1">
        <v>3.5E7</v>
      </c>
      <c r="K1327" s="1">
        <v>1991.0</v>
      </c>
      <c r="L1327" s="1">
        <v>7.3</v>
      </c>
      <c r="O1327" s="3"/>
      <c r="S1327" s="4"/>
    </row>
    <row r="1328" ht="14.25" customHeight="1">
      <c r="A1328" s="1" t="s">
        <v>1265</v>
      </c>
      <c r="B1328" s="1">
        <v>123.0</v>
      </c>
      <c r="C1328" s="1">
        <v>8.1159365E7</v>
      </c>
      <c r="D1328" s="1" t="s">
        <v>901</v>
      </c>
      <c r="E1328" s="1" t="s">
        <v>52</v>
      </c>
      <c r="F1328" s="1" t="s">
        <v>2901</v>
      </c>
      <c r="G1328" s="1">
        <v>191470.0</v>
      </c>
      <c r="H1328" s="1">
        <v>278.0</v>
      </c>
      <c r="I1328" s="1" t="s">
        <v>16</v>
      </c>
      <c r="J1328" s="1">
        <v>3.5E7</v>
      </c>
      <c r="K1328" s="1">
        <v>2008.0</v>
      </c>
      <c r="L1328" s="1">
        <v>6.8</v>
      </c>
      <c r="O1328" s="3"/>
      <c r="S1328" s="4"/>
    </row>
    <row r="1329" ht="14.25" customHeight="1">
      <c r="A1329" s="1" t="s">
        <v>1314</v>
      </c>
      <c r="B1329" s="1">
        <v>129.0</v>
      </c>
      <c r="C1329" s="1">
        <v>1.1000826E8</v>
      </c>
      <c r="D1329" s="1" t="s">
        <v>699</v>
      </c>
      <c r="E1329" s="1" t="s">
        <v>2902</v>
      </c>
      <c r="F1329" s="1" t="s">
        <v>2903</v>
      </c>
      <c r="G1329" s="1">
        <v>94241.0</v>
      </c>
      <c r="H1329" s="1">
        <v>309.0</v>
      </c>
      <c r="I1329" s="1" t="s">
        <v>16</v>
      </c>
      <c r="J1329" s="1">
        <v>3.5E7</v>
      </c>
      <c r="K1329" s="1">
        <v>2015.0</v>
      </c>
      <c r="L1329" s="1">
        <v>6.3</v>
      </c>
      <c r="O1329" s="3"/>
      <c r="S1329" s="4"/>
    </row>
    <row r="1330" ht="14.25" customHeight="1">
      <c r="A1330" s="1" t="s">
        <v>2904</v>
      </c>
      <c r="B1330" s="1">
        <v>105.0</v>
      </c>
      <c r="C1330" s="1">
        <v>6.7962333E7</v>
      </c>
      <c r="D1330" s="1" t="s">
        <v>699</v>
      </c>
      <c r="E1330" s="1" t="s">
        <v>343</v>
      </c>
      <c r="F1330" s="1" t="s">
        <v>2905</v>
      </c>
      <c r="G1330" s="1">
        <v>33887.0</v>
      </c>
      <c r="H1330" s="1">
        <v>160.0</v>
      </c>
      <c r="I1330" s="1" t="s">
        <v>16</v>
      </c>
      <c r="J1330" s="1">
        <v>3.5E7</v>
      </c>
      <c r="K1330" s="1">
        <v>2005.0</v>
      </c>
      <c r="L1330" s="1">
        <v>5.9</v>
      </c>
      <c r="O1330" s="3"/>
      <c r="S1330" s="4"/>
    </row>
    <row r="1331" ht="14.25" customHeight="1">
      <c r="A1331" s="1" t="s">
        <v>1095</v>
      </c>
      <c r="B1331" s="1">
        <v>162.0</v>
      </c>
      <c r="C1331" s="1">
        <v>7.865143E7</v>
      </c>
      <c r="D1331" s="1" t="s">
        <v>2906</v>
      </c>
      <c r="E1331" s="1" t="s">
        <v>1475</v>
      </c>
      <c r="F1331" s="1" t="s">
        <v>2907</v>
      </c>
      <c r="G1331" s="1">
        <v>142067.0</v>
      </c>
      <c r="H1331" s="1">
        <v>457.0</v>
      </c>
      <c r="I1331" s="1" t="s">
        <v>16</v>
      </c>
      <c r="J1331" s="1">
        <v>2.7E7</v>
      </c>
      <c r="K1331" s="1">
        <v>1996.0</v>
      </c>
      <c r="L1331" s="1">
        <v>7.4</v>
      </c>
      <c r="O1331" s="3"/>
      <c r="S1331" s="4"/>
    </row>
    <row r="1332" ht="14.25" customHeight="1">
      <c r="A1332" s="1" t="s">
        <v>1985</v>
      </c>
      <c r="B1332" s="1">
        <v>138.0</v>
      </c>
      <c r="C1332" s="1">
        <v>6.4604977E7</v>
      </c>
      <c r="D1332" s="1" t="s">
        <v>909</v>
      </c>
      <c r="E1332" s="1" t="s">
        <v>52</v>
      </c>
      <c r="F1332" s="1" t="s">
        <v>2908</v>
      </c>
      <c r="G1332" s="1">
        <v>414219.0</v>
      </c>
      <c r="H1332" s="1">
        <v>625.0</v>
      </c>
      <c r="I1332" s="1" t="s">
        <v>16</v>
      </c>
      <c r="J1332" s="1">
        <v>3.5E7</v>
      </c>
      <c r="K1332" s="1">
        <v>1997.0</v>
      </c>
      <c r="L1332" s="1">
        <v>8.3</v>
      </c>
      <c r="O1332" s="3"/>
      <c r="S1332" s="4"/>
    </row>
    <row r="1333" ht="14.25" customHeight="1">
      <c r="A1333" s="1" t="s">
        <v>255</v>
      </c>
      <c r="B1333" s="1">
        <v>100.0</v>
      </c>
      <c r="C1333" s="1">
        <v>6.3939454E7</v>
      </c>
      <c r="D1333" s="1" t="s">
        <v>2909</v>
      </c>
      <c r="E1333" s="1" t="s">
        <v>2910</v>
      </c>
      <c r="F1333" s="1" t="s">
        <v>2911</v>
      </c>
      <c r="G1333" s="1">
        <v>61321.0</v>
      </c>
      <c r="H1333" s="1">
        <v>217.0</v>
      </c>
      <c r="I1333" s="1" t="s">
        <v>16</v>
      </c>
      <c r="J1333" s="1">
        <v>3.5E7</v>
      </c>
      <c r="K1333" s="1">
        <v>2005.0</v>
      </c>
      <c r="L1333" s="1">
        <v>6.2</v>
      </c>
      <c r="O1333" s="3"/>
      <c r="S1333" s="4"/>
    </row>
    <row r="1334" ht="14.25" customHeight="1">
      <c r="A1334" s="1" t="s">
        <v>820</v>
      </c>
      <c r="B1334" s="1">
        <v>90.0</v>
      </c>
      <c r="C1334" s="1">
        <v>6.3826569E7</v>
      </c>
      <c r="D1334" s="1" t="s">
        <v>828</v>
      </c>
      <c r="E1334" s="1" t="s">
        <v>1267</v>
      </c>
      <c r="F1334" s="1" t="s">
        <v>2912</v>
      </c>
      <c r="G1334" s="1">
        <v>32416.0</v>
      </c>
      <c r="H1334" s="1">
        <v>138.0</v>
      </c>
      <c r="I1334" s="1" t="s">
        <v>16</v>
      </c>
      <c r="J1334" s="1">
        <v>3.5E7</v>
      </c>
      <c r="K1334" s="1">
        <v>1997.0</v>
      </c>
      <c r="L1334" s="1">
        <v>6.3</v>
      </c>
      <c r="O1334" s="3"/>
      <c r="S1334" s="4"/>
    </row>
    <row r="1335" ht="14.25" customHeight="1">
      <c r="A1335" s="1" t="s">
        <v>620</v>
      </c>
      <c r="B1335" s="1">
        <v>108.0</v>
      </c>
      <c r="C1335" s="1">
        <v>6.0054449E7</v>
      </c>
      <c r="D1335" s="1" t="s">
        <v>934</v>
      </c>
      <c r="E1335" s="1" t="s">
        <v>2913</v>
      </c>
      <c r="F1335" s="1" t="s">
        <v>2914</v>
      </c>
      <c r="G1335" s="1">
        <v>61018.0</v>
      </c>
      <c r="H1335" s="1">
        <v>140.0</v>
      </c>
      <c r="I1335" s="1" t="s">
        <v>16</v>
      </c>
      <c r="J1335" s="1">
        <v>3.5E7</v>
      </c>
      <c r="K1335" s="1">
        <v>1995.0</v>
      </c>
      <c r="L1335" s="1">
        <v>5.8</v>
      </c>
      <c r="O1335" s="3"/>
      <c r="S1335" s="4"/>
    </row>
    <row r="1336" ht="14.25" customHeight="1">
      <c r="A1336" s="1" t="s">
        <v>2511</v>
      </c>
      <c r="B1336" s="1">
        <v>101.0</v>
      </c>
      <c r="C1336" s="1">
        <v>2.6505E7</v>
      </c>
      <c r="D1336" s="1" t="s">
        <v>2551</v>
      </c>
      <c r="E1336" s="1" t="s">
        <v>19</v>
      </c>
      <c r="F1336" s="1" t="s">
        <v>2915</v>
      </c>
      <c r="G1336" s="1">
        <v>149285.0</v>
      </c>
      <c r="H1336" s="1">
        <v>668.0</v>
      </c>
      <c r="I1336" s="1" t="s">
        <v>16</v>
      </c>
      <c r="J1336" s="1">
        <v>1800000.0</v>
      </c>
      <c r="K1336" s="1">
        <v>1984.0</v>
      </c>
      <c r="L1336" s="1">
        <v>7.5</v>
      </c>
      <c r="O1336" s="3"/>
      <c r="S1336" s="4"/>
    </row>
    <row r="1337" ht="14.25" customHeight="1">
      <c r="A1337" s="1" t="s">
        <v>1026</v>
      </c>
      <c r="B1337" s="1">
        <v>109.0</v>
      </c>
      <c r="C1337" s="1">
        <v>6.1280963E7</v>
      </c>
      <c r="D1337" s="1" t="s">
        <v>1764</v>
      </c>
      <c r="E1337" s="1" t="s">
        <v>2916</v>
      </c>
      <c r="F1337" s="1" t="s">
        <v>2917</v>
      </c>
      <c r="G1337" s="1">
        <v>79877.0</v>
      </c>
      <c r="H1337" s="1">
        <v>677.0</v>
      </c>
      <c r="I1337" s="1" t="s">
        <v>16</v>
      </c>
      <c r="J1337" s="1">
        <v>3.3E7</v>
      </c>
      <c r="K1337" s="1">
        <v>2000.0</v>
      </c>
      <c r="L1337" s="1">
        <v>6.3</v>
      </c>
      <c r="O1337" s="3"/>
      <c r="S1337" s="4"/>
    </row>
    <row r="1338" ht="14.25" customHeight="1">
      <c r="A1338" s="1" t="s">
        <v>1373</v>
      </c>
      <c r="B1338" s="1">
        <v>132.0</v>
      </c>
      <c r="C1338" s="1">
        <v>5.6876365E7</v>
      </c>
      <c r="D1338" s="1" t="s">
        <v>55</v>
      </c>
      <c r="E1338" s="1" t="s">
        <v>93</v>
      </c>
      <c r="F1338" s="1" t="s">
        <v>2918</v>
      </c>
      <c r="G1338" s="1">
        <v>125219.0</v>
      </c>
      <c r="H1338" s="1">
        <v>244.0</v>
      </c>
      <c r="I1338" s="1" t="s">
        <v>16</v>
      </c>
      <c r="J1338" s="1">
        <v>3.5E7</v>
      </c>
      <c r="K1338" s="1">
        <v>1998.0</v>
      </c>
      <c r="L1338" s="1">
        <v>6.4</v>
      </c>
      <c r="O1338" s="3"/>
      <c r="S1338" s="4"/>
    </row>
    <row r="1339" ht="14.25" customHeight="1">
      <c r="A1339" s="1" t="s">
        <v>1373</v>
      </c>
      <c r="B1339" s="1">
        <v>123.0</v>
      </c>
      <c r="C1339" s="1">
        <v>5.9699513E7</v>
      </c>
      <c r="D1339" s="1" t="s">
        <v>2919</v>
      </c>
      <c r="E1339" s="1" t="s">
        <v>2920</v>
      </c>
      <c r="F1339" s="1" t="s">
        <v>2921</v>
      </c>
      <c r="G1339" s="1">
        <v>20827.0</v>
      </c>
      <c r="H1339" s="1">
        <v>136.0</v>
      </c>
      <c r="I1339" s="1" t="s">
        <v>16</v>
      </c>
      <c r="J1339" s="1">
        <v>3.5E7</v>
      </c>
      <c r="K1339" s="1">
        <v>2010.0</v>
      </c>
      <c r="L1339" s="1">
        <v>7.2</v>
      </c>
      <c r="O1339" s="3"/>
      <c r="S1339" s="4"/>
    </row>
    <row r="1340" ht="14.25" customHeight="1">
      <c r="A1340" s="1" t="s">
        <v>2922</v>
      </c>
      <c r="B1340" s="1">
        <v>87.0</v>
      </c>
      <c r="C1340" s="1">
        <v>5.4132596E7</v>
      </c>
      <c r="D1340" s="1" t="s">
        <v>370</v>
      </c>
      <c r="E1340" s="1" t="s">
        <v>459</v>
      </c>
      <c r="F1340" s="1" t="s">
        <v>2923</v>
      </c>
      <c r="G1340" s="1">
        <v>53786.0</v>
      </c>
      <c r="H1340" s="1">
        <v>211.0</v>
      </c>
      <c r="I1340" s="1" t="s">
        <v>16</v>
      </c>
      <c r="J1340" s="1">
        <v>3.4E7</v>
      </c>
      <c r="K1340" s="1">
        <v>2007.0</v>
      </c>
      <c r="L1340" s="1">
        <v>6.3</v>
      </c>
      <c r="O1340" s="3"/>
      <c r="S1340" s="4"/>
    </row>
    <row r="1341" ht="14.25" customHeight="1">
      <c r="A1341" s="1" t="s">
        <v>2924</v>
      </c>
      <c r="B1341" s="1">
        <v>109.0</v>
      </c>
      <c r="C1341" s="1">
        <v>5.2277485E7</v>
      </c>
      <c r="D1341" s="1" t="s">
        <v>681</v>
      </c>
      <c r="E1341" s="1" t="s">
        <v>518</v>
      </c>
      <c r="F1341" s="1" t="s">
        <v>2925</v>
      </c>
      <c r="G1341" s="1">
        <v>32370.0</v>
      </c>
      <c r="H1341" s="1">
        <v>196.0</v>
      </c>
      <c r="I1341" s="1" t="s">
        <v>16</v>
      </c>
      <c r="J1341" s="1">
        <v>3.5E7</v>
      </c>
      <c r="K1341" s="1">
        <v>2003.0</v>
      </c>
      <c r="L1341" s="1">
        <v>6.9</v>
      </c>
      <c r="O1341" s="3"/>
      <c r="S1341" s="4"/>
    </row>
    <row r="1342" ht="14.25" customHeight="1">
      <c r="A1342" s="1" t="s">
        <v>1519</v>
      </c>
      <c r="B1342" s="1">
        <v>109.0</v>
      </c>
      <c r="C1342" s="1">
        <v>5.5802754E7</v>
      </c>
      <c r="D1342" s="1" t="s">
        <v>699</v>
      </c>
      <c r="E1342" s="1" t="s">
        <v>1868</v>
      </c>
      <c r="F1342" s="1" t="s">
        <v>2926</v>
      </c>
      <c r="G1342" s="1">
        <v>270228.0</v>
      </c>
      <c r="H1342" s="1">
        <v>194.0</v>
      </c>
      <c r="I1342" s="1" t="s">
        <v>16</v>
      </c>
      <c r="J1342" s="1">
        <v>3.5E7</v>
      </c>
      <c r="K1342" s="1">
        <v>2011.0</v>
      </c>
      <c r="L1342" s="1">
        <v>6.6</v>
      </c>
      <c r="O1342" s="3"/>
      <c r="S1342" s="4"/>
    </row>
    <row r="1343" ht="14.25" customHeight="1">
      <c r="A1343" s="1" t="s">
        <v>2927</v>
      </c>
      <c r="B1343" s="1">
        <v>92.0</v>
      </c>
      <c r="C1343" s="1">
        <v>5.5291815E7</v>
      </c>
      <c r="D1343" s="1" t="s">
        <v>828</v>
      </c>
      <c r="E1343" s="1" t="s">
        <v>210</v>
      </c>
      <c r="F1343" s="1" t="s">
        <v>2928</v>
      </c>
      <c r="G1343" s="1">
        <v>28041.0</v>
      </c>
      <c r="H1343" s="1">
        <v>111.0</v>
      </c>
      <c r="I1343" s="1" t="s">
        <v>16</v>
      </c>
      <c r="J1343" s="1">
        <v>3.5E7</v>
      </c>
      <c r="K1343" s="1">
        <v>2016.0</v>
      </c>
      <c r="L1343" s="1">
        <v>6.0</v>
      </c>
      <c r="O1343" s="3"/>
      <c r="S1343" s="4"/>
    </row>
    <row r="1344" ht="14.25" customHeight="1">
      <c r="A1344" s="1" t="s">
        <v>868</v>
      </c>
      <c r="B1344" s="1">
        <v>125.0</v>
      </c>
      <c r="C1344" s="1">
        <v>8.3299761E7</v>
      </c>
      <c r="D1344" s="1" t="s">
        <v>2929</v>
      </c>
      <c r="E1344" s="1" t="s">
        <v>140</v>
      </c>
      <c r="F1344" s="1" t="s">
        <v>2930</v>
      </c>
      <c r="G1344" s="1">
        <v>117719.0</v>
      </c>
      <c r="H1344" s="1">
        <v>306.0</v>
      </c>
      <c r="I1344" s="1" t="s">
        <v>16</v>
      </c>
      <c r="J1344" s="1">
        <v>3.5E7</v>
      </c>
      <c r="K1344" s="1">
        <v>2013.0</v>
      </c>
      <c r="L1344" s="1">
        <v>7.5</v>
      </c>
      <c r="O1344" s="3"/>
      <c r="S1344" s="4"/>
    </row>
    <row r="1345" ht="14.25" customHeight="1">
      <c r="A1345" s="1" t="s">
        <v>2048</v>
      </c>
      <c r="B1345" s="1">
        <v>202.0</v>
      </c>
      <c r="C1345" s="1">
        <v>4.8169908E7</v>
      </c>
      <c r="D1345" s="1" t="s">
        <v>2432</v>
      </c>
      <c r="E1345" s="1" t="s">
        <v>717</v>
      </c>
      <c r="F1345" s="1" t="s">
        <v>2931</v>
      </c>
      <c r="G1345" s="1">
        <v>63923.0</v>
      </c>
      <c r="H1345" s="1">
        <v>156.0</v>
      </c>
      <c r="I1345" s="1" t="s">
        <v>16</v>
      </c>
      <c r="J1345" s="1">
        <v>3.3E7</v>
      </c>
      <c r="K1345" s="1">
        <v>1992.0</v>
      </c>
      <c r="L1345" s="1">
        <v>7.7</v>
      </c>
      <c r="O1345" s="3"/>
      <c r="S1345" s="4"/>
    </row>
    <row r="1346" ht="14.25" customHeight="1">
      <c r="A1346" s="1" t="s">
        <v>1314</v>
      </c>
      <c r="B1346" s="1">
        <v>134.0</v>
      </c>
      <c r="C1346" s="1">
        <v>6.7523385E7</v>
      </c>
      <c r="D1346" s="1" t="s">
        <v>828</v>
      </c>
      <c r="E1346" s="1" t="s">
        <v>2932</v>
      </c>
      <c r="F1346" s="1" t="s">
        <v>2933</v>
      </c>
      <c r="G1346" s="1">
        <v>104005.0</v>
      </c>
      <c r="H1346" s="1">
        <v>248.0</v>
      </c>
      <c r="I1346" s="1" t="s">
        <v>16</v>
      </c>
      <c r="J1346" s="1">
        <v>3.5E7</v>
      </c>
      <c r="K1346" s="1">
        <v>2012.0</v>
      </c>
      <c r="L1346" s="1">
        <v>6.2</v>
      </c>
      <c r="O1346" s="3"/>
      <c r="S1346" s="4"/>
    </row>
    <row r="1347" ht="14.25" customHeight="1">
      <c r="A1347" s="1" t="s">
        <v>916</v>
      </c>
      <c r="B1347" s="1">
        <v>88.0</v>
      </c>
      <c r="C1347" s="1">
        <v>4.9474048E7</v>
      </c>
      <c r="D1347" s="1" t="s">
        <v>1247</v>
      </c>
      <c r="E1347" s="1" t="s">
        <v>346</v>
      </c>
      <c r="F1347" s="1" t="s">
        <v>2934</v>
      </c>
      <c r="G1347" s="1">
        <v>31191.0</v>
      </c>
      <c r="H1347" s="1">
        <v>120.0</v>
      </c>
      <c r="I1347" s="1" t="s">
        <v>16</v>
      </c>
      <c r="J1347" s="1">
        <v>3.5E7</v>
      </c>
      <c r="K1347" s="1">
        <v>2009.0</v>
      </c>
      <c r="L1347" s="1">
        <v>5.4</v>
      </c>
      <c r="O1347" s="3"/>
      <c r="S1347" s="4"/>
    </row>
    <row r="1348" ht="14.25" customHeight="1">
      <c r="A1348" s="1" t="s">
        <v>2935</v>
      </c>
      <c r="B1348" s="1">
        <v>92.0</v>
      </c>
      <c r="C1348" s="1">
        <v>4.5802315E7</v>
      </c>
      <c r="D1348" s="1" t="s">
        <v>114</v>
      </c>
      <c r="E1348" s="1" t="s">
        <v>2936</v>
      </c>
      <c r="F1348" s="1" t="s">
        <v>2937</v>
      </c>
      <c r="G1348" s="1">
        <v>119974.0</v>
      </c>
      <c r="H1348" s="1">
        <v>169.0</v>
      </c>
      <c r="I1348" s="1" t="s">
        <v>16</v>
      </c>
      <c r="J1348" s="1">
        <v>3.5E7</v>
      </c>
      <c r="K1348" s="1">
        <v>2009.0</v>
      </c>
      <c r="L1348" s="1">
        <v>6.6</v>
      </c>
      <c r="O1348" s="3"/>
      <c r="S1348" s="4"/>
    </row>
    <row r="1349" ht="14.25" customHeight="1">
      <c r="A1349" s="1" t="s">
        <v>2506</v>
      </c>
      <c r="B1349" s="1">
        <v>91.0</v>
      </c>
      <c r="C1349" s="1">
        <v>4.3792641E7</v>
      </c>
      <c r="D1349" s="1" t="s">
        <v>699</v>
      </c>
      <c r="E1349" s="1" t="s">
        <v>346</v>
      </c>
      <c r="F1349" s="1" t="s">
        <v>2938</v>
      </c>
      <c r="G1349" s="1">
        <v>32157.0</v>
      </c>
      <c r="H1349" s="1">
        <v>119.0</v>
      </c>
      <c r="I1349" s="1" t="s">
        <v>16</v>
      </c>
      <c r="J1349" s="1">
        <v>3.5E7</v>
      </c>
      <c r="K1349" s="1">
        <v>2007.0</v>
      </c>
      <c r="L1349" s="1">
        <v>5.3</v>
      </c>
      <c r="O1349" s="3"/>
      <c r="S1349" s="4"/>
    </row>
    <row r="1350" ht="14.25" customHeight="1">
      <c r="A1350" s="1" t="s">
        <v>922</v>
      </c>
      <c r="B1350" s="1">
        <v>75.0</v>
      </c>
      <c r="C1350" s="1">
        <v>5.7651794E7</v>
      </c>
      <c r="D1350" s="1" t="s">
        <v>1584</v>
      </c>
      <c r="E1350" s="1" t="s">
        <v>822</v>
      </c>
      <c r="F1350" s="1" t="s">
        <v>2939</v>
      </c>
      <c r="G1350" s="1">
        <v>40651.0</v>
      </c>
      <c r="H1350" s="1">
        <v>209.0</v>
      </c>
      <c r="I1350" s="1" t="s">
        <v>16</v>
      </c>
      <c r="J1350" s="1">
        <v>3.3E7</v>
      </c>
      <c r="K1350" s="1">
        <v>2006.0</v>
      </c>
      <c r="L1350" s="1">
        <v>5.6</v>
      </c>
      <c r="O1350" s="3"/>
      <c r="S1350" s="4"/>
    </row>
    <row r="1351" ht="14.25" customHeight="1">
      <c r="A1351" s="1" t="s">
        <v>2940</v>
      </c>
      <c r="B1351" s="1">
        <v>98.0</v>
      </c>
      <c r="C1351" s="1">
        <v>4.3894863E7</v>
      </c>
      <c r="D1351" s="1" t="s">
        <v>699</v>
      </c>
      <c r="E1351" s="1" t="s">
        <v>2873</v>
      </c>
      <c r="F1351" s="1" t="s">
        <v>2941</v>
      </c>
      <c r="G1351" s="1">
        <v>25883.0</v>
      </c>
      <c r="H1351" s="1">
        <v>262.0</v>
      </c>
      <c r="I1351" s="1" t="s">
        <v>16</v>
      </c>
      <c r="J1351" s="1">
        <v>3.0E7</v>
      </c>
      <c r="K1351" s="1">
        <v>2005.0</v>
      </c>
      <c r="L1351" s="1">
        <v>5.9</v>
      </c>
      <c r="O1351" s="3"/>
      <c r="S1351" s="4"/>
    </row>
    <row r="1352" ht="14.25" customHeight="1">
      <c r="A1352" s="1" t="s">
        <v>161</v>
      </c>
      <c r="B1352" s="1">
        <v>147.0</v>
      </c>
      <c r="C1352" s="1">
        <v>4.1954997E7</v>
      </c>
      <c r="D1352" s="1" t="s">
        <v>716</v>
      </c>
      <c r="E1352" s="1" t="s">
        <v>19</v>
      </c>
      <c r="F1352" s="1" t="s">
        <v>2942</v>
      </c>
      <c r="G1352" s="1">
        <v>225122.0</v>
      </c>
      <c r="H1352" s="1">
        <v>234.0</v>
      </c>
      <c r="I1352" s="1" t="s">
        <v>16</v>
      </c>
      <c r="J1352" s="1">
        <v>3.5E7</v>
      </c>
      <c r="K1352" s="1">
        <v>1997.0</v>
      </c>
      <c r="L1352" s="1">
        <v>7.8</v>
      </c>
      <c r="O1352" s="3"/>
      <c r="S1352" s="4"/>
    </row>
    <row r="1353" ht="14.25" customHeight="1">
      <c r="A1353" s="1" t="s">
        <v>983</v>
      </c>
      <c r="B1353" s="1">
        <v>100.0</v>
      </c>
      <c r="C1353" s="1">
        <v>3.9532308E7</v>
      </c>
      <c r="D1353" s="1" t="s">
        <v>1701</v>
      </c>
      <c r="E1353" s="1" t="s">
        <v>831</v>
      </c>
      <c r="F1353" s="1" t="s">
        <v>2943</v>
      </c>
      <c r="G1353" s="1">
        <v>198701.0</v>
      </c>
      <c r="H1353" s="1">
        <v>1138.0</v>
      </c>
      <c r="I1353" s="1" t="s">
        <v>16</v>
      </c>
      <c r="J1353" s="1">
        <v>3.3E7</v>
      </c>
      <c r="K1353" s="1">
        <v>2002.0</v>
      </c>
      <c r="L1353" s="1">
        <v>6.7</v>
      </c>
      <c r="O1353" s="3"/>
      <c r="S1353" s="4"/>
    </row>
    <row r="1354" ht="14.25" customHeight="1">
      <c r="A1354" s="1" t="s">
        <v>2944</v>
      </c>
      <c r="B1354" s="1">
        <v>120.0</v>
      </c>
      <c r="C1354" s="1">
        <v>7.66E7</v>
      </c>
      <c r="D1354" s="1" t="s">
        <v>2945</v>
      </c>
      <c r="E1354" s="1" t="s">
        <v>2946</v>
      </c>
      <c r="F1354" s="1" t="s">
        <v>2947</v>
      </c>
      <c r="G1354" s="1">
        <v>105446.0</v>
      </c>
      <c r="H1354" s="1">
        <v>321.0</v>
      </c>
      <c r="I1354" s="1" t="s">
        <v>16</v>
      </c>
      <c r="J1354" s="1">
        <v>1.07E7</v>
      </c>
      <c r="K1354" s="1">
        <v>1982.0</v>
      </c>
      <c r="L1354" s="1">
        <v>7.4</v>
      </c>
      <c r="O1354" s="3"/>
      <c r="S1354" s="4"/>
    </row>
    <row r="1355" ht="14.25" customHeight="1">
      <c r="A1355" s="1" t="s">
        <v>2831</v>
      </c>
      <c r="B1355" s="1">
        <v>104.0</v>
      </c>
      <c r="C1355" s="1">
        <v>3.9692139E7</v>
      </c>
      <c r="D1355" s="1" t="s">
        <v>2378</v>
      </c>
      <c r="E1355" s="1" t="s">
        <v>35</v>
      </c>
      <c r="F1355" s="1" t="s">
        <v>2948</v>
      </c>
      <c r="G1355" s="1">
        <v>84131.0</v>
      </c>
      <c r="H1355" s="1">
        <v>400.0</v>
      </c>
      <c r="I1355" s="1" t="s">
        <v>16</v>
      </c>
      <c r="J1355" s="1">
        <v>3.5E7</v>
      </c>
      <c r="K1355" s="1">
        <v>2004.0</v>
      </c>
      <c r="L1355" s="1">
        <v>6.2</v>
      </c>
      <c r="O1355" s="3"/>
      <c r="S1355" s="4"/>
    </row>
    <row r="1356" ht="14.25" customHeight="1">
      <c r="A1356" s="1" t="s">
        <v>866</v>
      </c>
      <c r="B1356" s="1">
        <v>103.0</v>
      </c>
      <c r="C1356" s="1">
        <v>4.0687294E7</v>
      </c>
      <c r="D1356" s="1" t="s">
        <v>998</v>
      </c>
      <c r="E1356" s="1" t="s">
        <v>1868</v>
      </c>
      <c r="F1356" s="1" t="s">
        <v>2949</v>
      </c>
      <c r="G1356" s="1">
        <v>107772.0</v>
      </c>
      <c r="H1356" s="1">
        <v>398.0</v>
      </c>
      <c r="I1356" s="1" t="s">
        <v>16</v>
      </c>
      <c r="J1356" s="1">
        <v>3.5E7</v>
      </c>
      <c r="K1356" s="1">
        <v>2008.0</v>
      </c>
      <c r="L1356" s="1">
        <v>5.4</v>
      </c>
      <c r="O1356" s="3"/>
      <c r="S1356" s="4"/>
    </row>
    <row r="1357" ht="14.25" customHeight="1">
      <c r="A1357" s="1" t="s">
        <v>2152</v>
      </c>
      <c r="B1357" s="1">
        <v>109.0</v>
      </c>
      <c r="C1357" s="1">
        <v>3.7553932E7</v>
      </c>
      <c r="D1357" s="1" t="s">
        <v>1154</v>
      </c>
      <c r="E1357" s="1" t="s">
        <v>1781</v>
      </c>
      <c r="F1357" s="1" t="s">
        <v>2950</v>
      </c>
      <c r="G1357" s="1">
        <v>304318.0</v>
      </c>
      <c r="H1357" s="1">
        <v>463.0</v>
      </c>
      <c r="I1357" s="1" t="s">
        <v>16</v>
      </c>
      <c r="J1357" s="1">
        <v>4.0E7</v>
      </c>
      <c r="K1357" s="1">
        <v>2011.0</v>
      </c>
      <c r="L1357" s="1">
        <v>6.7</v>
      </c>
      <c r="O1357" s="3"/>
      <c r="S1357" s="4"/>
    </row>
    <row r="1358" ht="14.25" customHeight="1">
      <c r="A1358" s="1" t="s">
        <v>2951</v>
      </c>
      <c r="B1358" s="1">
        <v>104.0</v>
      </c>
      <c r="C1358" s="1">
        <v>3.7481242E7</v>
      </c>
      <c r="D1358" s="1" t="s">
        <v>699</v>
      </c>
      <c r="E1358" s="1" t="s">
        <v>2952</v>
      </c>
      <c r="F1358" s="1" t="s">
        <v>2953</v>
      </c>
      <c r="G1358" s="1">
        <v>40654.0</v>
      </c>
      <c r="H1358" s="1">
        <v>97.0</v>
      </c>
      <c r="I1358" s="1" t="s">
        <v>16</v>
      </c>
      <c r="J1358" s="1">
        <v>3.5E7</v>
      </c>
      <c r="K1358" s="1">
        <v>2010.0</v>
      </c>
      <c r="L1358" s="1">
        <v>5.3</v>
      </c>
      <c r="O1358" s="3"/>
      <c r="S1358" s="4"/>
    </row>
    <row r="1359" ht="14.25" customHeight="1">
      <c r="A1359" s="1" t="s">
        <v>2954</v>
      </c>
      <c r="B1359" s="1">
        <v>112.0</v>
      </c>
      <c r="C1359" s="1">
        <v>3.9026186E7</v>
      </c>
      <c r="D1359" s="1" t="s">
        <v>593</v>
      </c>
      <c r="E1359" s="1" t="s">
        <v>2955</v>
      </c>
      <c r="F1359" s="1" t="s">
        <v>2956</v>
      </c>
      <c r="G1359" s="1">
        <v>48019.0</v>
      </c>
      <c r="H1359" s="1">
        <v>153.0</v>
      </c>
      <c r="I1359" s="1" t="s">
        <v>16</v>
      </c>
      <c r="J1359" s="1">
        <v>3.5E7</v>
      </c>
      <c r="K1359" s="1">
        <v>2011.0</v>
      </c>
      <c r="L1359" s="1">
        <v>5.9</v>
      </c>
      <c r="O1359" s="3"/>
      <c r="S1359" s="4"/>
    </row>
    <row r="1360" ht="14.25" customHeight="1">
      <c r="A1360" s="1" t="s">
        <v>2957</v>
      </c>
      <c r="B1360" s="1">
        <v>95.0</v>
      </c>
      <c r="C1360" s="1">
        <v>3.3422806E7</v>
      </c>
      <c r="D1360" s="1" t="s">
        <v>2177</v>
      </c>
      <c r="E1360" s="1" t="s">
        <v>1907</v>
      </c>
      <c r="F1360" s="1" t="s">
        <v>2958</v>
      </c>
      <c r="G1360" s="1">
        <v>30771.0</v>
      </c>
      <c r="H1360" s="1">
        <v>164.0</v>
      </c>
      <c r="I1360" s="1" t="s">
        <v>16</v>
      </c>
      <c r="J1360" s="1">
        <v>5.0E7</v>
      </c>
      <c r="K1360" s="1">
        <v>2001.0</v>
      </c>
      <c r="L1360" s="1">
        <v>4.8</v>
      </c>
      <c r="O1360" s="3"/>
      <c r="S1360" s="4"/>
    </row>
    <row r="1361" ht="14.25" customHeight="1">
      <c r="A1361" s="1" t="s">
        <v>2959</v>
      </c>
      <c r="B1361" s="1">
        <v>102.0</v>
      </c>
      <c r="C1361" s="1">
        <v>3.3423521E7</v>
      </c>
      <c r="D1361" s="1" t="s">
        <v>454</v>
      </c>
      <c r="E1361" s="1" t="s">
        <v>905</v>
      </c>
      <c r="F1361" s="1" t="s">
        <v>2960</v>
      </c>
      <c r="G1361" s="1">
        <v>53115.0</v>
      </c>
      <c r="H1361" s="1">
        <v>282.0</v>
      </c>
      <c r="I1361" s="1" t="s">
        <v>16</v>
      </c>
      <c r="J1361" s="1">
        <v>3.5E7</v>
      </c>
      <c r="K1361" s="1">
        <v>1994.0</v>
      </c>
      <c r="L1361" s="1">
        <v>3.8</v>
      </c>
      <c r="O1361" s="3"/>
      <c r="S1361" s="4"/>
    </row>
    <row r="1362" ht="14.25" customHeight="1">
      <c r="A1362" s="1" t="s">
        <v>1550</v>
      </c>
      <c r="B1362" s="1">
        <v>150.0</v>
      </c>
      <c r="C1362" s="1">
        <v>3.2519322E7</v>
      </c>
      <c r="D1362" s="1" t="s">
        <v>2887</v>
      </c>
      <c r="E1362" s="1" t="s">
        <v>2961</v>
      </c>
      <c r="F1362" s="1" t="s">
        <v>2962</v>
      </c>
      <c r="G1362" s="1">
        <v>497946.0</v>
      </c>
      <c r="H1362" s="1">
        <v>761.0</v>
      </c>
      <c r="I1362" s="1" t="s">
        <v>16</v>
      </c>
      <c r="J1362" s="1">
        <v>3.5E7</v>
      </c>
      <c r="K1362" s="1">
        <v>2002.0</v>
      </c>
      <c r="L1362" s="1">
        <v>8.5</v>
      </c>
      <c r="O1362" s="3"/>
      <c r="S1362" s="4"/>
    </row>
    <row r="1363" ht="14.25" customHeight="1">
      <c r="A1363" s="1" t="s">
        <v>2447</v>
      </c>
      <c r="B1363" s="1">
        <v>101.0</v>
      </c>
      <c r="C1363" s="1">
        <v>3.7617947E7</v>
      </c>
      <c r="D1363" s="1" t="s">
        <v>2327</v>
      </c>
      <c r="E1363" s="1" t="s">
        <v>2963</v>
      </c>
      <c r="F1363" s="1" t="s">
        <v>2964</v>
      </c>
      <c r="G1363" s="1">
        <v>8143.0</v>
      </c>
      <c r="H1363" s="1">
        <v>203.0</v>
      </c>
      <c r="I1363" s="1" t="s">
        <v>16</v>
      </c>
      <c r="J1363" s="1">
        <v>3.0E7</v>
      </c>
      <c r="K1363" s="1">
        <v>2006.0</v>
      </c>
      <c r="L1363" s="1">
        <v>6.8</v>
      </c>
      <c r="O1363" s="3"/>
      <c r="S1363" s="4"/>
    </row>
    <row r="1364" ht="14.25" customHeight="1">
      <c r="A1364" s="1" t="s">
        <v>2066</v>
      </c>
      <c r="B1364" s="1">
        <v>108.0</v>
      </c>
      <c r="C1364" s="1">
        <v>3.2048809E7</v>
      </c>
      <c r="D1364" s="1" t="s">
        <v>2551</v>
      </c>
      <c r="E1364" s="1" t="s">
        <v>2965</v>
      </c>
      <c r="F1364" s="1" t="s">
        <v>2966</v>
      </c>
      <c r="G1364" s="1">
        <v>94456.0</v>
      </c>
      <c r="H1364" s="1">
        <v>576.0</v>
      </c>
      <c r="I1364" s="1" t="s">
        <v>16</v>
      </c>
      <c r="J1364" s="1">
        <v>3.0E7</v>
      </c>
      <c r="K1364" s="1">
        <v>2005.0</v>
      </c>
      <c r="L1364" s="1">
        <v>5.3</v>
      </c>
      <c r="O1364" s="3"/>
      <c r="S1364" s="4"/>
    </row>
    <row r="1365" ht="14.25" customHeight="1">
      <c r="A1365" s="1" t="s">
        <v>1251</v>
      </c>
      <c r="B1365" s="1">
        <v>98.0</v>
      </c>
      <c r="C1365" s="1">
        <v>3.3987757E7</v>
      </c>
      <c r="D1365" s="1" t="s">
        <v>92</v>
      </c>
      <c r="E1365" s="1" t="s">
        <v>603</v>
      </c>
      <c r="F1365" s="1" t="s">
        <v>2967</v>
      </c>
      <c r="G1365" s="1">
        <v>168314.0</v>
      </c>
      <c r="H1365" s="1">
        <v>903.0</v>
      </c>
      <c r="I1365" s="1" t="s">
        <v>16</v>
      </c>
      <c r="J1365" s="1">
        <v>2.7E7</v>
      </c>
      <c r="K1365" s="1">
        <v>2004.0</v>
      </c>
      <c r="L1365" s="1">
        <v>7.3</v>
      </c>
      <c r="O1365" s="3"/>
      <c r="S1365" s="4"/>
    </row>
    <row r="1366" ht="14.25" customHeight="1">
      <c r="A1366" s="1" t="s">
        <v>1506</v>
      </c>
      <c r="B1366" s="1">
        <v>137.0</v>
      </c>
      <c r="C1366" s="1">
        <v>3.730495E7</v>
      </c>
      <c r="D1366" s="1" t="s">
        <v>716</v>
      </c>
      <c r="E1366" s="1" t="s">
        <v>93</v>
      </c>
      <c r="F1366" s="1" t="s">
        <v>2968</v>
      </c>
      <c r="G1366" s="1">
        <v>102728.0</v>
      </c>
      <c r="H1366" s="1">
        <v>279.0</v>
      </c>
      <c r="I1366" s="1" t="s">
        <v>16</v>
      </c>
      <c r="J1366" s="1">
        <v>3.5E7</v>
      </c>
      <c r="K1366" s="1">
        <v>2011.0</v>
      </c>
      <c r="L1366" s="1">
        <v>6.6</v>
      </c>
      <c r="O1366" s="3"/>
      <c r="S1366" s="4"/>
    </row>
    <row r="1367" ht="14.25" customHeight="1">
      <c r="A1367" s="1" t="s">
        <v>2969</v>
      </c>
      <c r="B1367" s="1">
        <v>112.0</v>
      </c>
      <c r="C1367" s="1">
        <v>3.0691439E7</v>
      </c>
      <c r="D1367" s="1" t="s">
        <v>2512</v>
      </c>
      <c r="E1367" s="1" t="s">
        <v>1219</v>
      </c>
      <c r="F1367" s="1" t="s">
        <v>2970</v>
      </c>
      <c r="G1367" s="1">
        <v>86205.0</v>
      </c>
      <c r="H1367" s="1">
        <v>232.0</v>
      </c>
      <c r="I1367" s="1" t="s">
        <v>16</v>
      </c>
      <c r="J1367" s="1">
        <v>3.5E7</v>
      </c>
      <c r="K1367" s="1">
        <v>2008.0</v>
      </c>
      <c r="L1367" s="1">
        <v>6.2</v>
      </c>
      <c r="O1367" s="3"/>
      <c r="S1367" s="4"/>
    </row>
    <row r="1368" ht="14.25" customHeight="1">
      <c r="A1368" s="1" t="s">
        <v>2971</v>
      </c>
      <c r="B1368" s="1">
        <v>101.0</v>
      </c>
      <c r="C1368" s="1">
        <v>3.0307804E7</v>
      </c>
      <c r="D1368" s="1" t="s">
        <v>2039</v>
      </c>
      <c r="E1368" s="1" t="s">
        <v>2972</v>
      </c>
      <c r="F1368" s="1" t="s">
        <v>2973</v>
      </c>
      <c r="G1368" s="1">
        <v>43991.0</v>
      </c>
      <c r="H1368" s="1">
        <v>695.0</v>
      </c>
      <c r="I1368" s="1" t="s">
        <v>16</v>
      </c>
      <c r="J1368" s="1">
        <v>3.5E7</v>
      </c>
      <c r="K1368" s="1">
        <v>2002.0</v>
      </c>
      <c r="L1368" s="1">
        <v>5.2</v>
      </c>
      <c r="O1368" s="3"/>
      <c r="S1368" s="4"/>
    </row>
    <row r="1369" ht="14.25" customHeight="1">
      <c r="A1369" s="1" t="s">
        <v>1127</v>
      </c>
      <c r="B1369" s="1">
        <v>103.0</v>
      </c>
      <c r="C1369" s="1">
        <v>3.0669413E7</v>
      </c>
      <c r="D1369" s="1" t="s">
        <v>1701</v>
      </c>
      <c r="E1369" s="1" t="s">
        <v>2764</v>
      </c>
      <c r="F1369" s="1" t="s">
        <v>2974</v>
      </c>
      <c r="G1369" s="1">
        <v>105478.0</v>
      </c>
      <c r="H1369" s="1">
        <v>291.0</v>
      </c>
      <c r="I1369" s="1" t="s">
        <v>16</v>
      </c>
      <c r="J1369" s="1">
        <v>3.5E7</v>
      </c>
      <c r="K1369" s="1">
        <v>1990.0</v>
      </c>
      <c r="L1369" s="1">
        <v>6.2</v>
      </c>
      <c r="O1369" s="3"/>
      <c r="S1369" s="4"/>
    </row>
    <row r="1370" ht="14.25" customHeight="1">
      <c r="A1370" s="1" t="s">
        <v>1416</v>
      </c>
      <c r="B1370" s="1">
        <v>101.0</v>
      </c>
      <c r="C1370" s="1">
        <v>2.8687835E7</v>
      </c>
      <c r="D1370" s="1" t="s">
        <v>901</v>
      </c>
      <c r="E1370" s="1" t="s">
        <v>1646</v>
      </c>
      <c r="F1370" s="1" t="s">
        <v>2975</v>
      </c>
      <c r="G1370" s="1">
        <v>40964.0</v>
      </c>
      <c r="H1370" s="1">
        <v>245.0</v>
      </c>
      <c r="I1370" s="1" t="s">
        <v>16</v>
      </c>
      <c r="J1370" s="1">
        <v>3.5E7</v>
      </c>
      <c r="K1370" s="1">
        <v>2008.0</v>
      </c>
      <c r="L1370" s="1">
        <v>6.2</v>
      </c>
      <c r="O1370" s="3"/>
      <c r="S1370" s="4"/>
    </row>
    <row r="1371" ht="14.25" customHeight="1">
      <c r="A1371" s="1" t="s">
        <v>2976</v>
      </c>
      <c r="B1371" s="1">
        <v>112.0</v>
      </c>
      <c r="C1371" s="1">
        <v>2.6494611E7</v>
      </c>
      <c r="D1371" s="1" t="s">
        <v>2977</v>
      </c>
      <c r="E1371" s="1" t="s">
        <v>1168</v>
      </c>
      <c r="F1371" s="1" t="s">
        <v>2978</v>
      </c>
      <c r="G1371" s="1">
        <v>48621.0</v>
      </c>
      <c r="H1371" s="1">
        <v>239.0</v>
      </c>
      <c r="I1371" s="1" t="s">
        <v>16</v>
      </c>
      <c r="J1371" s="1">
        <v>3.5E7</v>
      </c>
      <c r="K1371" s="1">
        <v>1999.0</v>
      </c>
      <c r="L1371" s="1">
        <v>6.6</v>
      </c>
      <c r="O1371" s="3"/>
      <c r="S1371" s="4"/>
    </row>
    <row r="1372" ht="14.25" customHeight="1">
      <c r="A1372" s="1" t="s">
        <v>2839</v>
      </c>
      <c r="B1372" s="1">
        <v>102.0</v>
      </c>
      <c r="C1372" s="1">
        <v>2.5266129E7</v>
      </c>
      <c r="D1372" s="1" t="s">
        <v>593</v>
      </c>
      <c r="E1372" s="1" t="s">
        <v>1941</v>
      </c>
      <c r="F1372" s="1" t="s">
        <v>2979</v>
      </c>
      <c r="G1372" s="1">
        <v>54346.0</v>
      </c>
      <c r="H1372" s="1">
        <v>358.0</v>
      </c>
      <c r="I1372" s="1" t="s">
        <v>16</v>
      </c>
      <c r="J1372" s="1">
        <v>3.5E7</v>
      </c>
      <c r="K1372" s="1">
        <v>2004.0</v>
      </c>
      <c r="L1372" s="1">
        <v>6.2</v>
      </c>
      <c r="O1372" s="3"/>
      <c r="S1372" s="4"/>
    </row>
    <row r="1373" ht="14.25" customHeight="1">
      <c r="A1373" s="1" t="s">
        <v>214</v>
      </c>
      <c r="B1373" s="1">
        <v>101.0</v>
      </c>
      <c r="C1373" s="1">
        <v>2.5863915E7</v>
      </c>
      <c r="D1373" s="1" t="s">
        <v>503</v>
      </c>
      <c r="E1373" s="1" t="s">
        <v>2980</v>
      </c>
      <c r="F1373" s="1" t="s">
        <v>2981</v>
      </c>
      <c r="G1373" s="1">
        <v>28257.0</v>
      </c>
      <c r="H1373" s="1">
        <v>151.0</v>
      </c>
      <c r="I1373" s="1" t="s">
        <v>16</v>
      </c>
      <c r="J1373" s="1">
        <v>3.5E7</v>
      </c>
      <c r="K1373" s="1">
        <v>2012.0</v>
      </c>
      <c r="L1373" s="1">
        <v>5.1</v>
      </c>
      <c r="O1373" s="3"/>
      <c r="S1373" s="4"/>
    </row>
    <row r="1374" ht="14.25" customHeight="1">
      <c r="A1374" s="1" t="s">
        <v>1506</v>
      </c>
      <c r="B1374" s="1">
        <v>155.0</v>
      </c>
      <c r="C1374" s="1">
        <v>2.5078937E7</v>
      </c>
      <c r="D1374" s="1" t="s">
        <v>909</v>
      </c>
      <c r="E1374" s="1" t="s">
        <v>52</v>
      </c>
      <c r="F1374" s="1" t="s">
        <v>2982</v>
      </c>
      <c r="G1374" s="1">
        <v>31751.0</v>
      </c>
      <c r="H1374" s="1">
        <v>216.0</v>
      </c>
      <c r="I1374" s="1" t="s">
        <v>16</v>
      </c>
      <c r="J1374" s="1">
        <v>3.0E7</v>
      </c>
      <c r="K1374" s="1">
        <v>1997.0</v>
      </c>
      <c r="L1374" s="1">
        <v>6.6</v>
      </c>
      <c r="O1374" s="3"/>
      <c r="S1374" s="4"/>
    </row>
    <row r="1375" ht="14.25" customHeight="1">
      <c r="A1375" s="1" t="s">
        <v>2983</v>
      </c>
      <c r="B1375" s="1">
        <v>109.0</v>
      </c>
      <c r="C1375" s="1">
        <v>2.899545E7</v>
      </c>
      <c r="D1375" s="1" t="s">
        <v>222</v>
      </c>
      <c r="E1375" s="1" t="s">
        <v>2984</v>
      </c>
      <c r="F1375" s="1" t="s">
        <v>2985</v>
      </c>
      <c r="G1375" s="1">
        <v>19230.0</v>
      </c>
      <c r="H1375" s="1">
        <v>59.0</v>
      </c>
      <c r="I1375" s="1" t="s">
        <v>16</v>
      </c>
      <c r="J1375" s="1">
        <v>3.5E7</v>
      </c>
      <c r="K1375" s="1">
        <v>2010.0</v>
      </c>
      <c r="L1375" s="1">
        <v>6.1</v>
      </c>
      <c r="O1375" s="3"/>
      <c r="S1375" s="4"/>
    </row>
    <row r="1376" ht="14.25" customHeight="1">
      <c r="A1376" s="1" t="s">
        <v>2198</v>
      </c>
      <c r="B1376" s="1">
        <v>140.0</v>
      </c>
      <c r="C1376" s="1">
        <v>2.42765E7</v>
      </c>
      <c r="D1376" s="1" t="s">
        <v>716</v>
      </c>
      <c r="E1376" s="1" t="s">
        <v>2986</v>
      </c>
      <c r="F1376" s="1" t="s">
        <v>2987</v>
      </c>
      <c r="G1376" s="1">
        <v>17124.0</v>
      </c>
      <c r="H1376" s="1">
        <v>68.0</v>
      </c>
      <c r="I1376" s="1" t="s">
        <v>16</v>
      </c>
      <c r="J1376" s="1">
        <v>3.5E7</v>
      </c>
      <c r="K1376" s="1">
        <v>1992.0</v>
      </c>
      <c r="L1376" s="1">
        <v>6.6</v>
      </c>
      <c r="O1376" s="3"/>
      <c r="S1376" s="4"/>
    </row>
    <row r="1377" ht="14.25" customHeight="1">
      <c r="A1377" s="1" t="s">
        <v>2988</v>
      </c>
      <c r="B1377" s="1">
        <v>108.0</v>
      </c>
      <c r="C1377" s="1">
        <v>2.0981633E7</v>
      </c>
      <c r="D1377" s="1" t="s">
        <v>932</v>
      </c>
      <c r="E1377" s="1" t="s">
        <v>2989</v>
      </c>
      <c r="F1377" s="1" t="s">
        <v>2990</v>
      </c>
      <c r="G1377" s="1">
        <v>78256.0</v>
      </c>
      <c r="H1377" s="1">
        <v>492.0</v>
      </c>
      <c r="I1377" s="1" t="s">
        <v>16</v>
      </c>
      <c r="J1377" s="1">
        <v>3.0E7</v>
      </c>
      <c r="K1377" s="1">
        <v>2008.0</v>
      </c>
      <c r="L1377" s="1">
        <v>5.9</v>
      </c>
      <c r="O1377" s="3"/>
      <c r="S1377" s="4"/>
    </row>
    <row r="1378" ht="14.25" customHeight="1">
      <c r="A1378" s="1" t="s">
        <v>2991</v>
      </c>
      <c r="B1378" s="1">
        <v>96.0</v>
      </c>
      <c r="C1378" s="1">
        <v>2.2913677E7</v>
      </c>
      <c r="D1378" s="1" t="s">
        <v>1088</v>
      </c>
      <c r="E1378" s="1" t="s">
        <v>953</v>
      </c>
      <c r="F1378" s="1" t="s">
        <v>2992</v>
      </c>
      <c r="G1378" s="1">
        <v>47800.0</v>
      </c>
      <c r="H1378" s="1">
        <v>244.0</v>
      </c>
      <c r="I1378" s="1" t="s">
        <v>16</v>
      </c>
      <c r="J1378" s="1">
        <v>3.5E7</v>
      </c>
      <c r="K1378" s="1">
        <v>2004.0</v>
      </c>
      <c r="L1378" s="1">
        <v>6.3</v>
      </c>
      <c r="O1378" s="3"/>
      <c r="S1378" s="4"/>
    </row>
    <row r="1379" ht="14.25" customHeight="1">
      <c r="A1379" s="1" t="s">
        <v>2993</v>
      </c>
      <c r="B1379" s="1">
        <v>123.0</v>
      </c>
      <c r="C1379" s="1">
        <v>3.4531832E7</v>
      </c>
      <c r="D1379" s="1" t="s">
        <v>681</v>
      </c>
      <c r="E1379" s="1" t="s">
        <v>71</v>
      </c>
      <c r="F1379" s="1" t="s">
        <v>2994</v>
      </c>
      <c r="G1379" s="1">
        <v>44788.0</v>
      </c>
      <c r="H1379" s="1">
        <v>138.0</v>
      </c>
      <c r="I1379" s="1" t="s">
        <v>16</v>
      </c>
      <c r="J1379" s="1">
        <v>3.5E7</v>
      </c>
      <c r="K1379" s="1">
        <v>2015.0</v>
      </c>
      <c r="L1379" s="1">
        <v>7.1</v>
      </c>
      <c r="O1379" s="3"/>
      <c r="S1379" s="4"/>
    </row>
    <row r="1380" ht="14.25" customHeight="1">
      <c r="A1380" s="1" t="s">
        <v>1205</v>
      </c>
      <c r="B1380" s="1">
        <v>106.0</v>
      </c>
      <c r="C1380" s="1">
        <v>2.8064226E7</v>
      </c>
      <c r="D1380" s="1" t="s">
        <v>485</v>
      </c>
      <c r="E1380" s="1" t="s">
        <v>2995</v>
      </c>
      <c r="F1380" s="1" t="s">
        <v>2996</v>
      </c>
      <c r="G1380" s="1">
        <v>65044.0</v>
      </c>
      <c r="H1380" s="1">
        <v>173.0</v>
      </c>
      <c r="I1380" s="1" t="s">
        <v>16</v>
      </c>
      <c r="J1380" s="1">
        <v>3.5E7</v>
      </c>
      <c r="K1380" s="1">
        <v>2011.0</v>
      </c>
      <c r="L1380" s="1">
        <v>5.0</v>
      </c>
      <c r="O1380" s="3"/>
      <c r="S1380" s="4"/>
    </row>
    <row r="1381" ht="14.25" customHeight="1">
      <c r="A1381" s="1" t="s">
        <v>2997</v>
      </c>
      <c r="B1381" s="1">
        <v>76.0</v>
      </c>
      <c r="C1381" s="1">
        <v>1.9447478E7</v>
      </c>
      <c r="D1381" s="1" t="s">
        <v>2998</v>
      </c>
      <c r="E1381" s="1" t="s">
        <v>194</v>
      </c>
      <c r="F1381" s="1" t="s">
        <v>2999</v>
      </c>
      <c r="G1381" s="1">
        <v>15788.0</v>
      </c>
      <c r="H1381" s="1">
        <v>80.0</v>
      </c>
      <c r="I1381" s="1" t="s">
        <v>16</v>
      </c>
      <c r="J1381" s="1">
        <v>3.5E7</v>
      </c>
      <c r="K1381" s="1">
        <v>2005.0</v>
      </c>
      <c r="L1381" s="1">
        <v>5.6</v>
      </c>
      <c r="O1381" s="3"/>
      <c r="S1381" s="4"/>
    </row>
    <row r="1382" ht="14.25" customHeight="1">
      <c r="A1382" s="1" t="s">
        <v>1985</v>
      </c>
      <c r="B1382" s="1">
        <v>107.0</v>
      </c>
      <c r="C1382" s="1">
        <v>1.9389454E7</v>
      </c>
      <c r="D1382" s="1" t="s">
        <v>1059</v>
      </c>
      <c r="E1382" s="1" t="s">
        <v>96</v>
      </c>
      <c r="F1382" s="1" t="s">
        <v>3000</v>
      </c>
      <c r="G1382" s="1">
        <v>54643.0</v>
      </c>
      <c r="H1382" s="1">
        <v>335.0</v>
      </c>
      <c r="I1382" s="1" t="s">
        <v>16</v>
      </c>
      <c r="J1382" s="1">
        <v>5.5E7</v>
      </c>
      <c r="K1382" s="1">
        <v>2000.0</v>
      </c>
      <c r="L1382" s="1">
        <v>7.4</v>
      </c>
      <c r="O1382" s="3"/>
      <c r="S1382" s="4"/>
    </row>
    <row r="1383" ht="14.25" customHeight="1">
      <c r="A1383" s="1" t="s">
        <v>3001</v>
      </c>
      <c r="B1383" s="1">
        <v>82.0</v>
      </c>
      <c r="C1383" s="1">
        <v>2.5871834E7</v>
      </c>
      <c r="D1383" s="1" t="s">
        <v>3002</v>
      </c>
      <c r="E1383" s="1" t="s">
        <v>3003</v>
      </c>
      <c r="F1383" s="1" t="s">
        <v>3004</v>
      </c>
      <c r="G1383" s="1">
        <v>52052.0</v>
      </c>
      <c r="H1383" s="1">
        <v>173.0</v>
      </c>
      <c r="I1383" s="1" t="s">
        <v>16</v>
      </c>
      <c r="J1383" s="1">
        <v>3.5E7</v>
      </c>
      <c r="K1383" s="1">
        <v>2008.0</v>
      </c>
      <c r="L1383" s="1">
        <v>4.5</v>
      </c>
      <c r="O1383" s="3"/>
      <c r="S1383" s="4"/>
    </row>
    <row r="1384" ht="14.25" customHeight="1">
      <c r="A1384" s="1" t="s">
        <v>3005</v>
      </c>
      <c r="B1384" s="1">
        <v>109.0</v>
      </c>
      <c r="C1384" s="1">
        <v>1.9692608E7</v>
      </c>
      <c r="D1384" s="1" t="s">
        <v>901</v>
      </c>
      <c r="E1384" s="1" t="s">
        <v>3006</v>
      </c>
      <c r="F1384" s="1" t="s">
        <v>3007</v>
      </c>
      <c r="G1384" s="1">
        <v>63548.0</v>
      </c>
      <c r="H1384" s="1">
        <v>134.0</v>
      </c>
      <c r="I1384" s="1" t="s">
        <v>16</v>
      </c>
      <c r="J1384" s="1">
        <v>3.5E7</v>
      </c>
      <c r="K1384" s="1">
        <v>2013.0</v>
      </c>
      <c r="L1384" s="1">
        <v>6.2</v>
      </c>
      <c r="O1384" s="3"/>
      <c r="S1384" s="4"/>
    </row>
    <row r="1385" ht="14.25" customHeight="1">
      <c r="A1385" s="1" t="s">
        <v>2511</v>
      </c>
      <c r="B1385" s="1">
        <v>99.0</v>
      </c>
      <c r="C1385" s="1">
        <v>1.9294901E7</v>
      </c>
      <c r="D1385" s="1" t="s">
        <v>3008</v>
      </c>
      <c r="E1385" s="1" t="s">
        <v>3009</v>
      </c>
      <c r="F1385" s="1" t="s">
        <v>3010</v>
      </c>
      <c r="G1385" s="1">
        <v>26126.0</v>
      </c>
      <c r="H1385" s="1">
        <v>325.0</v>
      </c>
      <c r="I1385" s="1" t="s">
        <v>16</v>
      </c>
      <c r="J1385" s="1">
        <v>3.5E7</v>
      </c>
      <c r="K1385" s="1">
        <v>2005.0</v>
      </c>
      <c r="L1385" s="1">
        <v>5.0</v>
      </c>
      <c r="O1385" s="3"/>
      <c r="S1385" s="4"/>
    </row>
    <row r="1386" ht="14.25" customHeight="1">
      <c r="A1386" s="1" t="s">
        <v>1797</v>
      </c>
      <c r="B1386" s="1">
        <v>91.0</v>
      </c>
      <c r="C1386" s="1">
        <v>2.0275446E7</v>
      </c>
      <c r="D1386" s="1" t="s">
        <v>146</v>
      </c>
      <c r="E1386" s="1" t="s">
        <v>232</v>
      </c>
      <c r="F1386" s="1" t="s">
        <v>3011</v>
      </c>
      <c r="G1386" s="1">
        <v>95274.0</v>
      </c>
      <c r="H1386" s="1">
        <v>178.0</v>
      </c>
      <c r="I1386" s="1" t="s">
        <v>16</v>
      </c>
      <c r="J1386" s="1">
        <v>3.5E7</v>
      </c>
      <c r="K1386" s="1">
        <v>2012.0</v>
      </c>
      <c r="L1386" s="1">
        <v>6.5</v>
      </c>
      <c r="O1386" s="3"/>
      <c r="S1386" s="4"/>
    </row>
    <row r="1387" ht="14.25" customHeight="1">
      <c r="A1387" s="1" t="s">
        <v>2484</v>
      </c>
      <c r="B1387" s="1">
        <v>87.0</v>
      </c>
      <c r="C1387" s="1">
        <v>3.4507079E7</v>
      </c>
      <c r="D1387" s="1" t="s">
        <v>728</v>
      </c>
      <c r="E1387" s="1" t="s">
        <v>3012</v>
      </c>
      <c r="F1387" s="1" t="s">
        <v>3013</v>
      </c>
      <c r="G1387" s="1">
        <v>34948.0</v>
      </c>
      <c r="H1387" s="1">
        <v>118.0</v>
      </c>
      <c r="I1387" s="1" t="s">
        <v>16</v>
      </c>
      <c r="J1387" s="1">
        <v>3.5E7</v>
      </c>
      <c r="K1387" s="1">
        <v>2015.0</v>
      </c>
      <c r="L1387" s="1">
        <v>5.1</v>
      </c>
      <c r="O1387" s="3"/>
      <c r="S1387" s="4"/>
    </row>
    <row r="1388" ht="14.25" customHeight="1">
      <c r="A1388" s="1" t="s">
        <v>1928</v>
      </c>
      <c r="B1388" s="1">
        <v>125.0</v>
      </c>
      <c r="C1388" s="1">
        <v>1.8306166E7</v>
      </c>
      <c r="D1388" s="1" t="s">
        <v>513</v>
      </c>
      <c r="E1388" s="1" t="s">
        <v>705</v>
      </c>
      <c r="F1388" s="1" t="s">
        <v>3014</v>
      </c>
      <c r="G1388" s="1">
        <v>28130.0</v>
      </c>
      <c r="H1388" s="1">
        <v>215.0</v>
      </c>
      <c r="I1388" s="1" t="s">
        <v>16</v>
      </c>
      <c r="J1388" s="1">
        <v>3.5E7</v>
      </c>
      <c r="K1388" s="1">
        <v>2002.0</v>
      </c>
      <c r="L1388" s="1">
        <v>6.5</v>
      </c>
      <c r="O1388" s="3"/>
      <c r="S1388" s="4"/>
    </row>
    <row r="1389" ht="14.25" customHeight="1">
      <c r="A1389" s="1" t="s">
        <v>1535</v>
      </c>
      <c r="B1389" s="1">
        <v>118.0</v>
      </c>
      <c r="C1389" s="1">
        <v>1.7609982E7</v>
      </c>
      <c r="D1389" s="1" t="s">
        <v>670</v>
      </c>
      <c r="E1389" s="1" t="s">
        <v>147</v>
      </c>
      <c r="F1389" s="1" t="s">
        <v>3015</v>
      </c>
      <c r="G1389" s="1">
        <v>90046.0</v>
      </c>
      <c r="H1389" s="1">
        <v>141.0</v>
      </c>
      <c r="I1389" s="1" t="s">
        <v>16</v>
      </c>
      <c r="J1389" s="1">
        <v>3.5E7</v>
      </c>
      <c r="K1389" s="1">
        <v>2013.0</v>
      </c>
      <c r="L1389" s="1">
        <v>6.2</v>
      </c>
      <c r="O1389" s="3"/>
      <c r="S1389" s="4"/>
    </row>
    <row r="1390" ht="14.25" customHeight="1">
      <c r="A1390" s="1" t="s">
        <v>2095</v>
      </c>
      <c r="B1390" s="1">
        <v>98.0</v>
      </c>
      <c r="C1390" s="1">
        <v>1.6831505E7</v>
      </c>
      <c r="D1390" s="1" t="s">
        <v>1584</v>
      </c>
      <c r="E1390" s="1" t="s">
        <v>1971</v>
      </c>
      <c r="F1390" s="1" t="s">
        <v>3016</v>
      </c>
      <c r="G1390" s="1">
        <v>51842.0</v>
      </c>
      <c r="H1390" s="1">
        <v>173.0</v>
      </c>
      <c r="I1390" s="1" t="s">
        <v>16</v>
      </c>
      <c r="J1390" s="1">
        <v>3.1E7</v>
      </c>
      <c r="K1390" s="1">
        <v>2004.0</v>
      </c>
      <c r="L1390" s="1">
        <v>6.3</v>
      </c>
      <c r="O1390" s="3"/>
      <c r="S1390" s="4"/>
    </row>
    <row r="1391" ht="14.25" customHeight="1">
      <c r="A1391" s="1" t="s">
        <v>2413</v>
      </c>
      <c r="B1391" s="1">
        <v>92.0</v>
      </c>
      <c r="C1391" s="1">
        <v>1.7596256E7</v>
      </c>
      <c r="D1391" s="1" t="s">
        <v>1247</v>
      </c>
      <c r="E1391" s="1" t="s">
        <v>1168</v>
      </c>
      <c r="F1391" s="1" t="s">
        <v>3017</v>
      </c>
      <c r="G1391" s="1">
        <v>12399.0</v>
      </c>
      <c r="H1391" s="1">
        <v>84.0</v>
      </c>
      <c r="I1391" s="1" t="s">
        <v>16</v>
      </c>
      <c r="J1391" s="1">
        <v>3.5E7</v>
      </c>
      <c r="K1391" s="1">
        <v>2010.0</v>
      </c>
      <c r="L1391" s="1">
        <v>3.8</v>
      </c>
      <c r="O1391" s="3"/>
      <c r="S1391" s="4"/>
    </row>
    <row r="1392" ht="14.25" customHeight="1">
      <c r="A1392" s="1" t="s">
        <v>1640</v>
      </c>
      <c r="B1392" s="1">
        <v>92.0</v>
      </c>
      <c r="C1392" s="1">
        <v>1.499807E7</v>
      </c>
      <c r="D1392" s="1" t="s">
        <v>3018</v>
      </c>
      <c r="E1392" s="1" t="s">
        <v>1000</v>
      </c>
      <c r="F1392" s="1" t="s">
        <v>3019</v>
      </c>
      <c r="G1392" s="1">
        <v>41170.0</v>
      </c>
      <c r="H1392" s="1">
        <v>298.0</v>
      </c>
      <c r="I1392" s="1" t="s">
        <v>16</v>
      </c>
      <c r="J1392" s="1">
        <v>3.5E7</v>
      </c>
      <c r="K1392" s="1">
        <v>2007.0</v>
      </c>
      <c r="L1392" s="1">
        <v>6.2</v>
      </c>
      <c r="O1392" s="3"/>
      <c r="S1392" s="4"/>
    </row>
    <row r="1393" ht="14.25" customHeight="1">
      <c r="A1393" s="1" t="s">
        <v>963</v>
      </c>
      <c r="B1393" s="1">
        <v>115.0</v>
      </c>
      <c r="C1393" s="1">
        <v>1.4587732E7</v>
      </c>
      <c r="D1393" s="1" t="s">
        <v>800</v>
      </c>
      <c r="E1393" s="1" t="s">
        <v>3020</v>
      </c>
      <c r="F1393" s="1" t="s">
        <v>3021</v>
      </c>
      <c r="G1393" s="1">
        <v>4795.0</v>
      </c>
      <c r="H1393" s="1">
        <v>39.0</v>
      </c>
      <c r="I1393" s="1" t="s">
        <v>16</v>
      </c>
      <c r="J1393" s="1">
        <v>3.5E7</v>
      </c>
      <c r="K1393" s="1">
        <v>1991.0</v>
      </c>
      <c r="L1393" s="1">
        <v>5.7</v>
      </c>
      <c r="O1393" s="3"/>
      <c r="S1393" s="4"/>
    </row>
    <row r="1394" ht="14.25" customHeight="1">
      <c r="A1394" s="1" t="s">
        <v>2617</v>
      </c>
      <c r="B1394" s="1">
        <v>120.0</v>
      </c>
      <c r="C1394" s="1">
        <v>1.8317151E7</v>
      </c>
      <c r="D1394" s="1" t="s">
        <v>3022</v>
      </c>
      <c r="E1394" s="1" t="s">
        <v>3023</v>
      </c>
      <c r="F1394" s="1" t="s">
        <v>3024</v>
      </c>
      <c r="G1394" s="1">
        <v>55630.0</v>
      </c>
      <c r="H1394" s="1">
        <v>200.0</v>
      </c>
      <c r="I1394" s="1" t="s">
        <v>16</v>
      </c>
      <c r="J1394" s="1">
        <v>3.5E7</v>
      </c>
      <c r="K1394" s="1">
        <v>2007.0</v>
      </c>
      <c r="L1394" s="1">
        <v>6.7</v>
      </c>
      <c r="O1394" s="3"/>
      <c r="S1394" s="4"/>
    </row>
    <row r="1395" ht="14.25" customHeight="1">
      <c r="A1395" s="1" t="s">
        <v>3025</v>
      </c>
      <c r="B1395" s="1">
        <v>111.0</v>
      </c>
      <c r="C1395" s="1">
        <v>1.1405825E7</v>
      </c>
      <c r="D1395" s="1" t="s">
        <v>1391</v>
      </c>
      <c r="E1395" s="1" t="s">
        <v>52</v>
      </c>
      <c r="F1395" s="1" t="s">
        <v>3026</v>
      </c>
      <c r="G1395" s="1">
        <v>28542.0</v>
      </c>
      <c r="H1395" s="1">
        <v>208.0</v>
      </c>
      <c r="I1395" s="1" t="s">
        <v>16</v>
      </c>
      <c r="J1395" s="1">
        <v>3.5E7</v>
      </c>
      <c r="K1395" s="1">
        <v>2001.0</v>
      </c>
      <c r="L1395" s="1">
        <v>6.8</v>
      </c>
      <c r="O1395" s="3"/>
      <c r="S1395" s="4"/>
    </row>
    <row r="1396" ht="14.25" customHeight="1">
      <c r="A1396" s="1" t="s">
        <v>1100</v>
      </c>
      <c r="B1396" s="1">
        <v>94.0</v>
      </c>
      <c r="C1396" s="1">
        <v>1.3264986E7</v>
      </c>
      <c r="D1396" s="1" t="s">
        <v>3027</v>
      </c>
      <c r="E1396" s="1" t="s">
        <v>3028</v>
      </c>
      <c r="F1396" s="1" t="s">
        <v>3029</v>
      </c>
      <c r="G1396" s="1">
        <v>12077.0</v>
      </c>
      <c r="H1396" s="1">
        <v>162.0</v>
      </c>
      <c r="I1396" s="1" t="s">
        <v>16</v>
      </c>
      <c r="J1396" s="1">
        <v>3.5E7</v>
      </c>
      <c r="K1396" s="1">
        <v>2001.0</v>
      </c>
      <c r="L1396" s="1">
        <v>6.0</v>
      </c>
      <c r="O1396" s="3"/>
      <c r="S1396" s="4"/>
    </row>
    <row r="1397" ht="14.25" customHeight="1">
      <c r="A1397" s="1" t="s">
        <v>3030</v>
      </c>
      <c r="B1397" s="1">
        <v>100.0</v>
      </c>
      <c r="C1397" s="1">
        <v>1.0991381E7</v>
      </c>
      <c r="D1397" s="1" t="s">
        <v>2432</v>
      </c>
      <c r="E1397" s="1" t="s">
        <v>3031</v>
      </c>
      <c r="F1397" s="1" t="s">
        <v>3032</v>
      </c>
      <c r="G1397" s="1">
        <v>44931.0</v>
      </c>
      <c r="H1397" s="1">
        <v>100.0</v>
      </c>
      <c r="I1397" s="1" t="s">
        <v>16</v>
      </c>
      <c r="J1397" s="1">
        <v>3.5E7</v>
      </c>
      <c r="K1397" s="1">
        <v>2009.0</v>
      </c>
      <c r="L1397" s="1">
        <v>7.3</v>
      </c>
      <c r="O1397" s="3"/>
      <c r="S1397" s="4"/>
    </row>
    <row r="1398" ht="14.25" customHeight="1">
      <c r="A1398" s="1" t="s">
        <v>702</v>
      </c>
      <c r="B1398" s="1">
        <v>101.0</v>
      </c>
      <c r="C1398" s="1">
        <v>1.0268846E7</v>
      </c>
      <c r="D1398" s="1" t="s">
        <v>503</v>
      </c>
      <c r="E1398" s="1" t="s">
        <v>2816</v>
      </c>
      <c r="F1398" s="1" t="s">
        <v>3033</v>
      </c>
      <c r="G1398" s="1">
        <v>31918.0</v>
      </c>
      <c r="H1398" s="1">
        <v>142.0</v>
      </c>
      <c r="I1398" s="1" t="s">
        <v>16</v>
      </c>
      <c r="J1398" s="1">
        <v>3.5E7</v>
      </c>
      <c r="K1398" s="1">
        <v>2009.0</v>
      </c>
      <c r="L1398" s="1">
        <v>5.5</v>
      </c>
      <c r="O1398" s="3"/>
      <c r="S1398" s="4"/>
    </row>
    <row r="1399" ht="14.25" customHeight="1">
      <c r="A1399" s="1" t="s">
        <v>1999</v>
      </c>
      <c r="B1399" s="1">
        <v>139.0</v>
      </c>
      <c r="C1399" s="1">
        <v>1.3303319E7</v>
      </c>
      <c r="D1399" s="1" t="s">
        <v>2143</v>
      </c>
      <c r="E1399" s="1" t="s">
        <v>293</v>
      </c>
      <c r="F1399" s="1" t="s">
        <v>3034</v>
      </c>
      <c r="G1399" s="1">
        <v>136367.0</v>
      </c>
      <c r="H1399" s="1">
        <v>975.0</v>
      </c>
      <c r="I1399" s="1" t="s">
        <v>16</v>
      </c>
      <c r="J1399" s="1">
        <v>3.2E7</v>
      </c>
      <c r="K1399" s="1">
        <v>2011.0</v>
      </c>
      <c r="L1399" s="1">
        <v>6.7</v>
      </c>
      <c r="O1399" s="3"/>
      <c r="S1399" s="4"/>
    </row>
    <row r="1400" ht="14.25" customHeight="1">
      <c r="A1400" s="1" t="s">
        <v>3035</v>
      </c>
      <c r="B1400" s="1">
        <v>91.0</v>
      </c>
      <c r="C1400" s="1">
        <v>1.0076136E7</v>
      </c>
      <c r="D1400" s="1" t="s">
        <v>719</v>
      </c>
      <c r="E1400" s="1" t="s">
        <v>3036</v>
      </c>
      <c r="F1400" s="1" t="s">
        <v>3037</v>
      </c>
      <c r="G1400" s="1">
        <v>11512.0</v>
      </c>
      <c r="H1400" s="1">
        <v>141.0</v>
      </c>
      <c r="I1400" s="1" t="s">
        <v>16</v>
      </c>
      <c r="J1400" s="1">
        <v>3.5E7</v>
      </c>
      <c r="K1400" s="1">
        <v>1998.0</v>
      </c>
      <c r="L1400" s="1">
        <v>4.8</v>
      </c>
      <c r="O1400" s="3"/>
      <c r="S1400" s="4"/>
    </row>
    <row r="1401" ht="14.25" customHeight="1">
      <c r="A1401" s="1" t="s">
        <v>218</v>
      </c>
      <c r="B1401" s="1">
        <v>109.0</v>
      </c>
      <c r="C1401" s="1">
        <v>1.0499968E7</v>
      </c>
      <c r="D1401" s="1" t="s">
        <v>197</v>
      </c>
      <c r="E1401" s="1" t="s">
        <v>3038</v>
      </c>
      <c r="F1401" s="1" t="s">
        <v>3039</v>
      </c>
      <c r="G1401" s="1">
        <v>47498.0</v>
      </c>
      <c r="H1401" s="1">
        <v>212.0</v>
      </c>
      <c r="I1401" s="1" t="s">
        <v>16</v>
      </c>
      <c r="J1401" s="1">
        <v>3.5E7</v>
      </c>
      <c r="K1401" s="1">
        <v>2014.0</v>
      </c>
      <c r="L1401" s="1">
        <v>5.7</v>
      </c>
      <c r="O1401" s="3"/>
      <c r="S1401" s="4"/>
    </row>
    <row r="1402" ht="14.25" customHeight="1">
      <c r="A1402" s="1" t="s">
        <v>2050</v>
      </c>
      <c r="B1402" s="1">
        <v>102.0</v>
      </c>
      <c r="C1402" s="1">
        <v>7659747.0</v>
      </c>
      <c r="D1402" s="1" t="s">
        <v>485</v>
      </c>
      <c r="E1402" s="1" t="s">
        <v>637</v>
      </c>
      <c r="F1402" s="1" t="s">
        <v>3040</v>
      </c>
      <c r="G1402" s="1">
        <v>14962.0</v>
      </c>
      <c r="H1402" s="1">
        <v>204.0</v>
      </c>
      <c r="I1402" s="1" t="s">
        <v>16</v>
      </c>
      <c r="J1402" s="1">
        <v>3.8E7</v>
      </c>
      <c r="K1402" s="1">
        <v>2003.0</v>
      </c>
      <c r="L1402" s="1">
        <v>5.1</v>
      </c>
      <c r="O1402" s="3"/>
      <c r="S1402" s="4"/>
    </row>
    <row r="1403" ht="14.25" customHeight="1">
      <c r="A1403" s="1" t="s">
        <v>3041</v>
      </c>
      <c r="B1403" s="1">
        <v>103.0</v>
      </c>
      <c r="C1403" s="1">
        <v>7948159.0</v>
      </c>
      <c r="D1403" s="1" t="s">
        <v>197</v>
      </c>
      <c r="E1403" s="1" t="s">
        <v>3042</v>
      </c>
      <c r="F1403" s="1" t="s">
        <v>3043</v>
      </c>
      <c r="G1403" s="1">
        <v>48999.0</v>
      </c>
      <c r="H1403" s="1">
        <v>280.0</v>
      </c>
      <c r="I1403" s="1" t="s">
        <v>16</v>
      </c>
      <c r="J1403" s="1">
        <v>3.5E7</v>
      </c>
      <c r="K1403" s="1">
        <v>2008.0</v>
      </c>
      <c r="L1403" s="1">
        <v>6.0</v>
      </c>
      <c r="O1403" s="3"/>
      <c r="S1403" s="4"/>
    </row>
    <row r="1404" ht="14.25" customHeight="1">
      <c r="A1404" s="1" t="s">
        <v>2059</v>
      </c>
      <c r="B1404" s="1">
        <v>83.0</v>
      </c>
      <c r="C1404" s="1">
        <v>1.1631245E7</v>
      </c>
      <c r="D1404" s="1" t="s">
        <v>3044</v>
      </c>
      <c r="E1404" s="1" t="s">
        <v>3045</v>
      </c>
      <c r="F1404" s="1" t="s">
        <v>3046</v>
      </c>
      <c r="G1404" s="1">
        <v>15015.0</v>
      </c>
      <c r="H1404" s="1">
        <v>113.0</v>
      </c>
      <c r="I1404" s="1" t="s">
        <v>16</v>
      </c>
      <c r="J1404" s="1">
        <v>3.5E7</v>
      </c>
      <c r="K1404" s="1">
        <v>2006.0</v>
      </c>
      <c r="L1404" s="1">
        <v>4.2</v>
      </c>
      <c r="O1404" s="3"/>
      <c r="S1404" s="4"/>
    </row>
    <row r="1405" ht="14.25" customHeight="1">
      <c r="A1405" s="1" t="s">
        <v>186</v>
      </c>
      <c r="B1405" s="1">
        <v>123.0</v>
      </c>
      <c r="C1405" s="1">
        <v>1.0137502E7</v>
      </c>
      <c r="D1405" s="1" t="s">
        <v>3047</v>
      </c>
      <c r="E1405" s="1" t="s">
        <v>232</v>
      </c>
      <c r="F1405" s="1" t="s">
        <v>3048</v>
      </c>
      <c r="G1405" s="1">
        <v>77394.0</v>
      </c>
      <c r="H1405" s="1">
        <v>195.0</v>
      </c>
      <c r="I1405" s="1" t="s">
        <v>16</v>
      </c>
      <c r="J1405" s="1">
        <v>3.5E7</v>
      </c>
      <c r="K1405" s="1">
        <v>2015.0</v>
      </c>
      <c r="L1405" s="1">
        <v>7.4</v>
      </c>
      <c r="O1405" s="3"/>
      <c r="S1405" s="4"/>
    </row>
    <row r="1406" ht="14.25" customHeight="1">
      <c r="A1406" s="1" t="s">
        <v>3049</v>
      </c>
      <c r="B1406" s="1">
        <v>101.0</v>
      </c>
      <c r="C1406" s="1">
        <v>6448817.0</v>
      </c>
      <c r="D1406" s="1" t="s">
        <v>18</v>
      </c>
      <c r="E1406" s="1" t="s">
        <v>3050</v>
      </c>
      <c r="F1406" s="1" t="s">
        <v>3051</v>
      </c>
      <c r="G1406" s="1">
        <v>2189.0</v>
      </c>
      <c r="H1406" s="1">
        <v>31.0</v>
      </c>
      <c r="I1406" s="1" t="s">
        <v>16</v>
      </c>
      <c r="J1406" s="1">
        <v>3.5E7</v>
      </c>
      <c r="K1406" s="1">
        <v>1997.0</v>
      </c>
      <c r="L1406" s="1">
        <v>4.6</v>
      </c>
      <c r="O1406" s="3"/>
      <c r="S1406" s="4"/>
    </row>
    <row r="1407" ht="14.25" customHeight="1">
      <c r="A1407" s="1" t="s">
        <v>80</v>
      </c>
      <c r="B1407" s="1">
        <v>117.0</v>
      </c>
      <c r="C1407" s="1">
        <v>7458269.0</v>
      </c>
      <c r="D1407" s="1" t="s">
        <v>593</v>
      </c>
      <c r="E1407" s="1" t="s">
        <v>3052</v>
      </c>
      <c r="F1407" s="1" t="s">
        <v>3053</v>
      </c>
      <c r="G1407" s="1">
        <v>70698.0</v>
      </c>
      <c r="H1407" s="1">
        <v>196.0</v>
      </c>
      <c r="I1407" s="1" t="s">
        <v>16</v>
      </c>
      <c r="J1407" s="1">
        <v>3.5E7</v>
      </c>
      <c r="K1407" s="1">
        <v>2006.0</v>
      </c>
      <c r="L1407" s="1">
        <v>6.9</v>
      </c>
      <c r="O1407" s="3"/>
      <c r="S1407" s="4"/>
    </row>
    <row r="1408" ht="14.25" customHeight="1">
      <c r="A1408" s="1" t="s">
        <v>446</v>
      </c>
      <c r="B1408" s="1">
        <v>114.0</v>
      </c>
      <c r="C1408" s="1">
        <v>4651977.0</v>
      </c>
      <c r="D1408" s="1" t="s">
        <v>1391</v>
      </c>
      <c r="E1408" s="1" t="s">
        <v>2764</v>
      </c>
      <c r="F1408" s="1" t="s">
        <v>3054</v>
      </c>
      <c r="G1408" s="1">
        <v>10410.0</v>
      </c>
      <c r="H1408" s="1">
        <v>71.0</v>
      </c>
      <c r="I1408" s="1" t="s">
        <v>16</v>
      </c>
      <c r="J1408" s="1">
        <v>3.5E7</v>
      </c>
      <c r="K1408" s="1">
        <v>1992.0</v>
      </c>
      <c r="L1408" s="1">
        <v>6.9</v>
      </c>
      <c r="O1408" s="3"/>
      <c r="S1408" s="4"/>
    </row>
    <row r="1409" ht="14.25" customHeight="1">
      <c r="A1409" s="1" t="s">
        <v>1535</v>
      </c>
      <c r="B1409" s="1">
        <v>330.0</v>
      </c>
      <c r="C1409" s="1">
        <v>4496583.0</v>
      </c>
      <c r="D1409" s="1" t="s">
        <v>811</v>
      </c>
      <c r="E1409" s="1" t="s">
        <v>1509</v>
      </c>
      <c r="F1409" s="1" t="s">
        <v>3055</v>
      </c>
      <c r="G1409" s="1">
        <v>23181.0</v>
      </c>
      <c r="H1409" s="1">
        <v>129.0</v>
      </c>
      <c r="I1409" s="1" t="s">
        <v>16</v>
      </c>
      <c r="J1409" s="1">
        <v>3.5E7</v>
      </c>
      <c r="K1409" s="1">
        <v>1993.0</v>
      </c>
      <c r="L1409" s="1">
        <v>8.0</v>
      </c>
      <c r="O1409" s="3"/>
      <c r="S1409" s="4"/>
    </row>
    <row r="1410" ht="14.25" customHeight="1">
      <c r="A1410" s="1" t="s">
        <v>3056</v>
      </c>
      <c r="B1410" s="1">
        <v>121.0</v>
      </c>
      <c r="C1410" s="1">
        <v>2221994.0</v>
      </c>
      <c r="D1410" s="1" t="s">
        <v>581</v>
      </c>
      <c r="E1410" s="1" t="s">
        <v>194</v>
      </c>
      <c r="F1410" s="1" t="s">
        <v>3057</v>
      </c>
      <c r="G1410" s="1">
        <v>11747.0</v>
      </c>
      <c r="H1410" s="1">
        <v>99.0</v>
      </c>
      <c r="I1410" s="1" t="s">
        <v>16</v>
      </c>
      <c r="J1410" s="1">
        <v>3.5E7</v>
      </c>
      <c r="K1410" s="1">
        <v>1997.0</v>
      </c>
      <c r="L1410" s="1">
        <v>6.4</v>
      </c>
      <c r="O1410" s="3"/>
      <c r="S1410" s="4"/>
    </row>
    <row r="1411" ht="14.25" customHeight="1">
      <c r="A1411" s="1" t="s">
        <v>950</v>
      </c>
      <c r="B1411" s="1">
        <v>114.0</v>
      </c>
      <c r="C1411" s="1">
        <v>6592103.0</v>
      </c>
      <c r="D1411" s="1" t="s">
        <v>909</v>
      </c>
      <c r="E1411" s="1" t="s">
        <v>1307</v>
      </c>
      <c r="F1411" s="1" t="s">
        <v>3058</v>
      </c>
      <c r="G1411" s="1">
        <v>28584.0</v>
      </c>
      <c r="H1411" s="1">
        <v>232.0</v>
      </c>
      <c r="I1411" s="1" t="s">
        <v>16</v>
      </c>
      <c r="J1411" s="1">
        <v>3.5E7</v>
      </c>
      <c r="K1411" s="1">
        <v>2002.0</v>
      </c>
      <c r="L1411" s="1">
        <v>6.3</v>
      </c>
      <c r="O1411" s="3"/>
      <c r="S1411" s="4"/>
    </row>
    <row r="1412" ht="14.25" customHeight="1">
      <c r="A1412" s="1" t="s">
        <v>448</v>
      </c>
      <c r="B1412" s="1">
        <v>148.0</v>
      </c>
      <c r="C1412" s="1">
        <v>630779.0</v>
      </c>
      <c r="D1412" s="1" t="s">
        <v>3059</v>
      </c>
      <c r="E1412" s="1" t="s">
        <v>3060</v>
      </c>
      <c r="F1412" s="1" t="s">
        <v>3061</v>
      </c>
      <c r="G1412" s="1">
        <v>11101.0</v>
      </c>
      <c r="H1412" s="1">
        <v>159.0</v>
      </c>
      <c r="I1412" s="1" t="s">
        <v>16</v>
      </c>
      <c r="J1412" s="1">
        <v>3.5E7</v>
      </c>
      <c r="K1412" s="1">
        <v>1999.0</v>
      </c>
      <c r="L1412" s="1">
        <v>6.8</v>
      </c>
      <c r="O1412" s="3"/>
      <c r="S1412" s="4"/>
    </row>
    <row r="1413" ht="14.25" customHeight="1">
      <c r="A1413" s="1" t="s">
        <v>1632</v>
      </c>
      <c r="B1413" s="1">
        <v>113.0</v>
      </c>
      <c r="C1413" s="1">
        <v>1.02413606E8</v>
      </c>
      <c r="D1413" s="1" t="s">
        <v>686</v>
      </c>
      <c r="E1413" s="1" t="s">
        <v>1633</v>
      </c>
      <c r="F1413" s="1" t="s">
        <v>3062</v>
      </c>
      <c r="G1413" s="1">
        <v>310903.0</v>
      </c>
      <c r="H1413" s="1">
        <v>524.0</v>
      </c>
      <c r="I1413" s="1" t="s">
        <v>16</v>
      </c>
      <c r="J1413" s="1">
        <v>3.4E7</v>
      </c>
      <c r="K1413" s="1">
        <v>2014.0</v>
      </c>
      <c r="L1413" s="1">
        <v>6.8</v>
      </c>
      <c r="O1413" s="3"/>
      <c r="S1413" s="4"/>
    </row>
    <row r="1414" ht="14.25" customHeight="1">
      <c r="A1414" s="1" t="s">
        <v>3063</v>
      </c>
      <c r="B1414" s="1">
        <v>91.0</v>
      </c>
      <c r="C1414" s="1">
        <v>1.0214013E7</v>
      </c>
      <c r="D1414" s="1" t="s">
        <v>828</v>
      </c>
      <c r="E1414" s="1" t="s">
        <v>1907</v>
      </c>
      <c r="F1414" s="1" t="s">
        <v>3064</v>
      </c>
      <c r="G1414" s="1">
        <v>23072.0</v>
      </c>
      <c r="H1414" s="1">
        <v>89.0</v>
      </c>
      <c r="I1414" s="1" t="s">
        <v>16</v>
      </c>
      <c r="J1414" s="1">
        <v>3.5E7</v>
      </c>
      <c r="K1414" s="1">
        <v>2015.0</v>
      </c>
      <c r="L1414" s="1">
        <v>5.4</v>
      </c>
      <c r="O1414" s="3"/>
      <c r="S1414" s="4"/>
    </row>
    <row r="1415" ht="14.25" customHeight="1">
      <c r="A1415" s="1" t="s">
        <v>208</v>
      </c>
      <c r="B1415" s="1">
        <v>139.0</v>
      </c>
      <c r="C1415" s="1">
        <v>3.2E7</v>
      </c>
      <c r="D1415" s="1" t="s">
        <v>92</v>
      </c>
      <c r="E1415" s="1" t="s">
        <v>3065</v>
      </c>
      <c r="F1415" s="1" t="s">
        <v>3066</v>
      </c>
      <c r="G1415" s="1">
        <v>36267.0</v>
      </c>
      <c r="H1415" s="1">
        <v>150.0</v>
      </c>
      <c r="I1415" s="1" t="s">
        <v>16</v>
      </c>
      <c r="J1415" s="1">
        <v>3.0E7</v>
      </c>
      <c r="K1415" s="1">
        <v>1993.0</v>
      </c>
      <c r="L1415" s="1">
        <v>7.2</v>
      </c>
      <c r="O1415" s="3"/>
      <c r="S1415" s="4"/>
    </row>
    <row r="1416" ht="14.25" customHeight="1">
      <c r="A1416" s="1" t="s">
        <v>505</v>
      </c>
      <c r="B1416" s="1">
        <v>96.0</v>
      </c>
      <c r="C1416" s="1">
        <v>1.0139254E7</v>
      </c>
      <c r="D1416" s="1" t="s">
        <v>770</v>
      </c>
      <c r="E1416" s="1" t="s">
        <v>115</v>
      </c>
      <c r="F1416" s="1" t="s">
        <v>3067</v>
      </c>
      <c r="G1416" s="1">
        <v>190990.0</v>
      </c>
      <c r="H1416" s="1">
        <v>915.0</v>
      </c>
      <c r="I1416" s="1" t="s">
        <v>16</v>
      </c>
      <c r="J1416" s="1">
        <v>3.5E7</v>
      </c>
      <c r="K1416" s="1">
        <v>2006.0</v>
      </c>
      <c r="L1416" s="1">
        <v>7.3</v>
      </c>
      <c r="O1416" s="3"/>
      <c r="S1416" s="4"/>
    </row>
    <row r="1417" ht="14.25" customHeight="1">
      <c r="A1417" s="1" t="s">
        <v>3068</v>
      </c>
      <c r="B1417" s="1">
        <v>102.0</v>
      </c>
      <c r="C1417" s="1">
        <v>1.122794E7</v>
      </c>
      <c r="D1417" s="1" t="s">
        <v>3069</v>
      </c>
      <c r="E1417" s="1" t="s">
        <v>3070</v>
      </c>
      <c r="F1417" s="1" t="s">
        <v>3071</v>
      </c>
      <c r="G1417" s="1">
        <v>8367.0</v>
      </c>
      <c r="H1417" s="1">
        <v>94.0</v>
      </c>
      <c r="I1417" s="1" t="s">
        <v>16</v>
      </c>
      <c r="J1417" s="1">
        <v>3.4E7</v>
      </c>
      <c r="K1417" s="1">
        <v>1999.0</v>
      </c>
      <c r="L1417" s="1">
        <v>5.2</v>
      </c>
      <c r="O1417" s="3"/>
      <c r="S1417" s="4"/>
    </row>
    <row r="1418" ht="14.25" customHeight="1">
      <c r="A1418" s="1" t="s">
        <v>743</v>
      </c>
      <c r="B1418" s="1">
        <v>96.0</v>
      </c>
      <c r="C1418" s="1">
        <v>183125.0</v>
      </c>
      <c r="D1418" s="1" t="s">
        <v>197</v>
      </c>
      <c r="E1418" s="1" t="s">
        <v>301</v>
      </c>
      <c r="F1418" s="1" t="s">
        <v>3072</v>
      </c>
      <c r="G1418" s="1">
        <v>36914.0</v>
      </c>
      <c r="H1418" s="1">
        <v>86.0</v>
      </c>
      <c r="I1418" s="1" t="s">
        <v>16</v>
      </c>
      <c r="J1418" s="1">
        <v>3.5E7</v>
      </c>
      <c r="K1418" s="1">
        <v>2012.0</v>
      </c>
      <c r="L1418" s="1">
        <v>5.5</v>
      </c>
      <c r="O1418" s="3"/>
      <c r="S1418" s="4"/>
    </row>
    <row r="1419" ht="14.25" customHeight="1">
      <c r="A1419" s="1" t="s">
        <v>3073</v>
      </c>
      <c r="B1419" s="1">
        <v>101.0</v>
      </c>
      <c r="C1419" s="1">
        <v>1.5081783E7</v>
      </c>
      <c r="D1419" s="1" t="s">
        <v>270</v>
      </c>
      <c r="E1419" s="1" t="s">
        <v>3074</v>
      </c>
      <c r="F1419" s="1" t="s">
        <v>3075</v>
      </c>
      <c r="G1419" s="1">
        <v>85589.0</v>
      </c>
      <c r="H1419" s="1">
        <v>144.0</v>
      </c>
      <c r="I1419" s="1" t="s">
        <v>3076</v>
      </c>
      <c r="J1419" s="1">
        <v>3.4E7</v>
      </c>
      <c r="K1419" s="1">
        <v>2008.0</v>
      </c>
      <c r="L1419" s="1">
        <v>7.7</v>
      </c>
      <c r="O1419" s="3"/>
      <c r="S1419" s="4"/>
    </row>
    <row r="1420" ht="14.25" customHeight="1">
      <c r="A1420" s="1" t="s">
        <v>3077</v>
      </c>
      <c r="B1420" s="1">
        <v>128.0</v>
      </c>
      <c r="C1420" s="1">
        <v>3.7432299E7</v>
      </c>
      <c r="D1420" s="1" t="s">
        <v>92</v>
      </c>
      <c r="E1420" s="1" t="s">
        <v>3078</v>
      </c>
      <c r="F1420" s="1" t="s">
        <v>3079</v>
      </c>
      <c r="G1420" s="1">
        <v>50041.0</v>
      </c>
      <c r="H1420" s="1">
        <v>116.0</v>
      </c>
      <c r="I1420" s="1" t="s">
        <v>16</v>
      </c>
      <c r="J1420" s="1">
        <v>3.4E7</v>
      </c>
      <c r="K1420" s="1">
        <v>2015.0</v>
      </c>
      <c r="L1420" s="1">
        <v>7.1</v>
      </c>
      <c r="O1420" s="3"/>
      <c r="S1420" s="4"/>
    </row>
    <row r="1421" ht="14.25" customHeight="1">
      <c r="A1421" s="1" t="s">
        <v>3080</v>
      </c>
      <c r="B1421" s="1">
        <v>109.0</v>
      </c>
      <c r="C1421" s="1">
        <v>1.0654581E7</v>
      </c>
      <c r="D1421" s="1" t="s">
        <v>1112</v>
      </c>
      <c r="E1421" s="1" t="s">
        <v>19</v>
      </c>
      <c r="F1421" s="1" t="s">
        <v>3081</v>
      </c>
      <c r="G1421" s="1">
        <v>45497.0</v>
      </c>
      <c r="H1421" s="1">
        <v>260.0</v>
      </c>
      <c r="I1421" s="1" t="s">
        <v>16</v>
      </c>
      <c r="J1421" s="1">
        <v>3.4E7</v>
      </c>
      <c r="K1421" s="1">
        <v>1999.0</v>
      </c>
      <c r="L1421" s="1">
        <v>5.3</v>
      </c>
      <c r="O1421" s="3"/>
      <c r="S1421" s="4"/>
    </row>
    <row r="1422" ht="14.25" customHeight="1">
      <c r="A1422" s="1" t="s">
        <v>3082</v>
      </c>
      <c r="B1422" s="1">
        <v>114.0</v>
      </c>
      <c r="C1422" s="1">
        <v>6543194.0</v>
      </c>
      <c r="D1422" s="1" t="s">
        <v>976</v>
      </c>
      <c r="E1422" s="1" t="s">
        <v>3083</v>
      </c>
      <c r="F1422" s="1" t="s">
        <v>3084</v>
      </c>
      <c r="G1422" s="1">
        <v>3740.0</v>
      </c>
      <c r="H1422" s="1">
        <v>61.0</v>
      </c>
      <c r="I1422" s="1" t="s">
        <v>16</v>
      </c>
      <c r="J1422" s="1">
        <v>3.4E7</v>
      </c>
      <c r="K1422" s="1">
        <v>2000.0</v>
      </c>
      <c r="L1422" s="1">
        <v>5.6</v>
      </c>
      <c r="O1422" s="3"/>
      <c r="S1422" s="4"/>
    </row>
    <row r="1423" ht="14.25" customHeight="1">
      <c r="A1423" s="1" t="s">
        <v>1876</v>
      </c>
      <c r="B1423" s="1">
        <v>105.0</v>
      </c>
      <c r="C1423" s="1">
        <v>1.3101142E7</v>
      </c>
      <c r="D1423" s="1" t="s">
        <v>1584</v>
      </c>
      <c r="E1423" s="1" t="s">
        <v>275</v>
      </c>
      <c r="F1423" s="1" t="s">
        <v>3085</v>
      </c>
      <c r="G1423" s="1">
        <v>23916.0</v>
      </c>
      <c r="H1423" s="1">
        <v>50.0</v>
      </c>
      <c r="I1423" s="1" t="s">
        <v>16</v>
      </c>
      <c r="J1423" s="1">
        <v>3.5E7</v>
      </c>
      <c r="K1423" s="1">
        <v>2012.0</v>
      </c>
      <c r="L1423" s="1">
        <v>5.7</v>
      </c>
      <c r="O1423" s="3"/>
      <c r="S1423" s="4"/>
    </row>
    <row r="1424" ht="14.25" customHeight="1">
      <c r="A1424" s="1" t="s">
        <v>2653</v>
      </c>
      <c r="B1424" s="1">
        <v>141.0</v>
      </c>
      <c r="C1424" s="1">
        <v>8324748.0</v>
      </c>
      <c r="D1424" s="1" t="s">
        <v>2369</v>
      </c>
      <c r="E1424" s="1" t="s">
        <v>3086</v>
      </c>
      <c r="F1424" s="1" t="s">
        <v>3087</v>
      </c>
      <c r="G1424" s="1">
        <v>21223.0</v>
      </c>
      <c r="H1424" s="1">
        <v>108.0</v>
      </c>
      <c r="I1424" s="1" t="s">
        <v>16</v>
      </c>
      <c r="J1424" s="1">
        <v>3.5E7</v>
      </c>
      <c r="K1424" s="1">
        <v>2013.0</v>
      </c>
      <c r="L1424" s="1">
        <v>7.1</v>
      </c>
      <c r="O1424" s="3"/>
      <c r="S1424" s="4"/>
    </row>
    <row r="1425" ht="14.25" customHeight="1">
      <c r="A1425" s="1" t="s">
        <v>1580</v>
      </c>
      <c r="B1425" s="1">
        <v>138.0</v>
      </c>
      <c r="C1425" s="1">
        <v>1.41340178E8</v>
      </c>
      <c r="D1425" s="1" t="s">
        <v>1654</v>
      </c>
      <c r="E1425" s="1" t="s">
        <v>226</v>
      </c>
      <c r="F1425" s="1" t="s">
        <v>3088</v>
      </c>
      <c r="G1425" s="1">
        <v>181879.0</v>
      </c>
      <c r="H1425" s="1">
        <v>319.0</v>
      </c>
      <c r="I1425" s="1" t="s">
        <v>16</v>
      </c>
      <c r="J1425" s="1">
        <v>4.0E7</v>
      </c>
      <c r="K1425" s="1">
        <v>1992.0</v>
      </c>
      <c r="L1425" s="1">
        <v>7.6</v>
      </c>
      <c r="O1425" s="3"/>
      <c r="S1425" s="4"/>
    </row>
    <row r="1426" ht="14.25" customHeight="1">
      <c r="A1426" s="1" t="s">
        <v>1404</v>
      </c>
      <c r="B1426" s="1">
        <v>101.0</v>
      </c>
      <c r="C1426" s="1">
        <v>5.1758599E7</v>
      </c>
      <c r="D1426" s="1" t="s">
        <v>1452</v>
      </c>
      <c r="E1426" s="1" t="s">
        <v>2561</v>
      </c>
      <c r="F1426" s="1" t="s">
        <v>3089</v>
      </c>
      <c r="G1426" s="1">
        <v>27580.0</v>
      </c>
      <c r="H1426" s="1">
        <v>232.0</v>
      </c>
      <c r="I1426" s="1" t="s">
        <v>16</v>
      </c>
      <c r="J1426" s="1">
        <v>3.3E7</v>
      </c>
      <c r="K1426" s="1">
        <v>2001.0</v>
      </c>
      <c r="L1426" s="1">
        <v>5.5</v>
      </c>
      <c r="O1426" s="3"/>
      <c r="S1426" s="4"/>
    </row>
    <row r="1427" ht="14.25" customHeight="1">
      <c r="A1427" s="1" t="s">
        <v>657</v>
      </c>
      <c r="B1427" s="1">
        <v>99.0</v>
      </c>
      <c r="C1427" s="1">
        <v>1.17559438E8</v>
      </c>
      <c r="D1427" s="1" t="s">
        <v>728</v>
      </c>
      <c r="E1427" s="1" t="s">
        <v>3090</v>
      </c>
      <c r="F1427" s="1" t="s">
        <v>3091</v>
      </c>
      <c r="G1427" s="1">
        <v>66941.0</v>
      </c>
      <c r="H1427" s="1">
        <v>148.0</v>
      </c>
      <c r="I1427" s="1" t="s">
        <v>16</v>
      </c>
      <c r="J1427" s="1">
        <v>3.0E7</v>
      </c>
      <c r="K1427" s="1">
        <v>2000.0</v>
      </c>
      <c r="L1427" s="1">
        <v>5.1</v>
      </c>
      <c r="O1427" s="3"/>
      <c r="S1427" s="4"/>
    </row>
    <row r="1428" ht="14.25" customHeight="1">
      <c r="A1428" s="1" t="s">
        <v>3092</v>
      </c>
      <c r="B1428" s="1">
        <v>85.0</v>
      </c>
      <c r="C1428" s="1">
        <v>4091.0</v>
      </c>
      <c r="D1428" s="1" t="s">
        <v>118</v>
      </c>
      <c r="E1428" s="1" t="s">
        <v>3093</v>
      </c>
      <c r="F1428" s="1" t="s">
        <v>3094</v>
      </c>
      <c r="G1428" s="1">
        <v>4265.0</v>
      </c>
      <c r="H1428" s="1">
        <v>16.0</v>
      </c>
      <c r="I1428" s="1" t="s">
        <v>16</v>
      </c>
      <c r="J1428" s="1">
        <v>3.4E7</v>
      </c>
      <c r="K1428" s="1">
        <v>2013.0</v>
      </c>
      <c r="L1428" s="1">
        <v>6.3</v>
      </c>
      <c r="O1428" s="3"/>
      <c r="S1428" s="4"/>
    </row>
    <row r="1429" ht="14.25" customHeight="1">
      <c r="A1429" s="1" t="s">
        <v>3095</v>
      </c>
      <c r="B1429" s="1">
        <v>89.0</v>
      </c>
      <c r="C1429" s="1">
        <v>2.1426805E7</v>
      </c>
      <c r="D1429" s="1" t="s">
        <v>149</v>
      </c>
      <c r="E1429" s="1" t="s">
        <v>1458</v>
      </c>
      <c r="F1429" s="1" t="s">
        <v>3096</v>
      </c>
      <c r="G1429" s="1">
        <v>49312.0</v>
      </c>
      <c r="H1429" s="1">
        <v>211.0</v>
      </c>
      <c r="I1429" s="1" t="s">
        <v>16</v>
      </c>
      <c r="J1429" s="1">
        <v>3.0E7</v>
      </c>
      <c r="K1429" s="1">
        <v>2011.0</v>
      </c>
      <c r="L1429" s="1">
        <v>4.9</v>
      </c>
      <c r="O1429" s="3"/>
      <c r="S1429" s="4"/>
    </row>
    <row r="1430" ht="14.25" customHeight="1">
      <c r="A1430" s="1" t="s">
        <v>3097</v>
      </c>
      <c r="B1430" s="1">
        <v>99.0</v>
      </c>
      <c r="C1430" s="1">
        <v>3.5057332E7</v>
      </c>
      <c r="D1430" s="1" t="s">
        <v>3098</v>
      </c>
      <c r="E1430" s="1" t="s">
        <v>3099</v>
      </c>
      <c r="F1430" s="1" t="s">
        <v>3100</v>
      </c>
      <c r="G1430" s="1">
        <v>45394.0</v>
      </c>
      <c r="H1430" s="1">
        <v>72.0</v>
      </c>
      <c r="I1430" s="1" t="s">
        <v>16</v>
      </c>
      <c r="J1430" s="1">
        <v>3.3E7</v>
      </c>
      <c r="K1430" s="1">
        <v>2012.0</v>
      </c>
      <c r="L1430" s="1">
        <v>6.5</v>
      </c>
      <c r="O1430" s="3"/>
      <c r="S1430" s="4"/>
    </row>
    <row r="1431" ht="14.25" customHeight="1">
      <c r="A1431" s="1" t="s">
        <v>2331</v>
      </c>
      <c r="B1431" s="1">
        <v>105.0</v>
      </c>
      <c r="C1431" s="1">
        <v>3.4014398E7</v>
      </c>
      <c r="D1431" s="1" t="s">
        <v>3101</v>
      </c>
      <c r="E1431" s="1" t="s">
        <v>3102</v>
      </c>
      <c r="F1431" s="1" t="s">
        <v>3103</v>
      </c>
      <c r="G1431" s="1">
        <v>115649.0</v>
      </c>
      <c r="H1431" s="1">
        <v>1033.0</v>
      </c>
      <c r="I1431" s="1" t="s">
        <v>16</v>
      </c>
      <c r="J1431" s="1">
        <v>3.3E7</v>
      </c>
      <c r="K1431" s="1">
        <v>2006.0</v>
      </c>
      <c r="L1431" s="1">
        <v>5.6</v>
      </c>
      <c r="O1431" s="3"/>
      <c r="S1431" s="4"/>
    </row>
    <row r="1432" ht="14.25" customHeight="1">
      <c r="A1432" s="1" t="s">
        <v>3104</v>
      </c>
      <c r="B1432" s="1">
        <v>97.0</v>
      </c>
      <c r="C1432" s="1">
        <v>2.892772E7</v>
      </c>
      <c r="D1432" s="1" t="s">
        <v>3105</v>
      </c>
      <c r="E1432" s="1" t="s">
        <v>252</v>
      </c>
      <c r="F1432" s="1" t="s">
        <v>3106</v>
      </c>
      <c r="G1432" s="1">
        <v>22220.0</v>
      </c>
      <c r="H1432" s="1">
        <v>181.0</v>
      </c>
      <c r="I1432" s="1" t="s">
        <v>16</v>
      </c>
      <c r="J1432" s="1">
        <v>3.3E7</v>
      </c>
      <c r="K1432" s="1">
        <v>2000.0</v>
      </c>
      <c r="L1432" s="1">
        <v>5.3</v>
      </c>
      <c r="O1432" s="3"/>
      <c r="S1432" s="4"/>
    </row>
    <row r="1433" ht="14.25" customHeight="1">
      <c r="A1433" s="1" t="s">
        <v>3107</v>
      </c>
      <c r="B1433" s="1">
        <v>140.0</v>
      </c>
      <c r="C1433" s="1">
        <v>3.3682273E7</v>
      </c>
      <c r="D1433" s="1" t="s">
        <v>197</v>
      </c>
      <c r="E1433" s="1" t="s">
        <v>3108</v>
      </c>
      <c r="F1433" s="1" t="s">
        <v>3109</v>
      </c>
      <c r="G1433" s="1">
        <v>124242.0</v>
      </c>
      <c r="H1433" s="1">
        <v>622.0</v>
      </c>
      <c r="I1433" s="1" t="s">
        <v>16</v>
      </c>
      <c r="J1433" s="1">
        <v>3.3E7</v>
      </c>
      <c r="K1433" s="1">
        <v>2004.0</v>
      </c>
      <c r="L1433" s="1">
        <v>6.5</v>
      </c>
      <c r="O1433" s="3"/>
      <c r="S1433" s="4"/>
    </row>
    <row r="1434" ht="14.25" customHeight="1">
      <c r="A1434" s="1" t="s">
        <v>3110</v>
      </c>
      <c r="B1434" s="1">
        <v>118.0</v>
      </c>
      <c r="C1434" s="1">
        <v>4280577.0</v>
      </c>
      <c r="D1434" s="1" t="s">
        <v>1986</v>
      </c>
      <c r="E1434" s="1" t="s">
        <v>1765</v>
      </c>
      <c r="F1434" s="1" t="s">
        <v>3111</v>
      </c>
      <c r="G1434" s="1">
        <v>50919.0</v>
      </c>
      <c r="H1434" s="1">
        <v>114.0</v>
      </c>
      <c r="I1434" s="1" t="s">
        <v>16</v>
      </c>
      <c r="J1434" s="1">
        <v>1.0E7</v>
      </c>
      <c r="K1434" s="1">
        <v>2005.0</v>
      </c>
      <c r="L1434" s="1">
        <v>6.8</v>
      </c>
      <c r="O1434" s="3"/>
      <c r="S1434" s="4"/>
    </row>
    <row r="1435" ht="14.25" customHeight="1">
      <c r="A1435" s="1" t="s">
        <v>3112</v>
      </c>
      <c r="B1435" s="1">
        <v>94.0</v>
      </c>
      <c r="C1435" s="1">
        <v>1.7120019E7</v>
      </c>
      <c r="D1435" s="1" t="s">
        <v>146</v>
      </c>
      <c r="E1435" s="1" t="s">
        <v>147</v>
      </c>
      <c r="F1435" s="1" t="s">
        <v>3113</v>
      </c>
      <c r="G1435" s="1">
        <v>83097.0</v>
      </c>
      <c r="H1435" s="1">
        <v>134.0</v>
      </c>
      <c r="I1435" s="1" t="s">
        <v>16</v>
      </c>
      <c r="J1435" s="1">
        <v>3.0E7</v>
      </c>
      <c r="K1435" s="1">
        <v>2012.0</v>
      </c>
      <c r="L1435" s="1">
        <v>6.5</v>
      </c>
      <c r="O1435" s="3"/>
      <c r="S1435" s="4"/>
    </row>
    <row r="1436" ht="14.25" customHeight="1">
      <c r="A1436" s="1" t="s">
        <v>161</v>
      </c>
      <c r="B1436" s="1">
        <v>124.0</v>
      </c>
      <c r="C1436" s="1">
        <v>8406264.0</v>
      </c>
      <c r="D1436" s="1" t="s">
        <v>593</v>
      </c>
      <c r="E1436" s="1" t="s">
        <v>245</v>
      </c>
      <c r="F1436" s="1" t="s">
        <v>3114</v>
      </c>
      <c r="G1436" s="1">
        <v>24826.0</v>
      </c>
      <c r="H1436" s="1">
        <v>175.0</v>
      </c>
      <c r="I1436" s="1" t="s">
        <v>16</v>
      </c>
      <c r="J1436" s="1">
        <v>3.8E7</v>
      </c>
      <c r="K1436" s="1">
        <v>1999.0</v>
      </c>
      <c r="L1436" s="1">
        <v>6.0</v>
      </c>
      <c r="O1436" s="3"/>
      <c r="S1436" s="4"/>
    </row>
    <row r="1437" ht="14.25" customHeight="1">
      <c r="A1437" s="1" t="s">
        <v>3115</v>
      </c>
      <c r="B1437" s="1">
        <v>134.0</v>
      </c>
      <c r="C1437" s="1">
        <v>3.09125409E8</v>
      </c>
      <c r="D1437" s="1" t="s">
        <v>13</v>
      </c>
      <c r="E1437" s="1" t="s">
        <v>169</v>
      </c>
      <c r="F1437" s="1" t="s">
        <v>3116</v>
      </c>
      <c r="G1437" s="1">
        <v>681857.0</v>
      </c>
      <c r="H1437" s="1">
        <v>647.0</v>
      </c>
      <c r="I1437" s="1" t="s">
        <v>16</v>
      </c>
      <c r="J1437" s="1">
        <v>3.25E7</v>
      </c>
      <c r="K1437" s="1">
        <v>1983.0</v>
      </c>
      <c r="L1437" s="1">
        <v>8.4</v>
      </c>
      <c r="O1437" s="3"/>
      <c r="S1437" s="4"/>
    </row>
    <row r="1438" ht="14.25" customHeight="1">
      <c r="A1438" s="1" t="s">
        <v>3117</v>
      </c>
      <c r="B1438" s="1">
        <v>113.0</v>
      </c>
      <c r="C1438" s="1">
        <v>1.0955425E7</v>
      </c>
      <c r="D1438" s="1" t="s">
        <v>1154</v>
      </c>
      <c r="E1438" s="1" t="s">
        <v>3118</v>
      </c>
      <c r="F1438" s="1" t="s">
        <v>3119</v>
      </c>
      <c r="G1438" s="1">
        <v>62770.0</v>
      </c>
      <c r="H1438" s="1">
        <v>396.0</v>
      </c>
      <c r="I1438" s="1" t="s">
        <v>16</v>
      </c>
      <c r="J1438" s="1">
        <v>3.0E7</v>
      </c>
      <c r="K1438" s="1">
        <v>2008.0</v>
      </c>
      <c r="L1438" s="1">
        <v>6.0</v>
      </c>
      <c r="O1438" s="3"/>
      <c r="S1438" s="4"/>
    </row>
    <row r="1439" ht="14.25" customHeight="1">
      <c r="A1439" s="1" t="s">
        <v>2635</v>
      </c>
      <c r="B1439" s="1">
        <v>124.0</v>
      </c>
      <c r="C1439" s="1">
        <v>3.4180954E7</v>
      </c>
      <c r="D1439" s="1" t="s">
        <v>92</v>
      </c>
      <c r="E1439" s="1" t="s">
        <v>644</v>
      </c>
      <c r="F1439" s="1" t="s">
        <v>3120</v>
      </c>
      <c r="G1439" s="1">
        <v>189812.0</v>
      </c>
      <c r="H1439" s="1">
        <v>370.0</v>
      </c>
      <c r="I1439" s="1" t="s">
        <v>16</v>
      </c>
      <c r="J1439" s="1">
        <v>3.2E7</v>
      </c>
      <c r="K1439" s="1">
        <v>2008.0</v>
      </c>
      <c r="L1439" s="1">
        <v>7.6</v>
      </c>
      <c r="O1439" s="3"/>
      <c r="S1439" s="4"/>
    </row>
    <row r="1440" ht="14.25" customHeight="1">
      <c r="A1440" s="1" t="s">
        <v>206</v>
      </c>
      <c r="B1440" s="1">
        <v>97.0</v>
      </c>
      <c r="C1440" s="1">
        <v>1.73381405E8</v>
      </c>
      <c r="D1440" s="1" t="s">
        <v>1088</v>
      </c>
      <c r="E1440" s="1" t="s">
        <v>64</v>
      </c>
      <c r="F1440" s="1" t="s">
        <v>3121</v>
      </c>
      <c r="G1440" s="1">
        <v>147597.0</v>
      </c>
      <c r="H1440" s="1">
        <v>395.0</v>
      </c>
      <c r="I1440" s="1" t="s">
        <v>16</v>
      </c>
      <c r="J1440" s="1">
        <v>3.3E7</v>
      </c>
      <c r="K1440" s="1">
        <v>2003.0</v>
      </c>
      <c r="L1440" s="1">
        <v>6.9</v>
      </c>
      <c r="O1440" s="3"/>
      <c r="S1440" s="4"/>
    </row>
    <row r="1441" ht="14.25" customHeight="1">
      <c r="A1441" s="1" t="s">
        <v>300</v>
      </c>
      <c r="B1441" s="1">
        <v>123.0</v>
      </c>
      <c r="C1441" s="1">
        <v>1.04632573E8</v>
      </c>
      <c r="D1441" s="1" t="s">
        <v>2759</v>
      </c>
      <c r="E1441" s="1" t="s">
        <v>1057</v>
      </c>
      <c r="F1441" s="1" t="s">
        <v>3122</v>
      </c>
      <c r="G1441" s="1">
        <v>63839.0</v>
      </c>
      <c r="H1441" s="1">
        <v>118.0</v>
      </c>
      <c r="I1441" s="1" t="s">
        <v>16</v>
      </c>
      <c r="J1441" s="1">
        <v>3.2E7</v>
      </c>
      <c r="K1441" s="1">
        <v>1996.0</v>
      </c>
      <c r="L1441" s="1">
        <v>6.4</v>
      </c>
      <c r="O1441" s="3"/>
      <c r="S1441" s="4"/>
    </row>
    <row r="1442" ht="14.25" customHeight="1">
      <c r="A1442" s="1" t="s">
        <v>1669</v>
      </c>
      <c r="B1442" s="1">
        <v>99.0</v>
      </c>
      <c r="C1442" s="1">
        <v>8.1150692E7</v>
      </c>
      <c r="D1442" s="1" t="s">
        <v>3123</v>
      </c>
      <c r="E1442" s="1" t="s">
        <v>3124</v>
      </c>
      <c r="F1442" s="1" t="s">
        <v>3125</v>
      </c>
      <c r="G1442" s="1">
        <v>20219.0</v>
      </c>
      <c r="H1442" s="1">
        <v>100.0</v>
      </c>
      <c r="I1442" s="1" t="s">
        <v>16</v>
      </c>
      <c r="J1442" s="1">
        <v>3.5E7</v>
      </c>
      <c r="K1442" s="1">
        <v>2002.0</v>
      </c>
      <c r="L1442" s="1">
        <v>5.1</v>
      </c>
      <c r="O1442" s="3"/>
      <c r="S1442" s="4"/>
    </row>
    <row r="1443" ht="14.25" customHeight="1">
      <c r="A1443" s="1" t="s">
        <v>446</v>
      </c>
      <c r="B1443" s="1">
        <v>101.0</v>
      </c>
      <c r="C1443" s="1">
        <v>6.0328558E7</v>
      </c>
      <c r="D1443" s="1" t="s">
        <v>3126</v>
      </c>
      <c r="E1443" s="1" t="s">
        <v>899</v>
      </c>
      <c r="F1443" s="1" t="s">
        <v>3127</v>
      </c>
      <c r="G1443" s="1">
        <v>61396.0</v>
      </c>
      <c r="H1443" s="1">
        <v>159.0</v>
      </c>
      <c r="I1443" s="1" t="s">
        <v>16</v>
      </c>
      <c r="J1443" s="1">
        <v>3.2E7</v>
      </c>
      <c r="K1443" s="1">
        <v>1988.0</v>
      </c>
      <c r="L1443" s="1">
        <v>7.0</v>
      </c>
      <c r="O1443" s="3"/>
      <c r="S1443" s="4"/>
    </row>
    <row r="1444" ht="14.25" customHeight="1">
      <c r="A1444" s="1" t="s">
        <v>3128</v>
      </c>
      <c r="B1444" s="1">
        <v>92.0</v>
      </c>
      <c r="C1444" s="1">
        <v>8.0197993E7</v>
      </c>
      <c r="D1444" s="1" t="s">
        <v>3129</v>
      </c>
      <c r="E1444" s="1" t="s">
        <v>3130</v>
      </c>
      <c r="F1444" s="1" t="s">
        <v>3131</v>
      </c>
      <c r="G1444" s="1">
        <v>65551.0</v>
      </c>
      <c r="H1444" s="1">
        <v>441.0</v>
      </c>
      <c r="I1444" s="1" t="s">
        <v>16</v>
      </c>
      <c r="J1444" s="1">
        <v>3.2E7</v>
      </c>
      <c r="K1444" s="1">
        <v>2006.0</v>
      </c>
      <c r="L1444" s="1">
        <v>5.7</v>
      </c>
      <c r="O1444" s="3"/>
      <c r="S1444" s="4"/>
    </row>
    <row r="1445" ht="14.25" customHeight="1">
      <c r="A1445" s="1" t="s">
        <v>411</v>
      </c>
      <c r="B1445" s="1">
        <v>131.0</v>
      </c>
      <c r="C1445" s="1">
        <v>1.69076745E8</v>
      </c>
      <c r="D1445" s="1" t="s">
        <v>699</v>
      </c>
      <c r="E1445" s="1" t="s">
        <v>3132</v>
      </c>
      <c r="F1445" s="1" t="s">
        <v>3133</v>
      </c>
      <c r="G1445" s="1">
        <v>218711.0</v>
      </c>
      <c r="H1445" s="1">
        <v>485.0</v>
      </c>
      <c r="I1445" s="1" t="s">
        <v>16</v>
      </c>
      <c r="J1445" s="1">
        <v>3.25E7</v>
      </c>
      <c r="K1445" s="1">
        <v>2011.0</v>
      </c>
      <c r="L1445" s="1">
        <v>6.8</v>
      </c>
      <c r="O1445" s="3"/>
      <c r="S1445" s="4"/>
    </row>
    <row r="1446" ht="14.25" customHeight="1">
      <c r="A1446" s="1" t="s">
        <v>2458</v>
      </c>
      <c r="B1446" s="1">
        <v>107.0</v>
      </c>
      <c r="C1446" s="1">
        <v>1.01470202E8</v>
      </c>
      <c r="D1446" s="1" t="s">
        <v>1148</v>
      </c>
      <c r="E1446" s="1" t="s">
        <v>191</v>
      </c>
      <c r="F1446" s="1" t="s">
        <v>3134</v>
      </c>
      <c r="G1446" s="1">
        <v>310540.0</v>
      </c>
      <c r="H1446" s="1">
        <v>669.0</v>
      </c>
      <c r="I1446" s="1" t="s">
        <v>16</v>
      </c>
      <c r="J1446" s="1">
        <v>3.2E7</v>
      </c>
      <c r="K1446" s="1">
        <v>2013.0</v>
      </c>
      <c r="L1446" s="1">
        <v>6.7</v>
      </c>
      <c r="O1446" s="3"/>
      <c r="S1446" s="4"/>
    </row>
    <row r="1447" ht="14.25" customHeight="1">
      <c r="A1447" s="1" t="s">
        <v>3135</v>
      </c>
      <c r="B1447" s="1">
        <v>103.0</v>
      </c>
      <c r="C1447" s="1">
        <v>5.0041732E7</v>
      </c>
      <c r="D1447" s="1" t="s">
        <v>2551</v>
      </c>
      <c r="E1447" s="1" t="s">
        <v>3090</v>
      </c>
      <c r="F1447" s="1" t="s">
        <v>3136</v>
      </c>
      <c r="G1447" s="1">
        <v>54390.0</v>
      </c>
      <c r="H1447" s="1">
        <v>398.0</v>
      </c>
      <c r="I1447" s="1" t="s">
        <v>16</v>
      </c>
      <c r="J1447" s="1">
        <v>2.9E7</v>
      </c>
      <c r="K1447" s="1">
        <v>1999.0</v>
      </c>
      <c r="L1447" s="1">
        <v>6.2</v>
      </c>
      <c r="O1447" s="3"/>
      <c r="S1447" s="4"/>
    </row>
    <row r="1448" ht="14.25" customHeight="1">
      <c r="A1448" s="1" t="s">
        <v>3077</v>
      </c>
      <c r="B1448" s="1">
        <v>129.0</v>
      </c>
      <c r="C1448" s="1">
        <v>4.8814909E7</v>
      </c>
      <c r="D1448" s="1" t="s">
        <v>646</v>
      </c>
      <c r="E1448" s="1" t="s">
        <v>725</v>
      </c>
      <c r="F1448" s="1" t="s">
        <v>3137</v>
      </c>
      <c r="G1448" s="1">
        <v>89424.0</v>
      </c>
      <c r="H1448" s="1">
        <v>224.0</v>
      </c>
      <c r="I1448" s="1" t="s">
        <v>16</v>
      </c>
      <c r="J1448" s="1">
        <v>3.2E7</v>
      </c>
      <c r="K1448" s="1">
        <v>2000.0</v>
      </c>
      <c r="L1448" s="1">
        <v>7.2</v>
      </c>
      <c r="O1448" s="3"/>
      <c r="S1448" s="4"/>
    </row>
    <row r="1449" ht="14.25" customHeight="1">
      <c r="A1449" s="1" t="s">
        <v>3138</v>
      </c>
      <c r="B1449" s="1">
        <v>107.0</v>
      </c>
      <c r="C1449" s="1">
        <v>5.774472E7</v>
      </c>
      <c r="D1449" s="1" t="s">
        <v>146</v>
      </c>
      <c r="E1449" s="1" t="s">
        <v>289</v>
      </c>
      <c r="F1449" s="1" t="s">
        <v>3139</v>
      </c>
      <c r="G1449" s="1">
        <v>46961.0</v>
      </c>
      <c r="H1449" s="1">
        <v>132.0</v>
      </c>
      <c r="I1449" s="1" t="s">
        <v>16</v>
      </c>
      <c r="J1449" s="1">
        <v>2.0E7</v>
      </c>
      <c r="K1449" s="1">
        <v>2010.0</v>
      </c>
      <c r="L1449" s="1">
        <v>6.2</v>
      </c>
      <c r="O1449" s="3"/>
      <c r="S1449" s="4"/>
    </row>
    <row r="1450" ht="14.25" customHeight="1">
      <c r="A1450" s="1" t="s">
        <v>3140</v>
      </c>
      <c r="B1450" s="1">
        <v>89.0</v>
      </c>
      <c r="C1450" s="1">
        <v>2.1784432E7</v>
      </c>
      <c r="D1450" s="1" t="s">
        <v>828</v>
      </c>
      <c r="E1450" s="1" t="s">
        <v>346</v>
      </c>
      <c r="F1450" s="1" t="s">
        <v>3141</v>
      </c>
      <c r="G1450" s="1">
        <v>37493.0</v>
      </c>
      <c r="H1450" s="1">
        <v>108.0</v>
      </c>
      <c r="I1450" s="1" t="s">
        <v>16</v>
      </c>
      <c r="J1450" s="1">
        <v>3.5E7</v>
      </c>
      <c r="K1450" s="1">
        <v>2013.0</v>
      </c>
      <c r="L1450" s="1">
        <v>5.6</v>
      </c>
      <c r="O1450" s="3"/>
      <c r="S1450" s="4"/>
    </row>
    <row r="1451" ht="14.25" customHeight="1">
      <c r="A1451" s="1" t="s">
        <v>2542</v>
      </c>
      <c r="B1451" s="1">
        <v>113.0</v>
      </c>
      <c r="C1451" s="1">
        <v>3.7911876E7</v>
      </c>
      <c r="D1451" s="1" t="s">
        <v>728</v>
      </c>
      <c r="E1451" s="1" t="s">
        <v>3142</v>
      </c>
      <c r="F1451" s="1" t="s">
        <v>3143</v>
      </c>
      <c r="G1451" s="1">
        <v>19671.0</v>
      </c>
      <c r="H1451" s="1">
        <v>47.0</v>
      </c>
      <c r="I1451" s="1" t="s">
        <v>16</v>
      </c>
      <c r="J1451" s="1">
        <v>3.2E7</v>
      </c>
      <c r="K1451" s="1">
        <v>2011.0</v>
      </c>
      <c r="L1451" s="1">
        <v>4.4</v>
      </c>
      <c r="O1451" s="3"/>
      <c r="S1451" s="4"/>
    </row>
    <row r="1452" ht="14.25" customHeight="1">
      <c r="A1452" s="1" t="s">
        <v>311</v>
      </c>
      <c r="B1452" s="1">
        <v>93.0</v>
      </c>
      <c r="C1452" s="1">
        <v>5.4696902E7</v>
      </c>
      <c r="D1452" s="1" t="s">
        <v>2032</v>
      </c>
      <c r="E1452" s="1" t="s">
        <v>162</v>
      </c>
      <c r="F1452" s="1" t="s">
        <v>3144</v>
      </c>
      <c r="G1452" s="1">
        <v>379462.0</v>
      </c>
      <c r="H1452" s="1">
        <v>571.0</v>
      </c>
      <c r="I1452" s="1" t="s">
        <v>16</v>
      </c>
      <c r="J1452" s="1">
        <v>3.2E7</v>
      </c>
      <c r="K1452" s="1">
        <v>2011.0</v>
      </c>
      <c r="L1452" s="1">
        <v>7.5</v>
      </c>
      <c r="O1452" s="3"/>
      <c r="S1452" s="4"/>
    </row>
    <row r="1453" ht="14.25" customHeight="1">
      <c r="A1453" s="1" t="s">
        <v>2053</v>
      </c>
      <c r="B1453" s="1">
        <v>120.0</v>
      </c>
      <c r="C1453" s="1">
        <v>3.6733909E7</v>
      </c>
      <c r="D1453" s="1" t="s">
        <v>3047</v>
      </c>
      <c r="E1453" s="1" t="s">
        <v>3145</v>
      </c>
      <c r="F1453" s="1" t="s">
        <v>3146</v>
      </c>
      <c r="G1453" s="1">
        <v>38949.0</v>
      </c>
      <c r="H1453" s="1">
        <v>112.0</v>
      </c>
      <c r="I1453" s="1" t="s">
        <v>16</v>
      </c>
      <c r="J1453" s="1">
        <v>3.2E7</v>
      </c>
      <c r="K1453" s="1">
        <v>1993.0</v>
      </c>
      <c r="L1453" s="1">
        <v>7.1</v>
      </c>
      <c r="O1453" s="3"/>
      <c r="S1453" s="4"/>
    </row>
    <row r="1454" ht="14.25" customHeight="1">
      <c r="A1454" s="1" t="s">
        <v>552</v>
      </c>
      <c r="B1454" s="1">
        <v>98.0</v>
      </c>
      <c r="C1454" s="1">
        <v>3.5063732E7</v>
      </c>
      <c r="D1454" s="1" t="s">
        <v>362</v>
      </c>
      <c r="E1454" s="1" t="s">
        <v>878</v>
      </c>
      <c r="F1454" s="1" t="s">
        <v>3147</v>
      </c>
      <c r="G1454" s="1">
        <v>164608.0</v>
      </c>
      <c r="H1454" s="1">
        <v>383.0</v>
      </c>
      <c r="I1454" s="1" t="s">
        <v>16</v>
      </c>
      <c r="J1454" s="1">
        <v>3.2E7</v>
      </c>
      <c r="K1454" s="1">
        <v>2007.0</v>
      </c>
      <c r="L1454" s="1">
        <v>6.4</v>
      </c>
      <c r="O1454" s="3"/>
      <c r="S1454" s="4"/>
    </row>
    <row r="1455" ht="14.25" customHeight="1">
      <c r="A1455" s="1" t="s">
        <v>1700</v>
      </c>
      <c r="B1455" s="1">
        <v>105.0</v>
      </c>
      <c r="C1455" s="1">
        <v>99462.0</v>
      </c>
      <c r="D1455" s="1" t="s">
        <v>3148</v>
      </c>
      <c r="E1455" s="1" t="s">
        <v>3149</v>
      </c>
      <c r="F1455" s="1" t="s">
        <v>3150</v>
      </c>
      <c r="G1455" s="1">
        <v>11347.0</v>
      </c>
      <c r="H1455" s="1">
        <v>28.0</v>
      </c>
      <c r="I1455" s="1" t="s">
        <v>16</v>
      </c>
      <c r="J1455" s="1">
        <v>3.3E7</v>
      </c>
      <c r="K1455" s="1">
        <v>2013.0</v>
      </c>
      <c r="L1455" s="1">
        <v>7.1</v>
      </c>
      <c r="O1455" s="3"/>
      <c r="S1455" s="4"/>
    </row>
    <row r="1456" ht="14.25" customHeight="1">
      <c r="A1456" s="1" t="s">
        <v>2727</v>
      </c>
      <c r="B1456" s="1">
        <v>98.0</v>
      </c>
      <c r="C1456" s="1">
        <v>3.2701088E7</v>
      </c>
      <c r="D1456" s="1" t="s">
        <v>3151</v>
      </c>
      <c r="E1456" s="1" t="s">
        <v>3152</v>
      </c>
      <c r="F1456" s="1" t="s">
        <v>3153</v>
      </c>
      <c r="G1456" s="1">
        <v>10018.0</v>
      </c>
      <c r="H1456" s="1">
        <v>108.0</v>
      </c>
      <c r="I1456" s="1" t="s">
        <v>16</v>
      </c>
      <c r="J1456" s="1">
        <v>3.2E7</v>
      </c>
      <c r="K1456" s="1">
        <v>2005.0</v>
      </c>
      <c r="L1456" s="1">
        <v>6.9</v>
      </c>
      <c r="O1456" s="3"/>
      <c r="S1456" s="4"/>
    </row>
    <row r="1457" ht="14.25" customHeight="1">
      <c r="A1457" s="1" t="s">
        <v>2170</v>
      </c>
      <c r="B1457" s="1">
        <v>96.0</v>
      </c>
      <c r="C1457" s="1">
        <v>3.1493782E7</v>
      </c>
      <c r="D1457" s="1" t="s">
        <v>901</v>
      </c>
      <c r="E1457" s="1" t="s">
        <v>2098</v>
      </c>
      <c r="F1457" s="1" t="s">
        <v>3154</v>
      </c>
      <c r="G1457" s="1">
        <v>186606.0</v>
      </c>
      <c r="H1457" s="1">
        <v>1125.0</v>
      </c>
      <c r="I1457" s="1" t="s">
        <v>16</v>
      </c>
      <c r="J1457" s="1">
        <v>3.2E7</v>
      </c>
      <c r="K1457" s="1">
        <v>2005.0</v>
      </c>
      <c r="L1457" s="1">
        <v>7.5</v>
      </c>
      <c r="O1457" s="3"/>
      <c r="S1457" s="4"/>
    </row>
    <row r="1458" ht="14.25" customHeight="1">
      <c r="A1458" s="1" t="s">
        <v>472</v>
      </c>
      <c r="B1458" s="1">
        <v>87.0</v>
      </c>
      <c r="C1458" s="1">
        <v>4.30956E7</v>
      </c>
      <c r="D1458" s="1" t="s">
        <v>146</v>
      </c>
      <c r="E1458" s="1" t="s">
        <v>147</v>
      </c>
      <c r="F1458" s="1" t="s">
        <v>3155</v>
      </c>
      <c r="G1458" s="1">
        <v>156267.0</v>
      </c>
      <c r="H1458" s="1">
        <v>340.0</v>
      </c>
      <c r="I1458" s="1" t="s">
        <v>16</v>
      </c>
      <c r="J1458" s="1">
        <v>3.2E7</v>
      </c>
      <c r="K1458" s="1">
        <v>2005.0</v>
      </c>
      <c r="L1458" s="1">
        <v>6.3</v>
      </c>
      <c r="O1458" s="3"/>
      <c r="S1458" s="4"/>
    </row>
    <row r="1459" ht="14.25" customHeight="1">
      <c r="A1459" s="1" t="s">
        <v>33</v>
      </c>
      <c r="B1459" s="1">
        <v>107.0</v>
      </c>
      <c r="C1459" s="1">
        <v>1.8636537E7</v>
      </c>
      <c r="D1459" s="1" t="s">
        <v>3156</v>
      </c>
      <c r="E1459" s="1" t="s">
        <v>93</v>
      </c>
      <c r="F1459" s="1" t="s">
        <v>3157</v>
      </c>
      <c r="G1459" s="1">
        <v>69197.0</v>
      </c>
      <c r="H1459" s="1">
        <v>216.0</v>
      </c>
      <c r="I1459" s="1" t="s">
        <v>16</v>
      </c>
      <c r="J1459" s="1">
        <v>3.2E7</v>
      </c>
      <c r="K1459" s="1">
        <v>1995.0</v>
      </c>
      <c r="L1459" s="1">
        <v>6.4</v>
      </c>
      <c r="O1459" s="3"/>
      <c r="S1459" s="4"/>
    </row>
    <row r="1460" ht="14.25" customHeight="1">
      <c r="A1460" s="1" t="s">
        <v>2334</v>
      </c>
      <c r="B1460" s="1">
        <v>90.0</v>
      </c>
      <c r="C1460" s="1">
        <v>1.7848322E7</v>
      </c>
      <c r="D1460" s="1" t="s">
        <v>699</v>
      </c>
      <c r="E1460" s="1" t="s">
        <v>3158</v>
      </c>
      <c r="F1460" s="1" t="s">
        <v>3159</v>
      </c>
      <c r="G1460" s="1">
        <v>18771.0</v>
      </c>
      <c r="H1460" s="1">
        <v>102.0</v>
      </c>
      <c r="I1460" s="1" t="s">
        <v>16</v>
      </c>
      <c r="J1460" s="1">
        <v>2.8E7</v>
      </c>
      <c r="K1460" s="1">
        <v>2004.0</v>
      </c>
      <c r="L1460" s="1">
        <v>5.9</v>
      </c>
      <c r="O1460" s="3"/>
      <c r="S1460" s="4"/>
    </row>
    <row r="1461" ht="14.25" customHeight="1">
      <c r="A1461" s="1" t="s">
        <v>208</v>
      </c>
      <c r="B1461" s="1">
        <v>121.0</v>
      </c>
      <c r="C1461" s="1">
        <v>1.664021E7</v>
      </c>
      <c r="D1461" s="1" t="s">
        <v>1654</v>
      </c>
      <c r="E1461" s="1" t="s">
        <v>301</v>
      </c>
      <c r="F1461" s="1" t="s">
        <v>3160</v>
      </c>
      <c r="G1461" s="1">
        <v>53028.0</v>
      </c>
      <c r="H1461" s="1">
        <v>382.0</v>
      </c>
      <c r="I1461" s="1" t="s">
        <v>16</v>
      </c>
      <c r="J1461" s="1">
        <v>5.5E7</v>
      </c>
      <c r="K1461" s="1">
        <v>1999.0</v>
      </c>
      <c r="L1461" s="1">
        <v>6.8</v>
      </c>
      <c r="O1461" s="3"/>
      <c r="S1461" s="4"/>
    </row>
    <row r="1462" ht="14.25" customHeight="1">
      <c r="A1462" s="1" t="s">
        <v>3161</v>
      </c>
      <c r="B1462" s="1">
        <v>119.0</v>
      </c>
      <c r="C1462" s="1">
        <v>1.376313E7</v>
      </c>
      <c r="D1462" s="1" t="s">
        <v>587</v>
      </c>
      <c r="E1462" s="1" t="s">
        <v>3162</v>
      </c>
      <c r="F1462" s="1" t="s">
        <v>3163</v>
      </c>
      <c r="G1462" s="1">
        <v>87768.0</v>
      </c>
      <c r="H1462" s="1">
        <v>187.0</v>
      </c>
      <c r="I1462" s="1" t="s">
        <v>16</v>
      </c>
      <c r="J1462" s="1">
        <v>3.2E7</v>
      </c>
      <c r="K1462" s="1">
        <v>2010.0</v>
      </c>
      <c r="L1462" s="1">
        <v>6.3</v>
      </c>
      <c r="O1462" s="3"/>
      <c r="S1462" s="4"/>
    </row>
    <row r="1463" ht="14.25" customHeight="1">
      <c r="A1463" s="1" t="s">
        <v>3164</v>
      </c>
      <c r="B1463" s="1">
        <v>107.0</v>
      </c>
      <c r="C1463" s="1">
        <v>1.0956379E7</v>
      </c>
      <c r="D1463" s="1" t="s">
        <v>3165</v>
      </c>
      <c r="E1463" s="1" t="s">
        <v>1777</v>
      </c>
      <c r="F1463" s="1" t="s">
        <v>3166</v>
      </c>
      <c r="G1463" s="1">
        <v>21506.0</v>
      </c>
      <c r="H1463" s="1">
        <v>364.0</v>
      </c>
      <c r="I1463" s="1" t="s">
        <v>16</v>
      </c>
      <c r="J1463" s="1">
        <v>3.5E7</v>
      </c>
      <c r="K1463" s="1">
        <v>2007.0</v>
      </c>
      <c r="L1463" s="1">
        <v>3.6</v>
      </c>
      <c r="O1463" s="3"/>
      <c r="S1463" s="4"/>
    </row>
    <row r="1464" ht="14.25" customHeight="1">
      <c r="A1464" s="1" t="s">
        <v>2786</v>
      </c>
      <c r="B1464" s="1">
        <v>110.0</v>
      </c>
      <c r="C1464" s="1">
        <v>4357000.0</v>
      </c>
      <c r="D1464" s="1" t="s">
        <v>222</v>
      </c>
      <c r="E1464" s="1" t="s">
        <v>927</v>
      </c>
      <c r="F1464" s="1" t="s">
        <v>3167</v>
      </c>
      <c r="G1464" s="1">
        <v>5176.0</v>
      </c>
      <c r="H1464" s="1">
        <v>30.0</v>
      </c>
      <c r="I1464" s="1" t="s">
        <v>16</v>
      </c>
      <c r="J1464" s="1">
        <v>3.0E7</v>
      </c>
      <c r="K1464" s="1">
        <v>1996.0</v>
      </c>
      <c r="L1464" s="1">
        <v>5.3</v>
      </c>
      <c r="O1464" s="3"/>
      <c r="S1464" s="4"/>
    </row>
    <row r="1465" ht="14.25" customHeight="1">
      <c r="A1465" s="1" t="s">
        <v>3168</v>
      </c>
      <c r="B1465" s="1">
        <v>100.0</v>
      </c>
      <c r="C1465" s="1">
        <v>2.2525921E7</v>
      </c>
      <c r="D1465" s="1" t="s">
        <v>828</v>
      </c>
      <c r="E1465" s="1" t="s">
        <v>119</v>
      </c>
      <c r="F1465" s="1" t="s">
        <v>3169</v>
      </c>
      <c r="G1465" s="1">
        <v>60596.0</v>
      </c>
      <c r="H1465" s="1">
        <v>158.0</v>
      </c>
      <c r="I1465" s="1" t="s">
        <v>16</v>
      </c>
      <c r="J1465" s="1">
        <v>3.0E7</v>
      </c>
      <c r="K1465" s="1">
        <v>2013.0</v>
      </c>
      <c r="L1465" s="1">
        <v>5.9</v>
      </c>
      <c r="O1465" s="3"/>
      <c r="S1465" s="4"/>
    </row>
    <row r="1466" ht="14.25" customHeight="1">
      <c r="A1466" s="1" t="s">
        <v>740</v>
      </c>
      <c r="B1466" s="1">
        <v>75.0</v>
      </c>
      <c r="C1466" s="1">
        <v>3562749.0</v>
      </c>
      <c r="D1466" s="1" t="s">
        <v>3170</v>
      </c>
      <c r="E1466" s="1" t="s">
        <v>3171</v>
      </c>
      <c r="F1466" s="1" t="s">
        <v>3172</v>
      </c>
      <c r="G1466" s="1">
        <v>5600.0</v>
      </c>
      <c r="H1466" s="1">
        <v>49.0</v>
      </c>
      <c r="I1466" s="1" t="s">
        <v>16</v>
      </c>
      <c r="J1466" s="1">
        <v>3.2E7</v>
      </c>
      <c r="K1466" s="1">
        <v>1997.0</v>
      </c>
      <c r="L1466" s="1">
        <v>6.9</v>
      </c>
      <c r="O1466" s="3"/>
      <c r="S1466" s="4"/>
    </row>
    <row r="1467" ht="14.25" customHeight="1">
      <c r="A1467" s="1" t="s">
        <v>3173</v>
      </c>
      <c r="B1467" s="1">
        <v>132.0</v>
      </c>
      <c r="C1467" s="1">
        <v>2899970.0</v>
      </c>
      <c r="D1467" s="1" t="s">
        <v>1391</v>
      </c>
      <c r="E1467" s="1" t="s">
        <v>899</v>
      </c>
      <c r="F1467" s="1" t="s">
        <v>3174</v>
      </c>
      <c r="G1467" s="1">
        <v>8039.0</v>
      </c>
      <c r="H1467" s="1">
        <v>161.0</v>
      </c>
      <c r="I1467" s="1" t="s">
        <v>16</v>
      </c>
      <c r="J1467" s="1">
        <v>3.2E7</v>
      </c>
      <c r="K1467" s="1">
        <v>1999.0</v>
      </c>
      <c r="L1467" s="1">
        <v>6.9</v>
      </c>
      <c r="O1467" s="3"/>
      <c r="S1467" s="4"/>
    </row>
    <row r="1468" ht="14.25" customHeight="1">
      <c r="A1468" s="1" t="s">
        <v>639</v>
      </c>
      <c r="B1468" s="1">
        <v>105.0</v>
      </c>
      <c r="C1468" s="1">
        <v>1304837.0</v>
      </c>
      <c r="D1468" s="1" t="s">
        <v>806</v>
      </c>
      <c r="E1468" s="1" t="s">
        <v>547</v>
      </c>
      <c r="F1468" s="1" t="s">
        <v>3175</v>
      </c>
      <c r="G1468" s="1">
        <v>21481.0</v>
      </c>
      <c r="H1468" s="1">
        <v>175.0</v>
      </c>
      <c r="I1468" s="1" t="s">
        <v>16</v>
      </c>
      <c r="J1468" s="1">
        <v>3.2E7</v>
      </c>
      <c r="K1468" s="1">
        <v>2006.0</v>
      </c>
      <c r="L1468" s="1">
        <v>6.1</v>
      </c>
      <c r="O1468" s="3"/>
      <c r="S1468" s="4"/>
    </row>
    <row r="1469" ht="14.25" customHeight="1">
      <c r="A1469" s="1" t="s">
        <v>1957</v>
      </c>
      <c r="B1469" s="1">
        <v>289.0</v>
      </c>
      <c r="C1469" s="1">
        <v>7.88E7</v>
      </c>
      <c r="D1469" s="1" t="s">
        <v>1384</v>
      </c>
      <c r="E1469" s="1" t="s">
        <v>169</v>
      </c>
      <c r="F1469" s="1" t="s">
        <v>3176</v>
      </c>
      <c r="G1469" s="1">
        <v>450676.0</v>
      </c>
      <c r="H1469" s="1">
        <v>983.0</v>
      </c>
      <c r="I1469" s="1" t="s">
        <v>16</v>
      </c>
      <c r="J1469" s="1">
        <v>3.15E7</v>
      </c>
      <c r="K1469" s="1">
        <v>1979.0</v>
      </c>
      <c r="L1469" s="1">
        <v>8.5</v>
      </c>
      <c r="O1469" s="3"/>
      <c r="S1469" s="4"/>
    </row>
    <row r="1470" ht="14.25" customHeight="1">
      <c r="A1470" s="1" t="s">
        <v>3177</v>
      </c>
      <c r="B1470" s="1">
        <v>102.0</v>
      </c>
      <c r="C1470" s="1">
        <v>1.7797316E7</v>
      </c>
      <c r="D1470" s="1" t="s">
        <v>699</v>
      </c>
      <c r="E1470" s="1" t="s">
        <v>3178</v>
      </c>
      <c r="F1470" s="1" t="s">
        <v>3179</v>
      </c>
      <c r="G1470" s="1">
        <v>50523.0</v>
      </c>
      <c r="H1470" s="1">
        <v>113.0</v>
      </c>
      <c r="I1470" s="1" t="s">
        <v>16</v>
      </c>
      <c r="J1470" s="1">
        <v>3.2E7</v>
      </c>
      <c r="K1470" s="1">
        <v>2010.0</v>
      </c>
      <c r="L1470" s="1">
        <v>6.3</v>
      </c>
      <c r="O1470" s="3"/>
      <c r="S1470" s="4"/>
    </row>
    <row r="1471" ht="14.25" customHeight="1">
      <c r="A1471" s="1" t="s">
        <v>1809</v>
      </c>
      <c r="B1471" s="1">
        <v>143.0</v>
      </c>
      <c r="C1471" s="1">
        <v>8.2528097E7</v>
      </c>
      <c r="D1471" s="1" t="s">
        <v>2466</v>
      </c>
      <c r="E1471" s="1" t="s">
        <v>3180</v>
      </c>
      <c r="F1471" s="1" t="s">
        <v>3181</v>
      </c>
      <c r="G1471" s="1">
        <v>30230.0</v>
      </c>
      <c r="H1471" s="1">
        <v>154.0</v>
      </c>
      <c r="I1471" s="1" t="s">
        <v>16</v>
      </c>
      <c r="J1471" s="1">
        <v>6500000.0</v>
      </c>
      <c r="K1471" s="1">
        <v>1995.0</v>
      </c>
      <c r="L1471" s="1">
        <v>7.3</v>
      </c>
      <c r="O1471" s="3"/>
      <c r="S1471" s="4"/>
    </row>
    <row r="1472" ht="14.25" customHeight="1">
      <c r="A1472" s="1" t="s">
        <v>3182</v>
      </c>
      <c r="B1472" s="1">
        <v>113.0</v>
      </c>
      <c r="C1472" s="1">
        <v>1.4268533E7</v>
      </c>
      <c r="D1472" s="1" t="s">
        <v>3183</v>
      </c>
      <c r="E1472" s="1" t="s">
        <v>249</v>
      </c>
      <c r="F1472" s="1" t="s">
        <v>3184</v>
      </c>
      <c r="G1472" s="1">
        <v>17319.0</v>
      </c>
      <c r="H1472" s="1">
        <v>100.0</v>
      </c>
      <c r="I1472" s="1" t="s">
        <v>16</v>
      </c>
      <c r="J1472" s="1">
        <v>3.15E7</v>
      </c>
      <c r="K1472" s="1">
        <v>2016.0</v>
      </c>
      <c r="L1472" s="1">
        <v>6.3</v>
      </c>
      <c r="O1472" s="3"/>
      <c r="S1472" s="4"/>
    </row>
    <row r="1473" ht="14.25" customHeight="1">
      <c r="A1473" s="1" t="s">
        <v>937</v>
      </c>
      <c r="B1473" s="1">
        <v>161.0</v>
      </c>
      <c r="C1473" s="1">
        <v>8.71E7</v>
      </c>
      <c r="D1473" s="1" t="s">
        <v>2521</v>
      </c>
      <c r="E1473" s="1" t="s">
        <v>1000</v>
      </c>
      <c r="F1473" s="1" t="s">
        <v>3185</v>
      </c>
      <c r="G1473" s="1">
        <v>52339.0</v>
      </c>
      <c r="H1473" s="1">
        <v>200.0</v>
      </c>
      <c r="I1473" s="1" t="s">
        <v>16</v>
      </c>
      <c r="J1473" s="1">
        <v>3.1E7</v>
      </c>
      <c r="K1473" s="1">
        <v>1985.0</v>
      </c>
      <c r="L1473" s="1">
        <v>7.2</v>
      </c>
      <c r="O1473" s="3"/>
      <c r="S1473" s="4"/>
    </row>
    <row r="1474" ht="14.25" customHeight="1">
      <c r="A1474" s="1" t="s">
        <v>186</v>
      </c>
      <c r="B1474" s="1">
        <v>138.0</v>
      </c>
      <c r="C1474" s="1">
        <v>9.3749203E7</v>
      </c>
      <c r="D1474" s="1" t="s">
        <v>1654</v>
      </c>
      <c r="E1474" s="1" t="s">
        <v>717</v>
      </c>
      <c r="F1474" s="1" t="s">
        <v>3186</v>
      </c>
      <c r="G1474" s="1">
        <v>264047.0</v>
      </c>
      <c r="H1474" s="1">
        <v>491.0</v>
      </c>
      <c r="I1474" s="1" t="s">
        <v>16</v>
      </c>
      <c r="J1474" s="1">
        <v>3.1E7</v>
      </c>
      <c r="K1474" s="1">
        <v>2012.0</v>
      </c>
      <c r="L1474" s="1">
        <v>7.3</v>
      </c>
      <c r="O1474" s="3"/>
      <c r="S1474" s="4"/>
    </row>
    <row r="1475" ht="14.25" customHeight="1">
      <c r="A1475" s="1" t="s">
        <v>3187</v>
      </c>
      <c r="B1475" s="1">
        <v>126.0</v>
      </c>
      <c r="C1475" s="1">
        <v>6.27E7</v>
      </c>
      <c r="D1475" s="1" t="s">
        <v>99</v>
      </c>
      <c r="E1475" s="1" t="s">
        <v>3188</v>
      </c>
      <c r="F1475" s="1" t="s">
        <v>3189</v>
      </c>
      <c r="G1475" s="1">
        <v>69534.0</v>
      </c>
      <c r="H1475" s="1">
        <v>294.0</v>
      </c>
      <c r="I1475" s="1" t="s">
        <v>16</v>
      </c>
      <c r="J1475" s="1">
        <v>3.4E7</v>
      </c>
      <c r="K1475" s="1">
        <v>1979.0</v>
      </c>
      <c r="L1475" s="1">
        <v>6.3</v>
      </c>
      <c r="O1475" s="3"/>
      <c r="S1475" s="4"/>
    </row>
    <row r="1476" ht="14.25" customHeight="1">
      <c r="A1476" s="1" t="s">
        <v>2161</v>
      </c>
      <c r="B1476" s="1">
        <v>99.0</v>
      </c>
      <c r="C1476" s="1">
        <v>5.9073773E7</v>
      </c>
      <c r="D1476" s="1" t="s">
        <v>3190</v>
      </c>
      <c r="E1476" s="1" t="s">
        <v>899</v>
      </c>
      <c r="F1476" s="1" t="s">
        <v>3191</v>
      </c>
      <c r="G1476" s="1">
        <v>475518.0</v>
      </c>
      <c r="H1476" s="1">
        <v>644.0</v>
      </c>
      <c r="I1476" s="1" t="s">
        <v>16</v>
      </c>
      <c r="J1476" s="1">
        <v>2.5E7</v>
      </c>
      <c r="K1476" s="1">
        <v>2014.0</v>
      </c>
      <c r="L1476" s="1">
        <v>8.1</v>
      </c>
      <c r="O1476" s="3"/>
      <c r="S1476" s="4"/>
    </row>
    <row r="1477" ht="14.25" customHeight="1">
      <c r="A1477" s="1" t="s">
        <v>2866</v>
      </c>
      <c r="B1477" s="1">
        <v>101.0</v>
      </c>
      <c r="C1477" s="1">
        <v>2.4185781E7</v>
      </c>
      <c r="D1477" s="1" t="s">
        <v>3192</v>
      </c>
      <c r="E1477" s="1" t="s">
        <v>326</v>
      </c>
      <c r="F1477" s="1" t="s">
        <v>3193</v>
      </c>
      <c r="G1477" s="1">
        <v>30339.0</v>
      </c>
      <c r="H1477" s="1">
        <v>268.0</v>
      </c>
      <c r="I1477" s="1" t="s">
        <v>16</v>
      </c>
      <c r="J1477" s="1">
        <v>3.1E7</v>
      </c>
      <c r="K1477" s="1">
        <v>2001.0</v>
      </c>
      <c r="L1477" s="1">
        <v>6.9</v>
      </c>
      <c r="O1477" s="3"/>
      <c r="S1477" s="4"/>
    </row>
    <row r="1478" ht="14.25" customHeight="1">
      <c r="A1478" s="1" t="s">
        <v>2053</v>
      </c>
      <c r="B1478" s="1">
        <v>103.0</v>
      </c>
      <c r="C1478" s="1">
        <v>5.3133888E7</v>
      </c>
      <c r="D1478" s="1" t="s">
        <v>3194</v>
      </c>
      <c r="E1478" s="1" t="s">
        <v>2471</v>
      </c>
      <c r="F1478" s="1" t="s">
        <v>3195</v>
      </c>
      <c r="G1478" s="1">
        <v>50389.0</v>
      </c>
      <c r="H1478" s="1">
        <v>136.0</v>
      </c>
      <c r="I1478" s="1" t="s">
        <v>16</v>
      </c>
      <c r="J1478" s="1">
        <v>3.1E7</v>
      </c>
      <c r="K1478" s="1">
        <v>1990.0</v>
      </c>
      <c r="L1478" s="1">
        <v>6.3</v>
      </c>
      <c r="O1478" s="3"/>
      <c r="S1478" s="4"/>
    </row>
    <row r="1479" ht="14.25" customHeight="1">
      <c r="A1479" s="1" t="s">
        <v>1416</v>
      </c>
      <c r="B1479" s="1">
        <v>118.0</v>
      </c>
      <c r="C1479" s="1">
        <v>4.4983704E7</v>
      </c>
      <c r="D1479" s="1" t="s">
        <v>3196</v>
      </c>
      <c r="E1479" s="1" t="s">
        <v>870</v>
      </c>
      <c r="F1479" s="1" t="s">
        <v>3197</v>
      </c>
      <c r="G1479" s="1">
        <v>81866.0</v>
      </c>
      <c r="H1479" s="1">
        <v>510.0</v>
      </c>
      <c r="I1479" s="1" t="s">
        <v>16</v>
      </c>
      <c r="J1479" s="1">
        <v>3.1E7</v>
      </c>
      <c r="K1479" s="1">
        <v>2000.0</v>
      </c>
      <c r="L1479" s="1">
        <v>7.3</v>
      </c>
      <c r="O1479" s="3"/>
      <c r="S1479" s="4"/>
    </row>
    <row r="1480" ht="14.25" customHeight="1">
      <c r="A1480" s="1" t="s">
        <v>411</v>
      </c>
      <c r="B1480" s="1">
        <v>116.0</v>
      </c>
      <c r="C1480" s="1">
        <v>1.18099659E8</v>
      </c>
      <c r="D1480" s="1" t="s">
        <v>412</v>
      </c>
      <c r="E1480" s="1" t="s">
        <v>413</v>
      </c>
      <c r="F1480" s="1" t="s">
        <v>414</v>
      </c>
      <c r="G1480" s="1">
        <v>69790.0</v>
      </c>
      <c r="H1480" s="1">
        <v>1211.0</v>
      </c>
      <c r="I1480" s="1" t="s">
        <v>16</v>
      </c>
      <c r="J1480" s="1">
        <v>1.44E8</v>
      </c>
      <c r="K1480" s="1">
        <v>2016.0</v>
      </c>
      <c r="L1480" s="1">
        <v>5.5</v>
      </c>
      <c r="O1480" s="3"/>
      <c r="S1480" s="4"/>
    </row>
    <row r="1481" ht="14.25" customHeight="1">
      <c r="A1481" s="1" t="s">
        <v>3198</v>
      </c>
      <c r="B1481" s="1">
        <v>99.0</v>
      </c>
      <c r="C1481" s="1">
        <v>5.8879132E7</v>
      </c>
      <c r="D1481" s="1" t="s">
        <v>1720</v>
      </c>
      <c r="E1481" s="1" t="s">
        <v>42</v>
      </c>
      <c r="F1481" s="1" t="s">
        <v>3199</v>
      </c>
      <c r="G1481" s="1">
        <v>66123.0</v>
      </c>
      <c r="H1481" s="1">
        <v>219.0</v>
      </c>
      <c r="I1481" s="1" t="s">
        <v>16</v>
      </c>
      <c r="J1481" s="1">
        <v>3.1E7</v>
      </c>
      <c r="K1481" s="1">
        <v>2015.0</v>
      </c>
      <c r="L1481" s="1">
        <v>6.1</v>
      </c>
      <c r="O1481" s="3"/>
      <c r="S1481" s="4"/>
    </row>
    <row r="1482" ht="14.25" customHeight="1">
      <c r="A1482" s="1" t="s">
        <v>69</v>
      </c>
      <c r="B1482" s="1">
        <v>105.0</v>
      </c>
      <c r="C1482" s="1">
        <v>7.2077E7</v>
      </c>
      <c r="D1482" s="1" t="s">
        <v>2378</v>
      </c>
      <c r="E1482" s="1" t="s">
        <v>1509</v>
      </c>
      <c r="F1482" s="1" t="s">
        <v>3200</v>
      </c>
      <c r="G1482" s="1">
        <v>62986.0</v>
      </c>
      <c r="H1482" s="1">
        <v>150.0</v>
      </c>
      <c r="I1482" s="1" t="s">
        <v>16</v>
      </c>
      <c r="J1482" s="1">
        <v>3.025E7</v>
      </c>
      <c r="K1482" s="1">
        <v>1995.0</v>
      </c>
      <c r="L1482" s="1">
        <v>6.9</v>
      </c>
      <c r="O1482" s="3"/>
      <c r="S1482" s="4"/>
    </row>
    <row r="1483" ht="14.25" customHeight="1">
      <c r="A1483" s="1" t="s">
        <v>67</v>
      </c>
      <c r="B1483" s="1">
        <v>113.0</v>
      </c>
      <c r="C1483" s="1">
        <v>1.70684505E8</v>
      </c>
      <c r="D1483" s="1" t="s">
        <v>3201</v>
      </c>
      <c r="E1483" s="1" t="s">
        <v>1693</v>
      </c>
      <c r="F1483" s="1" t="s">
        <v>3202</v>
      </c>
      <c r="G1483" s="1">
        <v>172080.0</v>
      </c>
      <c r="H1483" s="1">
        <v>1017.0</v>
      </c>
      <c r="I1483" s="1" t="s">
        <v>16</v>
      </c>
      <c r="J1483" s="1">
        <v>4.5E7</v>
      </c>
      <c r="K1483" s="1">
        <v>2002.0</v>
      </c>
      <c r="L1483" s="1">
        <v>7.2</v>
      </c>
      <c r="O1483" s="3"/>
      <c r="S1483" s="4"/>
    </row>
    <row r="1484" ht="14.25" customHeight="1">
      <c r="A1484" s="1" t="s">
        <v>922</v>
      </c>
      <c r="B1484" s="1">
        <v>93.0</v>
      </c>
      <c r="C1484" s="1">
        <v>1.63479795E8</v>
      </c>
      <c r="D1484" s="1" t="s">
        <v>1059</v>
      </c>
      <c r="E1484" s="1" t="s">
        <v>119</v>
      </c>
      <c r="F1484" s="1" t="s">
        <v>3203</v>
      </c>
      <c r="G1484" s="1">
        <v>161858.0</v>
      </c>
      <c r="H1484" s="1">
        <v>289.0</v>
      </c>
      <c r="I1484" s="1" t="s">
        <v>16</v>
      </c>
      <c r="J1484" s="1">
        <v>3.42E7</v>
      </c>
      <c r="K1484" s="1">
        <v>1999.0</v>
      </c>
      <c r="L1484" s="1">
        <v>6.4</v>
      </c>
      <c r="O1484" s="3"/>
      <c r="S1484" s="4"/>
    </row>
    <row r="1485" ht="14.25" customHeight="1">
      <c r="A1485" s="1" t="s">
        <v>3204</v>
      </c>
      <c r="B1485" s="1">
        <v>108.0</v>
      </c>
      <c r="C1485" s="1">
        <v>1.4509682E8</v>
      </c>
      <c r="D1485" s="1" t="s">
        <v>828</v>
      </c>
      <c r="E1485" s="1" t="s">
        <v>1865</v>
      </c>
      <c r="F1485" s="1" t="s">
        <v>3205</v>
      </c>
      <c r="G1485" s="1">
        <v>200260.0</v>
      </c>
      <c r="H1485" s="1">
        <v>431.0</v>
      </c>
      <c r="I1485" s="1" t="s">
        <v>16</v>
      </c>
      <c r="J1485" s="1">
        <v>3.0E7</v>
      </c>
      <c r="K1485" s="1">
        <v>2001.0</v>
      </c>
      <c r="L1485" s="1">
        <v>6.4</v>
      </c>
      <c r="O1485" s="3"/>
      <c r="S1485" s="4"/>
    </row>
    <row r="1486" ht="14.25" customHeight="1">
      <c r="A1486" s="1" t="s">
        <v>132</v>
      </c>
      <c r="B1486" s="1">
        <v>74.0</v>
      </c>
      <c r="C1486" s="1">
        <v>1.91796233E8</v>
      </c>
      <c r="D1486" s="1" t="s">
        <v>118</v>
      </c>
      <c r="E1486" s="1" t="s">
        <v>140</v>
      </c>
      <c r="F1486" s="1" t="s">
        <v>3206</v>
      </c>
      <c r="G1486" s="1">
        <v>623757.0</v>
      </c>
      <c r="H1486" s="1">
        <v>391.0</v>
      </c>
      <c r="I1486" s="1" t="s">
        <v>16</v>
      </c>
      <c r="J1486" s="1">
        <v>3.0E7</v>
      </c>
      <c r="K1486" s="1">
        <v>1995.0</v>
      </c>
      <c r="L1486" s="1">
        <v>8.3</v>
      </c>
      <c r="O1486" s="3"/>
      <c r="S1486" s="4"/>
    </row>
    <row r="1487" ht="14.25" customHeight="1">
      <c r="A1487" s="1" t="s">
        <v>669</v>
      </c>
      <c r="B1487" s="1">
        <v>116.0</v>
      </c>
      <c r="C1487" s="1">
        <v>1.21248145E8</v>
      </c>
      <c r="D1487" s="1" t="s">
        <v>1362</v>
      </c>
      <c r="E1487" s="1" t="s">
        <v>252</v>
      </c>
      <c r="F1487" s="1" t="s">
        <v>3207</v>
      </c>
      <c r="G1487" s="1">
        <v>260981.0</v>
      </c>
      <c r="H1487" s="1">
        <v>373.0</v>
      </c>
      <c r="I1487" s="1" t="s">
        <v>16</v>
      </c>
      <c r="J1487" s="1">
        <v>2.5E7</v>
      </c>
      <c r="K1487" s="1">
        <v>1994.0</v>
      </c>
      <c r="L1487" s="1">
        <v>7.2</v>
      </c>
      <c r="O1487" s="3"/>
      <c r="S1487" s="4"/>
    </row>
    <row r="1488" ht="14.25" customHeight="1">
      <c r="A1488" s="1" t="s">
        <v>3208</v>
      </c>
      <c r="B1488" s="1">
        <v>104.0</v>
      </c>
      <c r="C1488" s="1">
        <v>1.2501403E8</v>
      </c>
      <c r="D1488" s="1" t="s">
        <v>92</v>
      </c>
      <c r="E1488" s="1" t="s">
        <v>191</v>
      </c>
      <c r="F1488" s="1" t="s">
        <v>3209</v>
      </c>
      <c r="G1488" s="1">
        <v>145852.0</v>
      </c>
      <c r="H1488" s="1">
        <v>164.0</v>
      </c>
      <c r="I1488" s="1" t="s">
        <v>16</v>
      </c>
      <c r="J1488" s="1">
        <v>3.0E7</v>
      </c>
      <c r="K1488" s="1">
        <v>2012.0</v>
      </c>
      <c r="L1488" s="1">
        <v>6.8</v>
      </c>
      <c r="O1488" s="3"/>
      <c r="S1488" s="4"/>
    </row>
    <row r="1489" ht="14.25" customHeight="1">
      <c r="A1489" s="1" t="s">
        <v>3210</v>
      </c>
      <c r="B1489" s="1">
        <v>106.0</v>
      </c>
      <c r="C1489" s="1">
        <v>1.1854694E7</v>
      </c>
      <c r="D1489" s="1" t="s">
        <v>1391</v>
      </c>
      <c r="E1489" s="1" t="s">
        <v>169</v>
      </c>
      <c r="F1489" s="1" t="s">
        <v>3211</v>
      </c>
      <c r="G1489" s="1">
        <v>14281.0</v>
      </c>
      <c r="H1489" s="1">
        <v>64.0</v>
      </c>
      <c r="I1489" s="1" t="s">
        <v>16</v>
      </c>
      <c r="J1489" s="1">
        <v>3.1E7</v>
      </c>
      <c r="K1489" s="1">
        <v>2010.0</v>
      </c>
      <c r="L1489" s="1">
        <v>6.5</v>
      </c>
      <c r="O1489" s="3"/>
      <c r="S1489" s="4"/>
    </row>
    <row r="1490" ht="14.25" customHeight="1">
      <c r="A1490" s="1" t="s">
        <v>3112</v>
      </c>
      <c r="B1490" s="1">
        <v>120.0</v>
      </c>
      <c r="C1490" s="1">
        <v>1.15648585E8</v>
      </c>
      <c r="D1490" s="1" t="s">
        <v>681</v>
      </c>
      <c r="E1490" s="1" t="s">
        <v>1717</v>
      </c>
      <c r="F1490" s="1" t="s">
        <v>3212</v>
      </c>
      <c r="G1490" s="1">
        <v>160776.0</v>
      </c>
      <c r="H1490" s="1">
        <v>402.0</v>
      </c>
      <c r="I1490" s="1" t="s">
        <v>16</v>
      </c>
      <c r="J1490" s="1">
        <v>3.0E7</v>
      </c>
      <c r="K1490" s="1">
        <v>2000.0</v>
      </c>
      <c r="L1490" s="1">
        <v>7.8</v>
      </c>
      <c r="O1490" s="3"/>
      <c r="S1490" s="4"/>
    </row>
    <row r="1491" ht="14.25" customHeight="1">
      <c r="A1491" s="1" t="s">
        <v>545</v>
      </c>
      <c r="B1491" s="1">
        <v>135.0</v>
      </c>
      <c r="C1491" s="1">
        <v>1.22012643E8</v>
      </c>
      <c r="D1491" s="1" t="s">
        <v>22</v>
      </c>
      <c r="E1491" s="1" t="s">
        <v>2920</v>
      </c>
      <c r="F1491" s="1" t="s">
        <v>3213</v>
      </c>
      <c r="G1491" s="1">
        <v>143696.0</v>
      </c>
      <c r="H1491" s="1">
        <v>241.0</v>
      </c>
      <c r="I1491" s="1" t="s">
        <v>16</v>
      </c>
      <c r="J1491" s="1">
        <v>3.0E7</v>
      </c>
      <c r="K1491" s="1">
        <v>1990.0</v>
      </c>
      <c r="L1491" s="1">
        <v>7.6</v>
      </c>
      <c r="O1491" s="3"/>
      <c r="S1491" s="4"/>
    </row>
    <row r="1492" ht="14.25" customHeight="1">
      <c r="A1492" s="1" t="s">
        <v>2802</v>
      </c>
      <c r="B1492" s="1">
        <v>132.0</v>
      </c>
      <c r="C1492" s="1">
        <v>1.1663131E8</v>
      </c>
      <c r="D1492" s="1" t="s">
        <v>646</v>
      </c>
      <c r="E1492" s="1" t="s">
        <v>2088</v>
      </c>
      <c r="F1492" s="1" t="s">
        <v>3214</v>
      </c>
      <c r="G1492" s="1">
        <v>87665.0</v>
      </c>
      <c r="H1492" s="1">
        <v>323.0</v>
      </c>
      <c r="I1492" s="1" t="s">
        <v>16</v>
      </c>
      <c r="J1492" s="1">
        <v>3.0E7</v>
      </c>
      <c r="K1492" s="1">
        <v>2013.0</v>
      </c>
      <c r="L1492" s="1">
        <v>7.2</v>
      </c>
      <c r="O1492" s="3"/>
      <c r="S1492" s="4"/>
    </row>
    <row r="1493" ht="14.25" customHeight="1">
      <c r="A1493" s="1" t="s">
        <v>2042</v>
      </c>
      <c r="B1493" s="1">
        <v>92.0</v>
      </c>
      <c r="C1493" s="1">
        <v>1.14324072E8</v>
      </c>
      <c r="D1493" s="1" t="s">
        <v>1592</v>
      </c>
      <c r="E1493" s="1" t="s">
        <v>1407</v>
      </c>
      <c r="F1493" s="1" t="s">
        <v>3215</v>
      </c>
      <c r="G1493" s="1">
        <v>185338.0</v>
      </c>
      <c r="H1493" s="1">
        <v>392.0</v>
      </c>
      <c r="I1493" s="1" t="s">
        <v>16</v>
      </c>
      <c r="J1493" s="1">
        <v>2.0E7</v>
      </c>
      <c r="K1493" s="1">
        <v>2004.0</v>
      </c>
      <c r="L1493" s="1">
        <v>6.7</v>
      </c>
      <c r="O1493" s="3"/>
      <c r="S1493" s="4"/>
    </row>
    <row r="1494" ht="14.25" customHeight="1">
      <c r="A1494" s="1" t="s">
        <v>69</v>
      </c>
      <c r="B1494" s="1">
        <v>99.0</v>
      </c>
      <c r="C1494" s="1">
        <v>1.13502246E8</v>
      </c>
      <c r="D1494" s="1" t="s">
        <v>1148</v>
      </c>
      <c r="E1494" s="1" t="s">
        <v>1617</v>
      </c>
      <c r="F1494" s="1" t="s">
        <v>3216</v>
      </c>
      <c r="G1494" s="1">
        <v>96607.0</v>
      </c>
      <c r="H1494" s="1">
        <v>125.0</v>
      </c>
      <c r="I1494" s="1" t="s">
        <v>16</v>
      </c>
      <c r="J1494" s="1">
        <v>3.8E7</v>
      </c>
      <c r="K1494" s="1">
        <v>1991.0</v>
      </c>
      <c r="L1494" s="1">
        <v>6.8</v>
      </c>
      <c r="O1494" s="3"/>
      <c r="S1494" s="4"/>
    </row>
    <row r="1495" ht="14.25" customHeight="1">
      <c r="A1495" s="1" t="s">
        <v>2014</v>
      </c>
      <c r="B1495" s="1">
        <v>90.0</v>
      </c>
      <c r="C1495" s="1">
        <v>1.0836E8</v>
      </c>
      <c r="D1495" s="1" t="s">
        <v>1720</v>
      </c>
      <c r="E1495" s="1" t="s">
        <v>317</v>
      </c>
      <c r="F1495" s="1" t="s">
        <v>3217</v>
      </c>
      <c r="G1495" s="1">
        <v>160321.0</v>
      </c>
      <c r="H1495" s="1">
        <v>178.0</v>
      </c>
      <c r="I1495" s="1" t="s">
        <v>16</v>
      </c>
      <c r="J1495" s="1">
        <v>3.0E7</v>
      </c>
      <c r="K1495" s="1">
        <v>1995.0</v>
      </c>
      <c r="L1495" s="1">
        <v>6.3</v>
      </c>
      <c r="O1495" s="3"/>
      <c r="S1495" s="4"/>
    </row>
    <row r="1496" ht="14.25" customHeight="1">
      <c r="A1496" s="1" t="s">
        <v>1349</v>
      </c>
      <c r="B1496" s="1">
        <v>111.0</v>
      </c>
      <c r="C1496" s="1">
        <v>1.08244774E8</v>
      </c>
      <c r="D1496" s="1" t="s">
        <v>1125</v>
      </c>
      <c r="E1496" s="1" t="s">
        <v>953</v>
      </c>
      <c r="F1496" s="1" t="s">
        <v>3218</v>
      </c>
      <c r="G1496" s="1">
        <v>94049.0</v>
      </c>
      <c r="H1496" s="1">
        <v>301.0</v>
      </c>
      <c r="I1496" s="1" t="s">
        <v>16</v>
      </c>
      <c r="J1496" s="1">
        <v>3.7E7</v>
      </c>
      <c r="K1496" s="1">
        <v>2001.0</v>
      </c>
      <c r="L1496" s="1">
        <v>6.2</v>
      </c>
      <c r="O1496" s="3"/>
      <c r="S1496" s="4"/>
    </row>
    <row r="1497" ht="14.25" customHeight="1">
      <c r="A1497" s="1" t="s">
        <v>2976</v>
      </c>
      <c r="B1497" s="1">
        <v>103.0</v>
      </c>
      <c r="C1497" s="1">
        <v>1.05444419E8</v>
      </c>
      <c r="D1497" s="1" t="s">
        <v>828</v>
      </c>
      <c r="E1497" s="1" t="s">
        <v>2873</v>
      </c>
      <c r="F1497" s="1" t="s">
        <v>3219</v>
      </c>
      <c r="G1497" s="1">
        <v>31817.0</v>
      </c>
      <c r="H1497" s="1">
        <v>117.0</v>
      </c>
      <c r="I1497" s="1" t="s">
        <v>16</v>
      </c>
      <c r="J1497" s="1">
        <v>2.6E7</v>
      </c>
      <c r="K1497" s="1">
        <v>1996.0</v>
      </c>
      <c r="L1497" s="1">
        <v>6.2</v>
      </c>
      <c r="O1497" s="3"/>
      <c r="S1497" s="4"/>
    </row>
    <row r="1498" ht="14.25" customHeight="1">
      <c r="A1498" s="1" t="s">
        <v>291</v>
      </c>
      <c r="B1498" s="1">
        <v>127.0</v>
      </c>
      <c r="C1498" s="1">
        <v>1.0012534E8</v>
      </c>
      <c r="D1498" s="1" t="s">
        <v>909</v>
      </c>
      <c r="E1498" s="1" t="s">
        <v>600</v>
      </c>
      <c r="F1498" s="1" t="s">
        <v>3220</v>
      </c>
      <c r="G1498" s="1">
        <v>1023511.0</v>
      </c>
      <c r="H1498" s="1">
        <v>1080.0</v>
      </c>
      <c r="I1498" s="1" t="s">
        <v>16</v>
      </c>
      <c r="J1498" s="1">
        <v>3.3E7</v>
      </c>
      <c r="K1498" s="1">
        <v>1995.0</v>
      </c>
      <c r="L1498" s="1">
        <v>8.6</v>
      </c>
      <c r="O1498" s="3"/>
      <c r="S1498" s="4"/>
    </row>
    <row r="1499" ht="14.25" customHeight="1">
      <c r="A1499" s="1" t="s">
        <v>580</v>
      </c>
      <c r="B1499" s="1">
        <v>112.0</v>
      </c>
      <c r="C1499" s="1">
        <v>1.15646235E8</v>
      </c>
      <c r="D1499" s="1" t="s">
        <v>1154</v>
      </c>
      <c r="E1499" s="1" t="s">
        <v>3221</v>
      </c>
      <c r="F1499" s="1" t="s">
        <v>3222</v>
      </c>
      <c r="G1499" s="1">
        <v>531737.0</v>
      </c>
      <c r="H1499" s="1">
        <v>1262.0</v>
      </c>
      <c r="I1499" s="1" t="s">
        <v>16</v>
      </c>
      <c r="J1499" s="1">
        <v>3.0E7</v>
      </c>
      <c r="K1499" s="1">
        <v>2009.0</v>
      </c>
      <c r="L1499" s="1">
        <v>8.0</v>
      </c>
      <c r="O1499" s="3"/>
      <c r="S1499" s="4"/>
    </row>
    <row r="1500" ht="14.25" customHeight="1">
      <c r="A1500" s="1" t="s">
        <v>3223</v>
      </c>
      <c r="B1500" s="1">
        <v>87.0</v>
      </c>
      <c r="C1500" s="1">
        <v>8.5416609E7</v>
      </c>
      <c r="D1500" s="1" t="s">
        <v>118</v>
      </c>
      <c r="E1500" s="1" t="s">
        <v>237</v>
      </c>
      <c r="F1500" s="1" t="s">
        <v>3224</v>
      </c>
      <c r="G1500" s="1">
        <v>58906.0</v>
      </c>
      <c r="H1500" s="1">
        <v>186.0</v>
      </c>
      <c r="I1500" s="1" t="s">
        <v>16</v>
      </c>
      <c r="J1500" s="1">
        <v>3.0E7</v>
      </c>
      <c r="K1500" s="1">
        <v>2004.0</v>
      </c>
      <c r="L1500" s="1">
        <v>7.0</v>
      </c>
      <c r="O1500" s="3"/>
      <c r="S1500" s="4"/>
    </row>
    <row r="1501" ht="14.25" customHeight="1">
      <c r="A1501" s="1" t="s">
        <v>1506</v>
      </c>
      <c r="B1501" s="1">
        <v>138.0</v>
      </c>
      <c r="C1501" s="1">
        <v>9.0135191E7</v>
      </c>
      <c r="D1501" s="1" t="s">
        <v>909</v>
      </c>
      <c r="E1501" s="1" t="s">
        <v>3225</v>
      </c>
      <c r="F1501" s="1" t="s">
        <v>3226</v>
      </c>
      <c r="G1501" s="1">
        <v>338415.0</v>
      </c>
      <c r="H1501" s="1">
        <v>935.0</v>
      </c>
      <c r="I1501" s="1" t="s">
        <v>16</v>
      </c>
      <c r="J1501" s="1">
        <v>2.5E7</v>
      </c>
      <c r="K1501" s="1">
        <v>2003.0</v>
      </c>
      <c r="L1501" s="1">
        <v>8.0</v>
      </c>
      <c r="O1501" s="3"/>
      <c r="S1501" s="4"/>
    </row>
    <row r="1502" ht="14.25" customHeight="1">
      <c r="A1502" s="1" t="s">
        <v>1506</v>
      </c>
      <c r="B1502" s="1">
        <v>132.0</v>
      </c>
      <c r="C1502" s="1">
        <v>1.00422786E8</v>
      </c>
      <c r="D1502" s="1" t="s">
        <v>1540</v>
      </c>
      <c r="E1502" s="1" t="s">
        <v>1506</v>
      </c>
      <c r="F1502" s="1" t="s">
        <v>3227</v>
      </c>
      <c r="G1502" s="1">
        <v>482064.0</v>
      </c>
      <c r="H1502" s="1">
        <v>1106.0</v>
      </c>
      <c r="I1502" s="1" t="s">
        <v>16</v>
      </c>
      <c r="J1502" s="1">
        <v>3.0E7</v>
      </c>
      <c r="K1502" s="1">
        <v>2004.0</v>
      </c>
      <c r="L1502" s="1">
        <v>8.1</v>
      </c>
      <c r="O1502" s="3"/>
      <c r="S1502" s="4"/>
    </row>
    <row r="1503" ht="14.25" customHeight="1">
      <c r="A1503" s="1" t="s">
        <v>1719</v>
      </c>
      <c r="B1503" s="1">
        <v>103.0</v>
      </c>
      <c r="C1503" s="1">
        <v>1.06694016E8</v>
      </c>
      <c r="D1503" s="1" t="s">
        <v>427</v>
      </c>
      <c r="E1503" s="1" t="s">
        <v>725</v>
      </c>
      <c r="F1503" s="1" t="s">
        <v>3228</v>
      </c>
      <c r="G1503" s="1">
        <v>123940.0</v>
      </c>
      <c r="H1503" s="1">
        <v>337.0</v>
      </c>
      <c r="I1503" s="1" t="s">
        <v>16</v>
      </c>
      <c r="J1503" s="1">
        <v>3.0E7</v>
      </c>
      <c r="K1503" s="1">
        <v>1999.0</v>
      </c>
      <c r="L1503" s="1">
        <v>6.7</v>
      </c>
      <c r="O1503" s="3"/>
      <c r="S1503" s="4"/>
    </row>
    <row r="1504" ht="14.25" customHeight="1">
      <c r="A1504" s="1" t="s">
        <v>2549</v>
      </c>
      <c r="B1504" s="1">
        <v>123.0</v>
      </c>
      <c r="C1504" s="1">
        <v>64286.0</v>
      </c>
      <c r="D1504" s="1" t="s">
        <v>92</v>
      </c>
      <c r="E1504" s="1" t="s">
        <v>1717</v>
      </c>
      <c r="F1504" s="1" t="s">
        <v>3229</v>
      </c>
      <c r="G1504" s="1">
        <v>396396.0</v>
      </c>
      <c r="H1504" s="1">
        <v>1111.0</v>
      </c>
      <c r="I1504" s="1" t="s">
        <v>16</v>
      </c>
      <c r="J1504" s="1">
        <v>2.9E7</v>
      </c>
      <c r="K1504" s="1">
        <v>2004.0</v>
      </c>
      <c r="L1504" s="1">
        <v>7.9</v>
      </c>
      <c r="O1504" s="3"/>
      <c r="S1504" s="4"/>
    </row>
    <row r="1505" ht="14.25" customHeight="1">
      <c r="A1505" s="1" t="s">
        <v>2484</v>
      </c>
      <c r="B1505" s="1">
        <v>111.0</v>
      </c>
      <c r="C1505" s="1">
        <v>7.6806312E7</v>
      </c>
      <c r="D1505" s="1" t="s">
        <v>699</v>
      </c>
      <c r="E1505" s="1" t="s">
        <v>260</v>
      </c>
      <c r="F1505" s="1" t="s">
        <v>3230</v>
      </c>
      <c r="G1505" s="1">
        <v>124501.0</v>
      </c>
      <c r="H1505" s="1">
        <v>154.0</v>
      </c>
      <c r="I1505" s="1" t="s">
        <v>16</v>
      </c>
      <c r="J1505" s="1">
        <v>3.0E7</v>
      </c>
      <c r="K1505" s="1">
        <v>2008.0</v>
      </c>
      <c r="L1505" s="1">
        <v>6.1</v>
      </c>
      <c r="O1505" s="3"/>
      <c r="S1505" s="4"/>
    </row>
    <row r="1506" ht="14.25" customHeight="1">
      <c r="A1506" s="1" t="s">
        <v>698</v>
      </c>
      <c r="B1506" s="1">
        <v>102.0</v>
      </c>
      <c r="C1506" s="1">
        <v>7.9566871E7</v>
      </c>
      <c r="D1506" s="1" t="s">
        <v>3231</v>
      </c>
      <c r="E1506" s="1" t="s">
        <v>3232</v>
      </c>
      <c r="F1506" s="1" t="s">
        <v>3233</v>
      </c>
      <c r="G1506" s="1">
        <v>31760.0</v>
      </c>
      <c r="H1506" s="1">
        <v>140.0</v>
      </c>
      <c r="I1506" s="1" t="s">
        <v>16</v>
      </c>
      <c r="J1506" s="1">
        <v>3.0E7</v>
      </c>
      <c r="K1506" s="1">
        <v>2009.0</v>
      </c>
      <c r="L1506" s="1">
        <v>4.2</v>
      </c>
      <c r="O1506" s="3"/>
      <c r="S1506" s="4"/>
    </row>
    <row r="1507" ht="14.25" customHeight="1">
      <c r="A1507" s="1" t="s">
        <v>3234</v>
      </c>
      <c r="B1507" s="1">
        <v>78.0</v>
      </c>
      <c r="C1507" s="1">
        <v>7.6501438E7</v>
      </c>
      <c r="D1507" s="1" t="s">
        <v>837</v>
      </c>
      <c r="E1507" s="1" t="s">
        <v>3235</v>
      </c>
      <c r="F1507" s="1" t="s">
        <v>3236</v>
      </c>
      <c r="G1507" s="1">
        <v>8146.0</v>
      </c>
      <c r="H1507" s="1">
        <v>49.0</v>
      </c>
      <c r="I1507" s="1" t="s">
        <v>16</v>
      </c>
      <c r="J1507" s="1">
        <v>3.0E7</v>
      </c>
      <c r="K1507" s="1">
        <v>2000.0</v>
      </c>
      <c r="L1507" s="1">
        <v>6.1</v>
      </c>
      <c r="O1507" s="3"/>
      <c r="S1507" s="4"/>
    </row>
    <row r="1508" ht="14.25" customHeight="1">
      <c r="A1508" s="1" t="s">
        <v>2436</v>
      </c>
      <c r="B1508" s="1">
        <v>132.0</v>
      </c>
      <c r="C1508" s="1">
        <v>7.4787599E7</v>
      </c>
      <c r="D1508" s="1" t="s">
        <v>92</v>
      </c>
      <c r="E1508" s="1" t="s">
        <v>3237</v>
      </c>
      <c r="F1508" s="1" t="s">
        <v>3238</v>
      </c>
      <c r="G1508" s="1">
        <v>12549.0</v>
      </c>
      <c r="H1508" s="1">
        <v>109.0</v>
      </c>
      <c r="I1508" s="1" t="s">
        <v>16</v>
      </c>
      <c r="J1508" s="1">
        <v>3.0E7</v>
      </c>
      <c r="K1508" s="1">
        <v>1991.0</v>
      </c>
      <c r="L1508" s="1">
        <v>6.6</v>
      </c>
      <c r="O1508" s="3"/>
      <c r="S1508" s="4"/>
    </row>
    <row r="1509" ht="14.25" customHeight="1">
      <c r="A1509" s="1" t="s">
        <v>430</v>
      </c>
      <c r="B1509" s="1">
        <v>133.0</v>
      </c>
      <c r="C1509" s="1">
        <v>6.6528842E7</v>
      </c>
      <c r="D1509" s="1" t="s">
        <v>3059</v>
      </c>
      <c r="E1509" s="1" t="s">
        <v>326</v>
      </c>
      <c r="F1509" s="1" t="s">
        <v>3239</v>
      </c>
      <c r="G1509" s="1">
        <v>112175.0</v>
      </c>
      <c r="H1509" s="1">
        <v>329.0</v>
      </c>
      <c r="I1509" s="1" t="s">
        <v>16</v>
      </c>
      <c r="J1509" s="1">
        <v>3.0E7</v>
      </c>
      <c r="K1509" s="1">
        <v>1994.0</v>
      </c>
      <c r="L1509" s="1">
        <v>7.5</v>
      </c>
      <c r="O1509" s="3"/>
      <c r="S1509" s="4"/>
    </row>
    <row r="1510" ht="14.25" customHeight="1">
      <c r="A1510" s="1" t="s">
        <v>3240</v>
      </c>
      <c r="B1510" s="1">
        <v>108.0</v>
      </c>
      <c r="C1510" s="1">
        <v>8.381346E7</v>
      </c>
      <c r="D1510" s="1" t="s">
        <v>92</v>
      </c>
      <c r="E1510" s="1" t="s">
        <v>35</v>
      </c>
      <c r="F1510" s="1" t="s">
        <v>3241</v>
      </c>
      <c r="G1510" s="1">
        <v>270238.0</v>
      </c>
      <c r="H1510" s="1">
        <v>452.0</v>
      </c>
      <c r="I1510" s="1" t="s">
        <v>16</v>
      </c>
      <c r="J1510" s="1">
        <v>2.5E7</v>
      </c>
      <c r="K1510" s="1">
        <v>2009.0</v>
      </c>
      <c r="L1510" s="1">
        <v>7.4</v>
      </c>
      <c r="O1510" s="3"/>
      <c r="S1510" s="4"/>
    </row>
    <row r="1511" ht="14.25" customHeight="1">
      <c r="A1511" s="1" t="s">
        <v>3242</v>
      </c>
      <c r="B1511" s="1">
        <v>125.0</v>
      </c>
      <c r="C1511" s="1">
        <v>6.5010106E7</v>
      </c>
      <c r="D1511" s="1" t="s">
        <v>1059</v>
      </c>
      <c r="E1511" s="1" t="s">
        <v>3243</v>
      </c>
      <c r="F1511" s="1" t="s">
        <v>3244</v>
      </c>
      <c r="G1511" s="1">
        <v>107557.0</v>
      </c>
      <c r="H1511" s="1">
        <v>612.0</v>
      </c>
      <c r="I1511" s="1" t="s">
        <v>16</v>
      </c>
      <c r="J1511" s="1">
        <v>3.0E7</v>
      </c>
      <c r="K1511" s="1">
        <v>2002.0</v>
      </c>
      <c r="L1511" s="1">
        <v>7.2</v>
      </c>
      <c r="O1511" s="3"/>
      <c r="S1511" s="4"/>
    </row>
    <row r="1512" ht="14.25" customHeight="1">
      <c r="A1512" s="1" t="s">
        <v>3245</v>
      </c>
      <c r="B1512" s="1">
        <v>98.0</v>
      </c>
      <c r="C1512" s="1">
        <v>6.6359959E7</v>
      </c>
      <c r="D1512" s="1" t="s">
        <v>3246</v>
      </c>
      <c r="E1512" s="1" t="s">
        <v>3247</v>
      </c>
      <c r="F1512" s="1" t="s">
        <v>3248</v>
      </c>
      <c r="G1512" s="1">
        <v>184641.0</v>
      </c>
      <c r="H1512" s="1">
        <v>326.0</v>
      </c>
      <c r="I1512" s="1" t="s">
        <v>16</v>
      </c>
      <c r="J1512" s="1">
        <v>3.5E7</v>
      </c>
      <c r="K1512" s="1">
        <v>2013.0</v>
      </c>
      <c r="L1512" s="1">
        <v>6.9</v>
      </c>
      <c r="O1512" s="3"/>
      <c r="S1512" s="4"/>
    </row>
    <row r="1513" ht="14.25" customHeight="1">
      <c r="A1513" s="1" t="s">
        <v>3249</v>
      </c>
      <c r="B1513" s="1">
        <v>119.0</v>
      </c>
      <c r="C1513" s="1">
        <v>6.6468315E7</v>
      </c>
      <c r="D1513" s="1" t="s">
        <v>2217</v>
      </c>
      <c r="E1513" s="1" t="s">
        <v>232</v>
      </c>
      <c r="F1513" s="1" t="s">
        <v>3250</v>
      </c>
      <c r="G1513" s="1">
        <v>428916.0</v>
      </c>
      <c r="H1513" s="1">
        <v>667.0</v>
      </c>
      <c r="I1513" s="1" t="s">
        <v>16</v>
      </c>
      <c r="J1513" s="1">
        <v>3.0E7</v>
      </c>
      <c r="K1513" s="1">
        <v>2012.0</v>
      </c>
      <c r="L1513" s="1">
        <v>7.4</v>
      </c>
      <c r="O1513" s="3"/>
      <c r="S1513" s="4"/>
    </row>
    <row r="1514" ht="14.25" customHeight="1">
      <c r="A1514" s="1" t="s">
        <v>85</v>
      </c>
      <c r="B1514" s="1">
        <v>87.0</v>
      </c>
      <c r="C1514" s="1">
        <v>6.4172251E7</v>
      </c>
      <c r="D1514" s="1" t="s">
        <v>1148</v>
      </c>
      <c r="E1514" s="1" t="s">
        <v>689</v>
      </c>
      <c r="F1514" s="1" t="s">
        <v>3251</v>
      </c>
      <c r="G1514" s="1">
        <v>19079.0</v>
      </c>
      <c r="H1514" s="1">
        <v>122.0</v>
      </c>
      <c r="I1514" s="1" t="s">
        <v>16</v>
      </c>
      <c r="J1514" s="1">
        <v>3.0E7</v>
      </c>
      <c r="K1514" s="1">
        <v>2001.0</v>
      </c>
      <c r="L1514" s="1">
        <v>5.4</v>
      </c>
      <c r="O1514" s="3"/>
      <c r="S1514" s="4"/>
    </row>
    <row r="1515" ht="14.25" customHeight="1">
      <c r="A1515" s="1" t="s">
        <v>3252</v>
      </c>
      <c r="B1515" s="1">
        <v>91.0</v>
      </c>
      <c r="C1515" s="1">
        <v>6.66E7</v>
      </c>
      <c r="D1515" s="1" t="s">
        <v>1599</v>
      </c>
      <c r="E1515" s="1" t="s">
        <v>2610</v>
      </c>
      <c r="F1515" s="1" t="s">
        <v>3253</v>
      </c>
      <c r="G1515" s="1">
        <v>94435.0</v>
      </c>
      <c r="H1515" s="1">
        <v>182.0</v>
      </c>
      <c r="I1515" s="1" t="s">
        <v>16</v>
      </c>
      <c r="J1515" s="1">
        <v>3.0E7</v>
      </c>
      <c r="K1515" s="1">
        <v>1995.0</v>
      </c>
      <c r="L1515" s="1">
        <v>6.8</v>
      </c>
      <c r="O1515" s="3"/>
      <c r="S1515" s="4"/>
    </row>
    <row r="1516" ht="14.25" customHeight="1">
      <c r="A1516" s="1" t="s">
        <v>1598</v>
      </c>
      <c r="B1516" s="1">
        <v>100.0</v>
      </c>
      <c r="C1516" s="1">
        <v>6.3536011E7</v>
      </c>
      <c r="D1516" s="1" t="s">
        <v>593</v>
      </c>
      <c r="E1516" s="1" t="s">
        <v>1000</v>
      </c>
      <c r="F1516" s="1" t="s">
        <v>3254</v>
      </c>
      <c r="G1516" s="1">
        <v>34258.0</v>
      </c>
      <c r="H1516" s="1">
        <v>178.0</v>
      </c>
      <c r="I1516" s="1" t="s">
        <v>16</v>
      </c>
      <c r="J1516" s="1">
        <v>3.0E7</v>
      </c>
      <c r="K1516" s="1">
        <v>2012.0</v>
      </c>
      <c r="L1516" s="1">
        <v>6.3</v>
      </c>
      <c r="O1516" s="3"/>
      <c r="S1516" s="4"/>
    </row>
    <row r="1517" ht="14.25" customHeight="1">
      <c r="A1517" s="1" t="s">
        <v>2927</v>
      </c>
      <c r="B1517" s="1">
        <v>118.0</v>
      </c>
      <c r="C1517" s="1">
        <v>6.2877175E7</v>
      </c>
      <c r="D1517" s="1" t="s">
        <v>593</v>
      </c>
      <c r="E1517" s="1" t="s">
        <v>1868</v>
      </c>
      <c r="F1517" s="1" t="s">
        <v>3255</v>
      </c>
      <c r="G1517" s="1">
        <v>217507.0</v>
      </c>
      <c r="H1517" s="1">
        <v>325.0</v>
      </c>
      <c r="I1517" s="1" t="s">
        <v>16</v>
      </c>
      <c r="J1517" s="1">
        <v>3.0E7</v>
      </c>
      <c r="K1517" s="1">
        <v>2008.0</v>
      </c>
      <c r="L1517" s="1">
        <v>7.2</v>
      </c>
      <c r="O1517" s="3"/>
      <c r="S1517" s="4"/>
    </row>
    <row r="1518" ht="14.25" customHeight="1">
      <c r="A1518" s="1" t="s">
        <v>1205</v>
      </c>
      <c r="B1518" s="1">
        <v>109.0</v>
      </c>
      <c r="C1518" s="1">
        <v>7.4484168E7</v>
      </c>
      <c r="D1518" s="1" t="s">
        <v>998</v>
      </c>
      <c r="E1518" s="1" t="s">
        <v>3256</v>
      </c>
      <c r="F1518" s="1" t="s">
        <v>3257</v>
      </c>
      <c r="G1518" s="1">
        <v>109894.0</v>
      </c>
      <c r="H1518" s="1">
        <v>340.0</v>
      </c>
      <c r="I1518" s="1" t="s">
        <v>16</v>
      </c>
      <c r="J1518" s="1">
        <v>4.5E7</v>
      </c>
      <c r="K1518" s="1">
        <v>2005.0</v>
      </c>
      <c r="L1518" s="1">
        <v>6.9</v>
      </c>
      <c r="O1518" s="3"/>
      <c r="S1518" s="4"/>
    </row>
    <row r="1519" ht="14.25" customHeight="1">
      <c r="A1519" s="1" t="s">
        <v>3258</v>
      </c>
      <c r="B1519" s="1">
        <v>99.0</v>
      </c>
      <c r="C1519" s="1">
        <v>6.026934E7</v>
      </c>
      <c r="D1519" s="1" t="s">
        <v>699</v>
      </c>
      <c r="E1519" s="1" t="s">
        <v>3259</v>
      </c>
      <c r="F1519" s="1" t="s">
        <v>3260</v>
      </c>
      <c r="G1519" s="1">
        <v>34079.0</v>
      </c>
      <c r="H1519" s="1">
        <v>97.0</v>
      </c>
      <c r="I1519" s="1" t="s">
        <v>16</v>
      </c>
      <c r="J1519" s="1">
        <v>3.0E7</v>
      </c>
      <c r="K1519" s="1">
        <v>2008.0</v>
      </c>
      <c r="L1519" s="1">
        <v>6.0</v>
      </c>
      <c r="O1519" s="3"/>
      <c r="S1519" s="4"/>
    </row>
    <row r="1520" ht="14.25" customHeight="1">
      <c r="A1520" s="1" t="s">
        <v>3261</v>
      </c>
      <c r="B1520" s="1">
        <v>114.0</v>
      </c>
      <c r="C1520" s="1">
        <v>6.003378E7</v>
      </c>
      <c r="D1520" s="1" t="s">
        <v>92</v>
      </c>
      <c r="E1520" s="1" t="s">
        <v>2293</v>
      </c>
      <c r="F1520" s="1" t="s">
        <v>3262</v>
      </c>
      <c r="G1520" s="1">
        <v>18973.0</v>
      </c>
      <c r="H1520" s="1">
        <v>162.0</v>
      </c>
      <c r="I1520" s="1" t="s">
        <v>16</v>
      </c>
      <c r="J1520" s="1">
        <v>3.0E7</v>
      </c>
      <c r="K1520" s="1">
        <v>1998.0</v>
      </c>
      <c r="L1520" s="1">
        <v>5.9</v>
      </c>
      <c r="O1520" s="3"/>
      <c r="S1520" s="4"/>
    </row>
    <row r="1521" ht="14.25" customHeight="1">
      <c r="A1521" s="1" t="s">
        <v>3263</v>
      </c>
      <c r="B1521" s="1">
        <v>89.0</v>
      </c>
      <c r="C1521" s="1">
        <v>5.871551E7</v>
      </c>
      <c r="D1521" s="1" t="s">
        <v>699</v>
      </c>
      <c r="E1521" s="1" t="s">
        <v>953</v>
      </c>
      <c r="F1521" s="1" t="s">
        <v>3264</v>
      </c>
      <c r="G1521" s="1">
        <v>79094.0</v>
      </c>
      <c r="H1521" s="1">
        <v>129.0</v>
      </c>
      <c r="I1521" s="1" t="s">
        <v>16</v>
      </c>
      <c r="J1521" s="1">
        <v>3.0E7</v>
      </c>
      <c r="K1521" s="1">
        <v>2009.0</v>
      </c>
      <c r="L1521" s="1">
        <v>5.4</v>
      </c>
      <c r="O1521" s="3"/>
      <c r="S1521" s="4"/>
    </row>
    <row r="1522" ht="14.25" customHeight="1">
      <c r="A1522" s="1" t="s">
        <v>1147</v>
      </c>
      <c r="B1522" s="1">
        <v>95.0</v>
      </c>
      <c r="C1522" s="1">
        <v>5.8156435E7</v>
      </c>
      <c r="D1522" s="1" t="s">
        <v>1040</v>
      </c>
      <c r="E1522" s="1" t="s">
        <v>3265</v>
      </c>
      <c r="F1522" s="1" t="s">
        <v>3266</v>
      </c>
      <c r="G1522" s="1">
        <v>37479.0</v>
      </c>
      <c r="H1522" s="1">
        <v>152.0</v>
      </c>
      <c r="I1522" s="1" t="s">
        <v>16</v>
      </c>
      <c r="J1522" s="1">
        <v>1.9E7</v>
      </c>
      <c r="K1522" s="1">
        <v>2004.0</v>
      </c>
      <c r="L1522" s="1">
        <v>5.9</v>
      </c>
      <c r="O1522" s="3"/>
      <c r="S1522" s="4"/>
    </row>
    <row r="1523" ht="14.25" customHeight="1">
      <c r="A1523" s="1" t="s">
        <v>3263</v>
      </c>
      <c r="B1523" s="1">
        <v>98.0</v>
      </c>
      <c r="C1523" s="1">
        <v>5.6044241E7</v>
      </c>
      <c r="D1523" s="1" t="s">
        <v>1481</v>
      </c>
      <c r="E1523" s="1" t="s">
        <v>320</v>
      </c>
      <c r="F1523" s="1" t="s">
        <v>3267</v>
      </c>
      <c r="G1523" s="1">
        <v>122187.0</v>
      </c>
      <c r="H1523" s="1">
        <v>339.0</v>
      </c>
      <c r="I1523" s="1" t="s">
        <v>16</v>
      </c>
      <c r="J1523" s="1">
        <v>3.7E7</v>
      </c>
      <c r="K1523" s="1">
        <v>2004.0</v>
      </c>
      <c r="L1523" s="1">
        <v>6.1</v>
      </c>
      <c r="O1523" s="3"/>
      <c r="S1523" s="4"/>
    </row>
    <row r="1524" ht="14.25" customHeight="1">
      <c r="A1524" s="1" t="s">
        <v>3268</v>
      </c>
      <c r="B1524" s="1">
        <v>94.0</v>
      </c>
      <c r="C1524" s="1">
        <v>5.6816662E7</v>
      </c>
      <c r="D1524" s="1" t="s">
        <v>1481</v>
      </c>
      <c r="E1524" s="1" t="s">
        <v>3269</v>
      </c>
      <c r="F1524" s="1" t="s">
        <v>3270</v>
      </c>
      <c r="G1524" s="1">
        <v>301149.0</v>
      </c>
      <c r="H1524" s="1">
        <v>509.0</v>
      </c>
      <c r="I1524" s="1" t="s">
        <v>16</v>
      </c>
      <c r="J1524" s="1">
        <v>1.7E7</v>
      </c>
      <c r="K1524" s="1">
        <v>2011.0</v>
      </c>
      <c r="L1524" s="1">
        <v>7.7</v>
      </c>
      <c r="O1524" s="3"/>
      <c r="S1524" s="4"/>
    </row>
    <row r="1525" ht="14.25" customHeight="1">
      <c r="A1525" s="1" t="s">
        <v>3271</v>
      </c>
      <c r="B1525" s="1">
        <v>85.0</v>
      </c>
      <c r="C1525" s="1">
        <v>6.423877E7</v>
      </c>
      <c r="D1525" s="1" t="s">
        <v>200</v>
      </c>
      <c r="E1525" s="1" t="s">
        <v>100</v>
      </c>
      <c r="F1525" s="1" t="s">
        <v>3272</v>
      </c>
      <c r="G1525" s="1">
        <v>19547.0</v>
      </c>
      <c r="H1525" s="1">
        <v>64.0</v>
      </c>
      <c r="I1525" s="1" t="s">
        <v>16</v>
      </c>
      <c r="J1525" s="1">
        <v>4.2E7</v>
      </c>
      <c r="K1525" s="1">
        <v>2014.0</v>
      </c>
      <c r="L1525" s="1">
        <v>5.8</v>
      </c>
      <c r="O1525" s="3"/>
      <c r="S1525" s="4"/>
    </row>
    <row r="1526" ht="14.25" customHeight="1">
      <c r="A1526" s="1" t="s">
        <v>3273</v>
      </c>
      <c r="B1526" s="1">
        <v>124.0</v>
      </c>
      <c r="C1526" s="1">
        <v>5.293713E7</v>
      </c>
      <c r="D1526" s="1" t="s">
        <v>716</v>
      </c>
      <c r="E1526" s="1" t="s">
        <v>19</v>
      </c>
      <c r="F1526" s="1" t="s">
        <v>3274</v>
      </c>
      <c r="G1526" s="1">
        <v>198066.0</v>
      </c>
      <c r="H1526" s="1">
        <v>426.0</v>
      </c>
      <c r="I1526" s="1" t="s">
        <v>16</v>
      </c>
      <c r="J1526" s="1">
        <v>3.0E7</v>
      </c>
      <c r="K1526" s="1">
        <v>2001.0</v>
      </c>
      <c r="L1526" s="1">
        <v>7.6</v>
      </c>
      <c r="O1526" s="3"/>
      <c r="S1526" s="4"/>
    </row>
    <row r="1527" ht="14.25" customHeight="1">
      <c r="A1527" s="1" t="s">
        <v>2794</v>
      </c>
      <c r="B1527" s="1">
        <v>131.0</v>
      </c>
      <c r="C1527" s="1">
        <v>5.2799004E7</v>
      </c>
      <c r="D1527" s="1" t="s">
        <v>92</v>
      </c>
      <c r="E1527" s="1" t="s">
        <v>188</v>
      </c>
      <c r="F1527" s="1" t="s">
        <v>3275</v>
      </c>
      <c r="G1527" s="1">
        <v>28942.0</v>
      </c>
      <c r="H1527" s="1">
        <v>223.0</v>
      </c>
      <c r="I1527" s="1" t="s">
        <v>16</v>
      </c>
      <c r="J1527" s="1">
        <v>5.5E7</v>
      </c>
      <c r="K1527" s="1">
        <v>1999.0</v>
      </c>
      <c r="L1527" s="1">
        <v>6.1</v>
      </c>
      <c r="O1527" s="3"/>
      <c r="S1527" s="4"/>
    </row>
    <row r="1528" ht="14.25" customHeight="1">
      <c r="A1528" s="1" t="s">
        <v>3276</v>
      </c>
      <c r="B1528" s="1">
        <v>107.0</v>
      </c>
      <c r="C1528" s="1">
        <v>5.5210049E7</v>
      </c>
      <c r="D1528" s="1" t="s">
        <v>99</v>
      </c>
      <c r="E1528" s="1" t="s">
        <v>914</v>
      </c>
      <c r="F1528" s="1" t="s">
        <v>3277</v>
      </c>
      <c r="G1528" s="1">
        <v>43743.0</v>
      </c>
      <c r="H1528" s="1">
        <v>293.0</v>
      </c>
      <c r="I1528" s="1" t="s">
        <v>16</v>
      </c>
      <c r="J1528" s="1">
        <v>2.78E7</v>
      </c>
      <c r="K1528" s="1">
        <v>1989.0</v>
      </c>
      <c r="L1528" s="1">
        <v>5.4</v>
      </c>
      <c r="O1528" s="3"/>
      <c r="S1528" s="4"/>
    </row>
    <row r="1529" ht="14.25" customHeight="1">
      <c r="A1529" s="1" t="s">
        <v>2355</v>
      </c>
      <c r="B1529" s="1">
        <v>99.0</v>
      </c>
      <c r="C1529" s="1">
        <v>5.1432423E7</v>
      </c>
      <c r="D1529" s="1" t="s">
        <v>3278</v>
      </c>
      <c r="E1529" s="1" t="s">
        <v>3279</v>
      </c>
      <c r="F1529" s="1" t="s">
        <v>3280</v>
      </c>
      <c r="G1529" s="1">
        <v>15074.0</v>
      </c>
      <c r="H1529" s="1">
        <v>72.0</v>
      </c>
      <c r="I1529" s="1" t="s">
        <v>16</v>
      </c>
      <c r="J1529" s="1">
        <v>3.0E7</v>
      </c>
      <c r="K1529" s="1">
        <v>2002.0</v>
      </c>
      <c r="L1529" s="1">
        <v>5.1</v>
      </c>
      <c r="O1529" s="3"/>
      <c r="S1529" s="4"/>
    </row>
    <row r="1530" ht="14.25" customHeight="1">
      <c r="A1530" s="1" t="s">
        <v>1036</v>
      </c>
      <c r="B1530" s="1">
        <v>83.0</v>
      </c>
      <c r="C1530" s="1">
        <v>5.11094E7</v>
      </c>
      <c r="D1530" s="1" t="s">
        <v>427</v>
      </c>
      <c r="E1530" s="1" t="s">
        <v>3171</v>
      </c>
      <c r="F1530" s="1" t="s">
        <v>3281</v>
      </c>
      <c r="G1530" s="1">
        <v>76850.0</v>
      </c>
      <c r="H1530" s="1">
        <v>85.0</v>
      </c>
      <c r="I1530" s="1" t="s">
        <v>16</v>
      </c>
      <c r="J1530" s="1">
        <v>3.0E7</v>
      </c>
      <c r="K1530" s="1">
        <v>1994.0</v>
      </c>
      <c r="L1530" s="1">
        <v>6.4</v>
      </c>
      <c r="O1530" s="3"/>
      <c r="S1530" s="4"/>
    </row>
    <row r="1531" ht="14.25" customHeight="1">
      <c r="A1531" s="1" t="s">
        <v>2444</v>
      </c>
      <c r="B1531" s="1">
        <v>131.0</v>
      </c>
      <c r="C1531" s="1">
        <v>5.03E7</v>
      </c>
      <c r="D1531" s="1" t="s">
        <v>22</v>
      </c>
      <c r="E1531" s="1" t="s">
        <v>3282</v>
      </c>
      <c r="F1531" s="1" t="s">
        <v>3283</v>
      </c>
      <c r="G1531" s="1">
        <v>68565.0</v>
      </c>
      <c r="H1531" s="1">
        <v>300.0</v>
      </c>
      <c r="I1531" s="1" t="s">
        <v>16</v>
      </c>
      <c r="J1531" s="1">
        <v>3.0E7</v>
      </c>
      <c r="K1531" s="1">
        <v>1985.0</v>
      </c>
      <c r="L1531" s="1">
        <v>6.3</v>
      </c>
      <c r="O1531" s="3"/>
      <c r="S1531" s="4"/>
    </row>
    <row r="1532" ht="14.25" customHeight="1">
      <c r="A1532" s="1" t="s">
        <v>3284</v>
      </c>
      <c r="B1532" s="1">
        <v>85.0</v>
      </c>
      <c r="C1532" s="1">
        <v>5.6068547E7</v>
      </c>
      <c r="D1532" s="1" t="s">
        <v>3285</v>
      </c>
      <c r="E1532" s="1" t="s">
        <v>3286</v>
      </c>
      <c r="F1532" s="1" t="s">
        <v>3287</v>
      </c>
      <c r="G1532" s="1">
        <v>98160.0</v>
      </c>
      <c r="H1532" s="1">
        <v>307.0</v>
      </c>
      <c r="I1532" s="1" t="s">
        <v>16</v>
      </c>
      <c r="J1532" s="1">
        <v>3.0E7</v>
      </c>
      <c r="K1532" s="1">
        <v>2005.0</v>
      </c>
      <c r="L1532" s="1">
        <v>7.5</v>
      </c>
      <c r="O1532" s="3"/>
      <c r="S1532" s="4"/>
    </row>
    <row r="1533" ht="14.25" customHeight="1">
      <c r="A1533" s="1" t="s">
        <v>2195</v>
      </c>
      <c r="B1533" s="1">
        <v>126.0</v>
      </c>
      <c r="C1533" s="1">
        <v>5.3680848E7</v>
      </c>
      <c r="D1533" s="1" t="s">
        <v>92</v>
      </c>
      <c r="E1533" s="1" t="s">
        <v>275</v>
      </c>
      <c r="F1533" s="1" t="s">
        <v>3288</v>
      </c>
      <c r="G1533" s="1">
        <v>167967.0</v>
      </c>
      <c r="H1533" s="1">
        <v>243.0</v>
      </c>
      <c r="I1533" s="1" t="s">
        <v>16</v>
      </c>
      <c r="J1533" s="1">
        <v>3.0E7</v>
      </c>
      <c r="K1533" s="1">
        <v>2007.0</v>
      </c>
      <c r="L1533" s="1">
        <v>7.1</v>
      </c>
      <c r="O1533" s="3"/>
      <c r="S1533" s="4"/>
    </row>
    <row r="1534" ht="14.25" customHeight="1">
      <c r="A1534" s="1" t="s">
        <v>399</v>
      </c>
      <c r="B1534" s="1">
        <v>123.0</v>
      </c>
      <c r="C1534" s="1">
        <v>5.0921738E7</v>
      </c>
      <c r="D1534" s="1" t="s">
        <v>1950</v>
      </c>
      <c r="E1534" s="1" t="s">
        <v>155</v>
      </c>
      <c r="F1534" s="1" t="s">
        <v>3289</v>
      </c>
      <c r="G1534" s="1">
        <v>192930.0</v>
      </c>
      <c r="H1534" s="1">
        <v>581.0</v>
      </c>
      <c r="I1534" s="1" t="s">
        <v>16</v>
      </c>
      <c r="J1534" s="1">
        <v>3.0E7</v>
      </c>
      <c r="K1534" s="1">
        <v>2007.0</v>
      </c>
      <c r="L1534" s="1">
        <v>7.8</v>
      </c>
      <c r="O1534" s="3"/>
      <c r="S1534" s="4"/>
    </row>
    <row r="1535" ht="14.25" customHeight="1">
      <c r="A1535" s="1" t="s">
        <v>3263</v>
      </c>
      <c r="B1535" s="1">
        <v>105.0</v>
      </c>
      <c r="C1535" s="1">
        <v>5.302156E7</v>
      </c>
      <c r="D1535" s="1" t="s">
        <v>593</v>
      </c>
      <c r="E1535" s="1" t="s">
        <v>3290</v>
      </c>
      <c r="F1535" s="1" t="s">
        <v>3291</v>
      </c>
      <c r="G1535" s="1">
        <v>74630.0</v>
      </c>
      <c r="H1535" s="1">
        <v>156.0</v>
      </c>
      <c r="I1535" s="1" t="s">
        <v>16</v>
      </c>
      <c r="J1535" s="1">
        <v>3.0E7</v>
      </c>
      <c r="K1535" s="1">
        <v>2010.0</v>
      </c>
      <c r="L1535" s="1">
        <v>6.5</v>
      </c>
      <c r="O1535" s="3"/>
      <c r="S1535" s="4"/>
    </row>
    <row r="1536" ht="14.25" customHeight="1">
      <c r="A1536" s="1" t="s">
        <v>80</v>
      </c>
      <c r="B1536" s="1">
        <v>125.0</v>
      </c>
      <c r="C1536" s="1">
        <v>4.5645204E7</v>
      </c>
      <c r="D1536" s="1" t="s">
        <v>146</v>
      </c>
      <c r="E1536" s="1" t="s">
        <v>1941</v>
      </c>
      <c r="F1536" s="1" t="s">
        <v>3292</v>
      </c>
      <c r="G1536" s="1">
        <v>39306.0</v>
      </c>
      <c r="H1536" s="1">
        <v>119.0</v>
      </c>
      <c r="I1536" s="1" t="s">
        <v>16</v>
      </c>
      <c r="J1536" s="1">
        <v>3.0E7</v>
      </c>
      <c r="K1536" s="1">
        <v>1989.0</v>
      </c>
      <c r="L1536" s="1">
        <v>6.6</v>
      </c>
      <c r="O1536" s="3"/>
      <c r="S1536" s="4"/>
    </row>
    <row r="1537" ht="14.25" customHeight="1">
      <c r="A1537" s="1" t="s">
        <v>111</v>
      </c>
      <c r="B1537" s="1">
        <v>77.0</v>
      </c>
      <c r="C1537" s="1">
        <v>5.3337608E7</v>
      </c>
      <c r="D1537" s="1" t="s">
        <v>3293</v>
      </c>
      <c r="E1537" s="1" t="s">
        <v>19</v>
      </c>
      <c r="F1537" s="1" t="s">
        <v>3294</v>
      </c>
      <c r="G1537" s="1">
        <v>188785.0</v>
      </c>
      <c r="H1537" s="1">
        <v>467.0</v>
      </c>
      <c r="I1537" s="1" t="s">
        <v>16</v>
      </c>
      <c r="J1537" s="1">
        <v>4.0E7</v>
      </c>
      <c r="K1537" s="1">
        <v>2005.0</v>
      </c>
      <c r="L1537" s="1">
        <v>7.4</v>
      </c>
      <c r="O1537" s="3"/>
      <c r="S1537" s="4"/>
    </row>
    <row r="1538" ht="14.25" customHeight="1">
      <c r="A1538" s="1" t="s">
        <v>2286</v>
      </c>
      <c r="B1538" s="1">
        <v>121.0</v>
      </c>
      <c r="C1538" s="1">
        <v>4.6875468E7</v>
      </c>
      <c r="D1538" s="1" t="s">
        <v>998</v>
      </c>
      <c r="E1538" s="1" t="s">
        <v>3295</v>
      </c>
      <c r="F1538" s="1" t="s">
        <v>3296</v>
      </c>
      <c r="G1538" s="1">
        <v>196217.0</v>
      </c>
      <c r="H1538" s="1">
        <v>461.0</v>
      </c>
      <c r="I1538" s="1" t="s">
        <v>16</v>
      </c>
      <c r="J1538" s="1">
        <v>3.0E7</v>
      </c>
      <c r="K1538" s="1">
        <v>2015.0</v>
      </c>
      <c r="L1538" s="1">
        <v>7.6</v>
      </c>
      <c r="O1538" s="3"/>
      <c r="S1538" s="4"/>
    </row>
    <row r="1539" ht="14.25" customHeight="1">
      <c r="A1539" s="1" t="s">
        <v>1263</v>
      </c>
      <c r="B1539" s="1">
        <v>124.0</v>
      </c>
      <c r="C1539" s="1">
        <v>5.2418902E7</v>
      </c>
      <c r="D1539" s="1" t="s">
        <v>1540</v>
      </c>
      <c r="E1539" s="1" t="s">
        <v>162</v>
      </c>
      <c r="F1539" s="1" t="s">
        <v>3297</v>
      </c>
      <c r="G1539" s="1">
        <v>147128.0</v>
      </c>
      <c r="H1539" s="1">
        <v>277.0</v>
      </c>
      <c r="I1539" s="1" t="s">
        <v>16</v>
      </c>
      <c r="J1539" s="1">
        <v>3.0E7</v>
      </c>
      <c r="K1539" s="1">
        <v>2015.0</v>
      </c>
      <c r="L1539" s="1">
        <v>7.5</v>
      </c>
      <c r="O1539" s="3"/>
      <c r="S1539" s="4"/>
    </row>
    <row r="1540" ht="14.25" customHeight="1">
      <c r="A1540" s="1" t="s">
        <v>33</v>
      </c>
      <c r="B1540" s="1">
        <v>99.0</v>
      </c>
      <c r="C1540" s="1">
        <v>4.205734E7</v>
      </c>
      <c r="D1540" s="1" t="s">
        <v>2657</v>
      </c>
      <c r="E1540" s="1" t="s">
        <v>1740</v>
      </c>
      <c r="F1540" s="1" t="s">
        <v>3298</v>
      </c>
      <c r="G1540" s="1">
        <v>158354.0</v>
      </c>
      <c r="H1540" s="1">
        <v>691.0</v>
      </c>
      <c r="I1540" s="1" t="s">
        <v>16</v>
      </c>
      <c r="J1540" s="1">
        <v>3.0E7</v>
      </c>
      <c r="K1540" s="1">
        <v>2009.0</v>
      </c>
      <c r="L1540" s="1">
        <v>6.6</v>
      </c>
      <c r="O1540" s="3"/>
      <c r="S1540" s="4"/>
    </row>
    <row r="1541" ht="14.25" customHeight="1">
      <c r="A1541" s="1" t="s">
        <v>3299</v>
      </c>
      <c r="B1541" s="1">
        <v>112.0</v>
      </c>
      <c r="C1541" s="1">
        <v>4.2478175E7</v>
      </c>
      <c r="D1541" s="1" t="s">
        <v>292</v>
      </c>
      <c r="E1541" s="1" t="s">
        <v>169</v>
      </c>
      <c r="F1541" s="1" t="s">
        <v>3300</v>
      </c>
      <c r="G1541" s="1">
        <v>93767.0</v>
      </c>
      <c r="H1541" s="1">
        <v>209.0</v>
      </c>
      <c r="I1541" s="1" t="s">
        <v>16</v>
      </c>
      <c r="J1541" s="1">
        <v>2.5E7</v>
      </c>
      <c r="K1541" s="1">
        <v>2015.0</v>
      </c>
      <c r="L1541" s="1">
        <v>7.2</v>
      </c>
      <c r="O1541" s="3"/>
      <c r="S1541" s="4"/>
    </row>
    <row r="1542" ht="14.25" customHeight="1">
      <c r="A1542" s="1" t="s">
        <v>3301</v>
      </c>
      <c r="B1542" s="1">
        <v>111.0</v>
      </c>
      <c r="C1542" s="1">
        <v>4.140747E7</v>
      </c>
      <c r="D1542" s="1" t="s">
        <v>1599</v>
      </c>
      <c r="E1542" s="1" t="s">
        <v>927</v>
      </c>
      <c r="F1542" s="1" t="s">
        <v>3302</v>
      </c>
      <c r="G1542" s="1">
        <v>43378.0</v>
      </c>
      <c r="H1542" s="1">
        <v>292.0</v>
      </c>
      <c r="I1542" s="1" t="s">
        <v>16</v>
      </c>
      <c r="J1542" s="1">
        <v>3.0E7</v>
      </c>
      <c r="K1542" s="1">
        <v>2003.0</v>
      </c>
      <c r="L1542" s="1">
        <v>7.6</v>
      </c>
      <c r="O1542" s="3"/>
      <c r="S1542" s="4"/>
    </row>
    <row r="1543" ht="14.25" customHeight="1">
      <c r="A1543" s="1" t="s">
        <v>451</v>
      </c>
      <c r="B1543" s="1">
        <v>107.0</v>
      </c>
      <c r="C1543" s="1">
        <v>4.238552E7</v>
      </c>
      <c r="D1543" s="1" t="s">
        <v>3098</v>
      </c>
      <c r="E1543" s="1" t="s">
        <v>3303</v>
      </c>
      <c r="F1543" s="1" t="s">
        <v>3304</v>
      </c>
      <c r="G1543" s="1">
        <v>47297.0</v>
      </c>
      <c r="H1543" s="1">
        <v>86.0</v>
      </c>
      <c r="I1543" s="1" t="s">
        <v>16</v>
      </c>
      <c r="J1543" s="1">
        <v>3.0E7</v>
      </c>
      <c r="K1543" s="1">
        <v>2010.0</v>
      </c>
      <c r="L1543" s="1">
        <v>6.2</v>
      </c>
      <c r="O1543" s="3"/>
      <c r="S1543" s="4"/>
    </row>
    <row r="1544" ht="14.25" customHeight="1">
      <c r="A1544" s="1" t="s">
        <v>2172</v>
      </c>
      <c r="B1544" s="1">
        <v>104.0</v>
      </c>
      <c r="C1544" s="1">
        <v>4.011842E7</v>
      </c>
      <c r="D1544" s="1" t="s">
        <v>1986</v>
      </c>
      <c r="E1544" s="1" t="s">
        <v>3305</v>
      </c>
      <c r="F1544" s="1" t="s">
        <v>3306</v>
      </c>
      <c r="G1544" s="1">
        <v>26066.0</v>
      </c>
      <c r="H1544" s="1">
        <v>216.0</v>
      </c>
      <c r="I1544" s="1" t="s">
        <v>16</v>
      </c>
      <c r="J1544" s="1">
        <v>3.0E7</v>
      </c>
      <c r="K1544" s="1">
        <v>2002.0</v>
      </c>
      <c r="L1544" s="1">
        <v>5.6</v>
      </c>
      <c r="O1544" s="3"/>
      <c r="S1544" s="4"/>
    </row>
    <row r="1545" ht="14.25" customHeight="1">
      <c r="A1545" s="1" t="s">
        <v>54</v>
      </c>
      <c r="B1545" s="1">
        <v>113.0</v>
      </c>
      <c r="C1545" s="1">
        <v>4.0137776E7</v>
      </c>
      <c r="D1545" s="1" t="s">
        <v>1046</v>
      </c>
      <c r="E1545" s="1" t="s">
        <v>783</v>
      </c>
      <c r="F1545" s="1" t="s">
        <v>3307</v>
      </c>
      <c r="G1545" s="1">
        <v>186977.0</v>
      </c>
      <c r="H1545" s="1">
        <v>529.0</v>
      </c>
      <c r="I1545" s="1" t="s">
        <v>16</v>
      </c>
      <c r="J1545" s="1">
        <v>3.8E7</v>
      </c>
      <c r="K1545" s="1">
        <v>2006.0</v>
      </c>
      <c r="L1545" s="1">
        <v>7.6</v>
      </c>
      <c r="O1545" s="3"/>
      <c r="S1545" s="4"/>
    </row>
    <row r="1546" ht="14.25" customHeight="1">
      <c r="A1546" s="1" t="s">
        <v>1447</v>
      </c>
      <c r="B1546" s="1">
        <v>113.0</v>
      </c>
      <c r="C1546" s="1">
        <v>3.9568996E7</v>
      </c>
      <c r="D1546" s="1" t="s">
        <v>2551</v>
      </c>
      <c r="E1546" s="1" t="s">
        <v>3308</v>
      </c>
      <c r="F1546" s="1" t="s">
        <v>3309</v>
      </c>
      <c r="G1546" s="1">
        <v>138435.0</v>
      </c>
      <c r="H1546" s="1">
        <v>527.0</v>
      </c>
      <c r="I1546" s="1" t="s">
        <v>16</v>
      </c>
      <c r="J1546" s="1">
        <v>3.2E7</v>
      </c>
      <c r="K1546" s="1">
        <v>2007.0</v>
      </c>
      <c r="L1546" s="1">
        <v>6.6</v>
      </c>
      <c r="O1546" s="3"/>
      <c r="S1546" s="4"/>
    </row>
    <row r="1547" ht="14.25" customHeight="1">
      <c r="A1547" s="1" t="s">
        <v>3310</v>
      </c>
      <c r="B1547" s="1">
        <v>95.0</v>
      </c>
      <c r="C1547" s="1">
        <v>4.2043633E7</v>
      </c>
      <c r="D1547" s="1" t="s">
        <v>1103</v>
      </c>
      <c r="E1547" s="1" t="s">
        <v>42</v>
      </c>
      <c r="F1547" s="1" t="s">
        <v>3311</v>
      </c>
      <c r="G1547" s="1">
        <v>277172.0</v>
      </c>
      <c r="H1547" s="1">
        <v>986.0</v>
      </c>
      <c r="I1547" s="1" t="s">
        <v>16</v>
      </c>
      <c r="J1547" s="1">
        <v>3.0E7</v>
      </c>
      <c r="K1547" s="1">
        <v>2012.0</v>
      </c>
      <c r="L1547" s="1">
        <v>7.0</v>
      </c>
      <c r="O1547" s="3"/>
      <c r="S1547" s="4"/>
    </row>
    <row r="1548" ht="14.25" customHeight="1">
      <c r="A1548" s="1" t="s">
        <v>3312</v>
      </c>
      <c r="B1548" s="1">
        <v>86.0</v>
      </c>
      <c r="C1548" s="1">
        <v>3.8232624E7</v>
      </c>
      <c r="D1548" s="1" t="s">
        <v>828</v>
      </c>
      <c r="E1548" s="1" t="s">
        <v>3313</v>
      </c>
      <c r="F1548" s="1" t="s">
        <v>3314</v>
      </c>
      <c r="G1548" s="1">
        <v>88518.0</v>
      </c>
      <c r="H1548" s="1">
        <v>409.0</v>
      </c>
      <c r="I1548" s="1" t="s">
        <v>16</v>
      </c>
      <c r="J1548" s="1">
        <v>3.0E7</v>
      </c>
      <c r="K1548" s="1">
        <v>2008.0</v>
      </c>
      <c r="L1548" s="1">
        <v>2.7</v>
      </c>
      <c r="O1548" s="3"/>
      <c r="S1548" s="4"/>
    </row>
    <row r="1549" ht="14.25" customHeight="1">
      <c r="A1549" s="1" t="s">
        <v>1021</v>
      </c>
      <c r="B1549" s="1">
        <v>126.0</v>
      </c>
      <c r="C1549" s="1">
        <v>3.8413606E7</v>
      </c>
      <c r="D1549" s="1" t="s">
        <v>180</v>
      </c>
      <c r="E1549" s="1" t="s">
        <v>725</v>
      </c>
      <c r="F1549" s="1" t="s">
        <v>3315</v>
      </c>
      <c r="G1549" s="1">
        <v>54042.0</v>
      </c>
      <c r="H1549" s="1">
        <v>215.0</v>
      </c>
      <c r="I1549" s="1" t="s">
        <v>16</v>
      </c>
      <c r="J1549" s="1">
        <v>3.0E7</v>
      </c>
      <c r="K1549" s="1">
        <v>1988.0</v>
      </c>
      <c r="L1549" s="1">
        <v>7.6</v>
      </c>
      <c r="O1549" s="3"/>
      <c r="S1549" s="4"/>
    </row>
    <row r="1550" ht="14.25" customHeight="1">
      <c r="A1550" s="1" t="s">
        <v>3316</v>
      </c>
      <c r="B1550" s="1">
        <v>101.0</v>
      </c>
      <c r="C1550" s="1">
        <v>3.8122105E7</v>
      </c>
      <c r="D1550" s="1" t="s">
        <v>587</v>
      </c>
      <c r="E1550" s="1" t="s">
        <v>3317</v>
      </c>
      <c r="F1550" s="1" t="s">
        <v>3318</v>
      </c>
      <c r="G1550" s="1">
        <v>112669.0</v>
      </c>
      <c r="H1550" s="1">
        <v>226.0</v>
      </c>
      <c r="I1550" s="1" t="s">
        <v>16</v>
      </c>
      <c r="J1550" s="1">
        <v>2.7E7</v>
      </c>
      <c r="K1550" s="1">
        <v>1987.0</v>
      </c>
      <c r="L1550" s="1">
        <v>6.6</v>
      </c>
      <c r="O1550" s="3"/>
      <c r="S1550" s="4"/>
    </row>
    <row r="1551" ht="14.25" customHeight="1">
      <c r="A1551" s="1" t="s">
        <v>820</v>
      </c>
      <c r="B1551" s="1">
        <v>102.0</v>
      </c>
      <c r="C1551" s="1">
        <v>3.8747385E7</v>
      </c>
      <c r="D1551" s="1" t="s">
        <v>3319</v>
      </c>
      <c r="E1551" s="1" t="s">
        <v>899</v>
      </c>
      <c r="F1551" s="1" t="s">
        <v>3320</v>
      </c>
      <c r="G1551" s="1">
        <v>49349.0</v>
      </c>
      <c r="H1551" s="1">
        <v>165.0</v>
      </c>
      <c r="I1551" s="1" t="s">
        <v>16</v>
      </c>
      <c r="J1551" s="1">
        <v>2.5E7</v>
      </c>
      <c r="K1551" s="1">
        <v>1986.0</v>
      </c>
      <c r="L1551" s="1">
        <v>6.9</v>
      </c>
      <c r="O1551" s="3"/>
      <c r="S1551" s="4"/>
    </row>
    <row r="1552" ht="14.25" customHeight="1">
      <c r="A1552" s="1" t="s">
        <v>399</v>
      </c>
      <c r="B1552" s="1">
        <v>111.0</v>
      </c>
      <c r="C1552" s="1">
        <v>4.0247512E7</v>
      </c>
      <c r="D1552" s="1" t="s">
        <v>392</v>
      </c>
      <c r="E1552" s="1" t="s">
        <v>3321</v>
      </c>
      <c r="F1552" s="1" t="s">
        <v>3322</v>
      </c>
      <c r="G1552" s="1">
        <v>159198.0</v>
      </c>
      <c r="H1552" s="1">
        <v>438.0</v>
      </c>
      <c r="I1552" s="1" t="s">
        <v>16</v>
      </c>
      <c r="J1552" s="1">
        <v>3.0E7</v>
      </c>
      <c r="K1552" s="1">
        <v>2011.0</v>
      </c>
      <c r="L1552" s="1">
        <v>6.8</v>
      </c>
      <c r="O1552" s="3"/>
      <c r="S1552" s="4"/>
    </row>
    <row r="1553" ht="14.25" customHeight="1">
      <c r="A1553" s="1" t="s">
        <v>3323</v>
      </c>
      <c r="B1553" s="1">
        <v>95.0</v>
      </c>
      <c r="C1553" s="1">
        <v>3.5927406E7</v>
      </c>
      <c r="D1553" s="1" t="s">
        <v>114</v>
      </c>
      <c r="E1553" s="1" t="s">
        <v>3324</v>
      </c>
      <c r="F1553" s="1" t="s">
        <v>3325</v>
      </c>
      <c r="G1553" s="1">
        <v>36363.0</v>
      </c>
      <c r="H1553" s="1">
        <v>256.0</v>
      </c>
      <c r="I1553" s="1" t="s">
        <v>16</v>
      </c>
      <c r="J1553" s="1">
        <v>3.0E7</v>
      </c>
      <c r="K1553" s="1">
        <v>1997.0</v>
      </c>
      <c r="L1553" s="1">
        <v>3.7</v>
      </c>
      <c r="O1553" s="3"/>
      <c r="S1553" s="4"/>
    </row>
    <row r="1554" ht="14.25" customHeight="1">
      <c r="A1554" s="1" t="s">
        <v>140</v>
      </c>
      <c r="B1554" s="1">
        <v>98.0</v>
      </c>
      <c r="C1554" s="1">
        <v>3.5565975E7</v>
      </c>
      <c r="D1554" s="1" t="s">
        <v>593</v>
      </c>
      <c r="E1554" s="1" t="s">
        <v>140</v>
      </c>
      <c r="F1554" s="1" t="s">
        <v>3326</v>
      </c>
      <c r="G1554" s="1">
        <v>49205.0</v>
      </c>
      <c r="H1554" s="1">
        <v>184.0</v>
      </c>
      <c r="I1554" s="1" t="s">
        <v>16</v>
      </c>
      <c r="J1554" s="1">
        <v>3.0E7</v>
      </c>
      <c r="K1554" s="1">
        <v>2011.0</v>
      </c>
      <c r="L1554" s="1">
        <v>6.1</v>
      </c>
      <c r="O1554" s="3"/>
      <c r="S1554" s="4"/>
    </row>
    <row r="1555" ht="14.25" customHeight="1">
      <c r="A1555" s="1" t="s">
        <v>3327</v>
      </c>
      <c r="B1555" s="1">
        <v>100.0</v>
      </c>
      <c r="C1555" s="1">
        <v>3.5266619E7</v>
      </c>
      <c r="D1555" s="1" t="s">
        <v>2039</v>
      </c>
      <c r="E1555" s="1" t="s">
        <v>210</v>
      </c>
      <c r="F1555" s="1" t="s">
        <v>3328</v>
      </c>
      <c r="G1555" s="1">
        <v>108242.0</v>
      </c>
      <c r="H1555" s="1">
        <v>371.0</v>
      </c>
      <c r="I1555" s="1" t="s">
        <v>16</v>
      </c>
      <c r="J1555" s="1">
        <v>3.0E7</v>
      </c>
      <c r="K1555" s="1">
        <v>2013.0</v>
      </c>
      <c r="L1555" s="1">
        <v>5.9</v>
      </c>
      <c r="O1555" s="3"/>
      <c r="S1555" s="4"/>
    </row>
    <row r="1556" ht="14.25" customHeight="1">
      <c r="A1556" s="1" t="s">
        <v>3329</v>
      </c>
      <c r="B1556" s="1">
        <v>118.0</v>
      </c>
      <c r="C1556" s="1">
        <v>3.4703228E7</v>
      </c>
      <c r="D1556" s="1" t="s">
        <v>2466</v>
      </c>
      <c r="E1556" s="1" t="s">
        <v>518</v>
      </c>
      <c r="F1556" s="1" t="s">
        <v>3330</v>
      </c>
      <c r="G1556" s="1">
        <v>21767.0</v>
      </c>
      <c r="H1556" s="1">
        <v>127.0</v>
      </c>
      <c r="I1556" s="1" t="s">
        <v>16</v>
      </c>
      <c r="J1556" s="1">
        <v>3.0E7</v>
      </c>
      <c r="K1556" s="1">
        <v>2006.0</v>
      </c>
      <c r="L1556" s="1">
        <v>6.7</v>
      </c>
      <c r="O1556" s="3"/>
      <c r="S1556" s="4"/>
    </row>
    <row r="1557" ht="14.25" customHeight="1">
      <c r="A1557" s="1" t="s">
        <v>3331</v>
      </c>
      <c r="B1557" s="1">
        <v>125.0</v>
      </c>
      <c r="C1557" s="1">
        <v>3.8432823E7</v>
      </c>
      <c r="D1557" s="1" t="s">
        <v>3332</v>
      </c>
      <c r="E1557" s="1" t="s">
        <v>632</v>
      </c>
      <c r="F1557" s="1" t="s">
        <v>3333</v>
      </c>
      <c r="G1557" s="1">
        <v>33067.0</v>
      </c>
      <c r="H1557" s="1">
        <v>134.0</v>
      </c>
      <c r="I1557" s="1" t="s">
        <v>16</v>
      </c>
      <c r="J1557" s="1">
        <v>3.0E7</v>
      </c>
      <c r="K1557" s="1">
        <v>2006.0</v>
      </c>
      <c r="L1557" s="1">
        <v>6.9</v>
      </c>
      <c r="O1557" s="3"/>
      <c r="S1557" s="4"/>
    </row>
    <row r="1558" ht="14.25" customHeight="1">
      <c r="A1558" s="1" t="s">
        <v>1861</v>
      </c>
      <c r="B1558" s="1">
        <v>94.0</v>
      </c>
      <c r="C1558" s="1">
        <v>3.2095318E7</v>
      </c>
      <c r="D1558" s="1" t="s">
        <v>427</v>
      </c>
      <c r="E1558" s="1" t="s">
        <v>343</v>
      </c>
      <c r="F1558" s="1" t="s">
        <v>3334</v>
      </c>
      <c r="G1558" s="1">
        <v>12466.0</v>
      </c>
      <c r="H1558" s="1">
        <v>84.0</v>
      </c>
      <c r="I1558" s="1" t="s">
        <v>16</v>
      </c>
      <c r="J1558" s="1">
        <v>4.5E7</v>
      </c>
      <c r="K1558" s="1">
        <v>2001.0</v>
      </c>
      <c r="L1558" s="1">
        <v>5.5</v>
      </c>
      <c r="O1558" s="3"/>
      <c r="S1558" s="4"/>
    </row>
    <row r="1559" ht="14.25" customHeight="1">
      <c r="A1559" s="1" t="s">
        <v>3335</v>
      </c>
      <c r="B1559" s="1">
        <v>79.0</v>
      </c>
      <c r="C1559" s="1">
        <v>3.1743332E7</v>
      </c>
      <c r="D1559" s="1" t="s">
        <v>3336</v>
      </c>
      <c r="E1559" s="1" t="s">
        <v>1332</v>
      </c>
      <c r="F1559" s="1" t="s">
        <v>3337</v>
      </c>
      <c r="G1559" s="1">
        <v>111117.0</v>
      </c>
      <c r="H1559" s="1">
        <v>245.0</v>
      </c>
      <c r="I1559" s="1" t="s">
        <v>16</v>
      </c>
      <c r="J1559" s="1">
        <v>3.0E7</v>
      </c>
      <c r="K1559" s="1">
        <v>2009.0</v>
      </c>
      <c r="L1559" s="1">
        <v>7.1</v>
      </c>
      <c r="O1559" s="3"/>
      <c r="S1559" s="4"/>
    </row>
    <row r="1560" ht="14.25" customHeight="1">
      <c r="A1560" s="1" t="s">
        <v>639</v>
      </c>
      <c r="B1560" s="1">
        <v>106.0</v>
      </c>
      <c r="C1560" s="1">
        <v>3.215441E7</v>
      </c>
      <c r="D1560" s="1" t="s">
        <v>901</v>
      </c>
      <c r="E1560" s="1" t="s">
        <v>191</v>
      </c>
      <c r="F1560" s="1" t="s">
        <v>3338</v>
      </c>
      <c r="G1560" s="1">
        <v>148327.0</v>
      </c>
      <c r="H1560" s="1">
        <v>274.0</v>
      </c>
      <c r="I1560" s="1" t="s">
        <v>16</v>
      </c>
      <c r="J1560" s="1">
        <v>3.0E7</v>
      </c>
      <c r="K1560" s="1">
        <v>2013.0</v>
      </c>
      <c r="L1560" s="1">
        <v>7.1</v>
      </c>
      <c r="O1560" s="3"/>
      <c r="S1560" s="4"/>
    </row>
    <row r="1561" ht="14.25" customHeight="1">
      <c r="A1561" s="1" t="s">
        <v>3339</v>
      </c>
      <c r="B1561" s="1">
        <v>63.0</v>
      </c>
      <c r="C1561" s="1">
        <v>2.6687172E7</v>
      </c>
      <c r="D1561" s="1" t="s">
        <v>533</v>
      </c>
      <c r="E1561" s="1" t="s">
        <v>3340</v>
      </c>
      <c r="F1561" s="1" t="s">
        <v>3341</v>
      </c>
      <c r="G1561" s="1">
        <v>15600.0</v>
      </c>
      <c r="H1561" s="1">
        <v>55.0</v>
      </c>
      <c r="I1561" s="1" t="s">
        <v>16</v>
      </c>
      <c r="J1561" s="1">
        <v>3.0E7</v>
      </c>
      <c r="K1561" s="1">
        <v>2011.0</v>
      </c>
      <c r="L1561" s="1">
        <v>7.3</v>
      </c>
      <c r="O1561" s="3"/>
      <c r="S1561" s="4"/>
    </row>
    <row r="1562" ht="14.25" customHeight="1">
      <c r="A1562" s="1" t="s">
        <v>3342</v>
      </c>
      <c r="B1562" s="1">
        <v>85.0</v>
      </c>
      <c r="C1562" s="1">
        <v>2.6096584E7</v>
      </c>
      <c r="D1562" s="1" t="s">
        <v>828</v>
      </c>
      <c r="E1562" s="1" t="s">
        <v>3343</v>
      </c>
      <c r="F1562" s="1" t="s">
        <v>3344</v>
      </c>
      <c r="G1562" s="1">
        <v>30651.0</v>
      </c>
      <c r="H1562" s="1">
        <v>267.0</v>
      </c>
      <c r="I1562" s="1" t="s">
        <v>16</v>
      </c>
      <c r="J1562" s="1">
        <v>1.9E7</v>
      </c>
      <c r="K1562" s="1">
        <v>2003.0</v>
      </c>
      <c r="L1562" s="1">
        <v>3.4</v>
      </c>
      <c r="O1562" s="3"/>
      <c r="S1562" s="4"/>
    </row>
    <row r="1563" ht="14.25" customHeight="1">
      <c r="A1563" s="1" t="s">
        <v>2239</v>
      </c>
      <c r="B1563" s="1">
        <v>108.0</v>
      </c>
      <c r="C1563" s="1">
        <v>2.6525834E7</v>
      </c>
      <c r="D1563" s="1" t="s">
        <v>593</v>
      </c>
      <c r="E1563" s="1" t="s">
        <v>2239</v>
      </c>
      <c r="F1563" s="1" t="s">
        <v>3345</v>
      </c>
      <c r="G1563" s="1">
        <v>21998.0</v>
      </c>
      <c r="H1563" s="1">
        <v>227.0</v>
      </c>
      <c r="I1563" s="1" t="s">
        <v>16</v>
      </c>
      <c r="J1563" s="1">
        <v>3.0E7</v>
      </c>
      <c r="K1563" s="1">
        <v>1998.0</v>
      </c>
      <c r="L1563" s="1">
        <v>6.8</v>
      </c>
      <c r="O1563" s="3"/>
      <c r="S1563" s="4"/>
    </row>
    <row r="1564" ht="14.25" customHeight="1">
      <c r="A1564" s="1" t="s">
        <v>3346</v>
      </c>
      <c r="B1564" s="1">
        <v>139.0</v>
      </c>
      <c r="C1564" s="1">
        <v>3.051394E7</v>
      </c>
      <c r="D1564" s="1" t="s">
        <v>1749</v>
      </c>
      <c r="E1564" s="1" t="s">
        <v>3347</v>
      </c>
      <c r="F1564" s="1" t="s">
        <v>3348</v>
      </c>
      <c r="G1564" s="1">
        <v>15843.0</v>
      </c>
      <c r="H1564" s="1">
        <v>104.0</v>
      </c>
      <c r="I1564" s="1" t="s">
        <v>16</v>
      </c>
      <c r="J1564" s="1">
        <v>3.0E7</v>
      </c>
      <c r="K1564" s="1">
        <v>2014.0</v>
      </c>
      <c r="L1564" s="1">
        <v>6.9</v>
      </c>
      <c r="O1564" s="3"/>
      <c r="S1564" s="4"/>
    </row>
    <row r="1565" ht="14.25" customHeight="1">
      <c r="A1565" s="1" t="s">
        <v>2125</v>
      </c>
      <c r="B1565" s="1">
        <v>127.0</v>
      </c>
      <c r="C1565" s="1">
        <v>2.320944E7</v>
      </c>
      <c r="D1565" s="1" t="s">
        <v>1391</v>
      </c>
      <c r="E1565" s="1" t="s">
        <v>1000</v>
      </c>
      <c r="F1565" s="1" t="s">
        <v>3349</v>
      </c>
      <c r="G1565" s="1">
        <v>9283.0</v>
      </c>
      <c r="H1565" s="1">
        <v>112.0</v>
      </c>
      <c r="I1565" s="1" t="s">
        <v>16</v>
      </c>
      <c r="J1565" s="1">
        <v>3.0E7</v>
      </c>
      <c r="K1565" s="1">
        <v>1998.0</v>
      </c>
      <c r="L1565" s="1">
        <v>7.0</v>
      </c>
      <c r="O1565" s="3"/>
      <c r="S1565" s="4"/>
    </row>
    <row r="1566" ht="14.25" customHeight="1">
      <c r="A1566" s="1" t="s">
        <v>3350</v>
      </c>
      <c r="B1566" s="1">
        <v>106.0</v>
      </c>
      <c r="C1566" s="1">
        <v>2.4048E7</v>
      </c>
      <c r="D1566" s="1" t="s">
        <v>587</v>
      </c>
      <c r="E1566" s="1" t="s">
        <v>717</v>
      </c>
      <c r="F1566" s="1" t="s">
        <v>3351</v>
      </c>
      <c r="G1566" s="1">
        <v>23579.0</v>
      </c>
      <c r="H1566" s="1">
        <v>88.0</v>
      </c>
      <c r="I1566" s="1" t="s">
        <v>16</v>
      </c>
      <c r="J1566" s="1">
        <v>3.0E7</v>
      </c>
      <c r="K1566" s="1">
        <v>1995.0</v>
      </c>
      <c r="L1566" s="1">
        <v>5.5</v>
      </c>
      <c r="O1566" s="3"/>
      <c r="S1566" s="4"/>
    </row>
    <row r="1567" ht="14.25" customHeight="1">
      <c r="A1567" s="1" t="s">
        <v>1117</v>
      </c>
      <c r="B1567" s="1">
        <v>95.0</v>
      </c>
      <c r="C1567" s="1">
        <v>2.2526144E7</v>
      </c>
      <c r="D1567" s="1" t="s">
        <v>1037</v>
      </c>
      <c r="E1567" s="1" t="s">
        <v>3352</v>
      </c>
      <c r="F1567" s="1" t="s">
        <v>3353</v>
      </c>
      <c r="G1567" s="1">
        <v>53884.0</v>
      </c>
      <c r="H1567" s="1">
        <v>203.0</v>
      </c>
      <c r="I1567" s="1" t="s">
        <v>16</v>
      </c>
      <c r="J1567" s="1">
        <v>3.0E7</v>
      </c>
      <c r="K1567" s="1">
        <v>2006.0</v>
      </c>
      <c r="L1567" s="1">
        <v>5.1</v>
      </c>
      <c r="O1567" s="3"/>
      <c r="S1567" s="4"/>
    </row>
    <row r="1568" ht="14.25" customHeight="1">
      <c r="A1568" s="1" t="s">
        <v>1111</v>
      </c>
      <c r="B1568" s="1">
        <v>118.0</v>
      </c>
      <c r="C1568" s="1">
        <v>3.0523568E7</v>
      </c>
      <c r="D1568" s="1" t="s">
        <v>1239</v>
      </c>
      <c r="E1568" s="1" t="s">
        <v>2528</v>
      </c>
      <c r="F1568" s="1" t="s">
        <v>3354</v>
      </c>
      <c r="G1568" s="1">
        <v>54447.0</v>
      </c>
      <c r="H1568" s="1">
        <v>201.0</v>
      </c>
      <c r="I1568" s="1" t="s">
        <v>16</v>
      </c>
      <c r="J1568" s="1">
        <v>3.0E7</v>
      </c>
      <c r="K1568" s="1">
        <v>2014.0</v>
      </c>
      <c r="L1568" s="1">
        <v>6.2</v>
      </c>
      <c r="O1568" s="3"/>
      <c r="S1568" s="4"/>
    </row>
    <row r="1569" ht="14.25" customHeight="1">
      <c r="A1569" s="1" t="s">
        <v>3355</v>
      </c>
      <c r="B1569" s="1">
        <v>108.0</v>
      </c>
      <c r="C1569" s="1">
        <v>2.3070045E7</v>
      </c>
      <c r="D1569" s="1" t="s">
        <v>761</v>
      </c>
      <c r="E1569" s="1" t="s">
        <v>825</v>
      </c>
      <c r="F1569" s="1" t="s">
        <v>3356</v>
      </c>
      <c r="G1569" s="1">
        <v>47003.0</v>
      </c>
      <c r="H1569" s="1">
        <v>215.0</v>
      </c>
      <c r="I1569" s="1" t="s">
        <v>16</v>
      </c>
      <c r="J1569" s="1">
        <v>3.0E7</v>
      </c>
      <c r="K1569" s="1">
        <v>2011.0</v>
      </c>
      <c r="L1569" s="1">
        <v>5.9</v>
      </c>
      <c r="O1569" s="3"/>
      <c r="S1569" s="4"/>
    </row>
    <row r="1570" ht="14.25" customHeight="1">
      <c r="A1570" s="1" t="s">
        <v>3357</v>
      </c>
      <c r="B1570" s="1">
        <v>105.0</v>
      </c>
      <c r="C1570" s="1">
        <v>2.0422207E7</v>
      </c>
      <c r="D1570" s="1" t="s">
        <v>593</v>
      </c>
      <c r="E1570" s="1" t="s">
        <v>873</v>
      </c>
      <c r="F1570" s="1" t="s">
        <v>3358</v>
      </c>
      <c r="G1570" s="1">
        <v>15052.0</v>
      </c>
      <c r="H1570" s="1">
        <v>116.0</v>
      </c>
      <c r="I1570" s="1" t="s">
        <v>16</v>
      </c>
      <c r="J1570" s="1">
        <v>3.5E7</v>
      </c>
      <c r="K1570" s="1">
        <v>2004.0</v>
      </c>
      <c r="L1570" s="1">
        <v>5.2</v>
      </c>
      <c r="O1570" s="3"/>
      <c r="S1570" s="4"/>
    </row>
    <row r="1571" ht="14.25" customHeight="1">
      <c r="A1571" s="1" t="s">
        <v>2927</v>
      </c>
      <c r="B1571" s="1">
        <v>131.0</v>
      </c>
      <c r="C1571" s="1">
        <v>2.864477E7</v>
      </c>
      <c r="D1571" s="1" t="s">
        <v>699</v>
      </c>
      <c r="E1571" s="1" t="s">
        <v>2612</v>
      </c>
      <c r="F1571" s="1" t="s">
        <v>3359</v>
      </c>
      <c r="G1571" s="1">
        <v>78974.0</v>
      </c>
      <c r="H1571" s="1">
        <v>141.0</v>
      </c>
      <c r="I1571" s="1" t="s">
        <v>16</v>
      </c>
      <c r="J1571" s="1">
        <v>3.0E7</v>
      </c>
      <c r="K1571" s="1">
        <v>2012.0</v>
      </c>
      <c r="L1571" s="1">
        <v>6.2</v>
      </c>
      <c r="O1571" s="3"/>
      <c r="S1571" s="4"/>
    </row>
    <row r="1572" ht="14.25" customHeight="1">
      <c r="A1572" s="1" t="s">
        <v>3360</v>
      </c>
      <c r="B1572" s="1">
        <v>104.0</v>
      </c>
      <c r="C1572" s="1">
        <v>2.1800302E7</v>
      </c>
      <c r="D1572" s="1" t="s">
        <v>1825</v>
      </c>
      <c r="E1572" s="1" t="s">
        <v>343</v>
      </c>
      <c r="F1572" s="1" t="s">
        <v>3361</v>
      </c>
      <c r="G1572" s="1">
        <v>12164.0</v>
      </c>
      <c r="H1572" s="1">
        <v>63.0</v>
      </c>
      <c r="I1572" s="1" t="s">
        <v>16</v>
      </c>
      <c r="J1572" s="1">
        <v>3.0E7</v>
      </c>
      <c r="K1572" s="1">
        <v>2004.0</v>
      </c>
      <c r="L1572" s="1">
        <v>5.5</v>
      </c>
      <c r="O1572" s="3"/>
      <c r="S1572" s="4"/>
    </row>
    <row r="1573" ht="14.25" customHeight="1">
      <c r="A1573" s="1" t="s">
        <v>3362</v>
      </c>
      <c r="B1573" s="1">
        <v>133.0</v>
      </c>
      <c r="C1573" s="1">
        <v>2.1129348E7</v>
      </c>
      <c r="D1573" s="1" t="s">
        <v>2126</v>
      </c>
      <c r="E1573" s="1" t="s">
        <v>1721</v>
      </c>
      <c r="F1573" s="1" t="s">
        <v>3363</v>
      </c>
      <c r="G1573" s="1">
        <v>146364.0</v>
      </c>
      <c r="H1573" s="1">
        <v>237.0</v>
      </c>
      <c r="I1573" s="1" t="s">
        <v>16</v>
      </c>
      <c r="J1573" s="1">
        <v>3.5E7</v>
      </c>
      <c r="K1573" s="1">
        <v>2010.0</v>
      </c>
      <c r="L1573" s="1">
        <v>7.4</v>
      </c>
      <c r="O1573" s="3"/>
      <c r="S1573" s="4"/>
    </row>
    <row r="1574" ht="14.25" customHeight="1">
      <c r="A1574" s="1" t="s">
        <v>3364</v>
      </c>
      <c r="B1574" s="1">
        <v>94.0</v>
      </c>
      <c r="C1574" s="1">
        <v>1.8500966E7</v>
      </c>
      <c r="D1574" s="1" t="s">
        <v>934</v>
      </c>
      <c r="E1574" s="1" t="s">
        <v>831</v>
      </c>
      <c r="F1574" s="1" t="s">
        <v>3365</v>
      </c>
      <c r="G1574" s="1">
        <v>70341.0</v>
      </c>
      <c r="H1574" s="1">
        <v>830.0</v>
      </c>
      <c r="I1574" s="1" t="s">
        <v>16</v>
      </c>
      <c r="J1574" s="1">
        <v>3.0E7</v>
      </c>
      <c r="K1574" s="1">
        <v>2006.0</v>
      </c>
      <c r="L1574" s="1">
        <v>4.4</v>
      </c>
      <c r="O1574" s="3"/>
      <c r="S1574" s="4"/>
    </row>
    <row r="1575" ht="14.25" customHeight="1">
      <c r="A1575" s="1" t="s">
        <v>3366</v>
      </c>
      <c r="B1575" s="1">
        <v>109.0</v>
      </c>
      <c r="C1575" s="1">
        <v>1.9976073E7</v>
      </c>
      <c r="D1575" s="1" t="s">
        <v>197</v>
      </c>
      <c r="E1575" s="1" t="s">
        <v>2579</v>
      </c>
      <c r="F1575" s="1" t="s">
        <v>3367</v>
      </c>
      <c r="G1575" s="1">
        <v>65979.0</v>
      </c>
      <c r="H1575" s="1">
        <v>220.0</v>
      </c>
      <c r="I1575" s="1" t="s">
        <v>16</v>
      </c>
      <c r="J1575" s="1">
        <v>2.0E7</v>
      </c>
      <c r="K1575" s="1">
        <v>2005.0</v>
      </c>
      <c r="L1575" s="1">
        <v>6.3</v>
      </c>
      <c r="O1575" s="3"/>
      <c r="S1575" s="4"/>
    </row>
    <row r="1576" ht="14.25" customHeight="1">
      <c r="A1576" s="1" t="s">
        <v>1263</v>
      </c>
      <c r="B1576" s="1">
        <v>96.0</v>
      </c>
      <c r="C1576" s="1">
        <v>1.8967571E7</v>
      </c>
      <c r="D1576" s="1" t="s">
        <v>146</v>
      </c>
      <c r="E1576" s="1" t="s">
        <v>2669</v>
      </c>
      <c r="F1576" s="1" t="s">
        <v>3368</v>
      </c>
      <c r="G1576" s="1">
        <v>23345.0</v>
      </c>
      <c r="H1576" s="1">
        <v>167.0</v>
      </c>
      <c r="I1576" s="1" t="s">
        <v>16</v>
      </c>
      <c r="J1576" s="1">
        <v>3.0E7</v>
      </c>
      <c r="K1576" s="1">
        <v>1998.0</v>
      </c>
      <c r="L1576" s="1">
        <v>6.1</v>
      </c>
      <c r="O1576" s="3"/>
      <c r="S1576" s="4"/>
    </row>
    <row r="1577" ht="14.25" customHeight="1">
      <c r="A1577" s="1" t="s">
        <v>3369</v>
      </c>
      <c r="B1577" s="1">
        <v>105.0</v>
      </c>
      <c r="C1577" s="1">
        <v>1.71E7</v>
      </c>
      <c r="D1577" s="1" t="s">
        <v>3370</v>
      </c>
      <c r="E1577" s="1" t="s">
        <v>500</v>
      </c>
      <c r="F1577" s="1" t="s">
        <v>3371</v>
      </c>
      <c r="G1577" s="1">
        <v>7073.0</v>
      </c>
      <c r="H1577" s="1">
        <v>29.0</v>
      </c>
      <c r="I1577" s="1" t="s">
        <v>16</v>
      </c>
      <c r="J1577" s="1">
        <v>2.5E7</v>
      </c>
      <c r="K1577" s="1">
        <v>1996.0</v>
      </c>
      <c r="L1577" s="1">
        <v>5.3</v>
      </c>
      <c r="O1577" s="3"/>
      <c r="S1577" s="4"/>
    </row>
    <row r="1578" ht="14.25" customHeight="1">
      <c r="A1578" s="1" t="s">
        <v>3372</v>
      </c>
      <c r="B1578" s="1">
        <v>99.0</v>
      </c>
      <c r="C1578" s="1">
        <v>1.7266505E7</v>
      </c>
      <c r="D1578" s="1" t="s">
        <v>3373</v>
      </c>
      <c r="E1578" s="1" t="s">
        <v>237</v>
      </c>
      <c r="F1578" s="1" t="s">
        <v>3374</v>
      </c>
      <c r="G1578" s="1">
        <v>43764.0</v>
      </c>
      <c r="H1578" s="1">
        <v>291.0</v>
      </c>
      <c r="I1578" s="1" t="s">
        <v>16</v>
      </c>
      <c r="J1578" s="1">
        <v>3.0E7</v>
      </c>
      <c r="K1578" s="1">
        <v>2002.0</v>
      </c>
      <c r="L1578" s="1">
        <v>5.4</v>
      </c>
      <c r="O1578" s="3"/>
      <c r="S1578" s="4"/>
    </row>
    <row r="1579" ht="14.25" customHeight="1">
      <c r="A1579" s="1" t="s">
        <v>430</v>
      </c>
      <c r="B1579" s="1">
        <v>112.0</v>
      </c>
      <c r="C1579" s="1">
        <v>3.2357532E7</v>
      </c>
      <c r="D1579" s="1" t="s">
        <v>593</v>
      </c>
      <c r="E1579" s="1" t="s">
        <v>162</v>
      </c>
      <c r="F1579" s="1" t="s">
        <v>3375</v>
      </c>
      <c r="G1579" s="1">
        <v>143368.0</v>
      </c>
      <c r="H1579" s="1">
        <v>215.0</v>
      </c>
      <c r="I1579" s="1" t="s">
        <v>16</v>
      </c>
      <c r="J1579" s="1">
        <v>3.0E7</v>
      </c>
      <c r="K1579" s="1">
        <v>2010.0</v>
      </c>
      <c r="L1579" s="1">
        <v>6.7</v>
      </c>
      <c r="O1579" s="3"/>
      <c r="S1579" s="4"/>
    </row>
    <row r="1580" ht="14.25" customHeight="1">
      <c r="A1580" s="1" t="s">
        <v>1682</v>
      </c>
      <c r="B1580" s="1">
        <v>108.0</v>
      </c>
      <c r="C1580" s="1">
        <v>1.6930884E7</v>
      </c>
      <c r="D1580" s="1" t="s">
        <v>909</v>
      </c>
      <c r="E1580" s="1" t="s">
        <v>1002</v>
      </c>
      <c r="F1580" s="1" t="s">
        <v>3376</v>
      </c>
      <c r="G1580" s="1">
        <v>65628.0</v>
      </c>
      <c r="H1580" s="1">
        <v>262.0</v>
      </c>
      <c r="I1580" s="1" t="s">
        <v>16</v>
      </c>
      <c r="J1580" s="1">
        <v>3.0E7</v>
      </c>
      <c r="K1580" s="1">
        <v>2007.0</v>
      </c>
      <c r="L1580" s="1">
        <v>5.9</v>
      </c>
      <c r="O1580" s="3"/>
      <c r="S1580" s="4"/>
    </row>
    <row r="1581" ht="14.25" customHeight="1">
      <c r="A1581" s="1" t="s">
        <v>3377</v>
      </c>
      <c r="B1581" s="1">
        <v>126.0</v>
      </c>
      <c r="C1581" s="1">
        <v>1.8324242E7</v>
      </c>
      <c r="D1581" s="1" t="s">
        <v>1391</v>
      </c>
      <c r="E1581" s="1" t="s">
        <v>550</v>
      </c>
      <c r="F1581" s="1" t="s">
        <v>3378</v>
      </c>
      <c r="G1581" s="1">
        <v>32815.0</v>
      </c>
      <c r="H1581" s="1">
        <v>214.0</v>
      </c>
      <c r="I1581" s="1" t="s">
        <v>16</v>
      </c>
      <c r="J1581" s="1">
        <v>3.5E7</v>
      </c>
      <c r="K1581" s="1">
        <v>2005.0</v>
      </c>
      <c r="L1581" s="1">
        <v>7.3</v>
      </c>
      <c r="O1581" s="3"/>
      <c r="S1581" s="4"/>
    </row>
    <row r="1582" ht="14.25" customHeight="1">
      <c r="A1582" s="1" t="s">
        <v>2106</v>
      </c>
      <c r="B1582" s="1">
        <v>98.0</v>
      </c>
      <c r="C1582" s="1">
        <v>1.6323969E7</v>
      </c>
      <c r="D1582" s="1" t="s">
        <v>2378</v>
      </c>
      <c r="E1582" s="1" t="s">
        <v>415</v>
      </c>
      <c r="F1582" s="1" t="s">
        <v>3379</v>
      </c>
      <c r="G1582" s="1">
        <v>45775.0</v>
      </c>
      <c r="H1582" s="1">
        <v>112.0</v>
      </c>
      <c r="I1582" s="1" t="s">
        <v>16</v>
      </c>
      <c r="J1582" s="1">
        <v>4.0E7</v>
      </c>
      <c r="K1582" s="1">
        <v>2004.0</v>
      </c>
      <c r="L1582" s="1">
        <v>5.5</v>
      </c>
      <c r="O1582" s="3"/>
      <c r="S1582" s="4"/>
    </row>
    <row r="1583" ht="14.25" customHeight="1">
      <c r="A1583" s="1" t="s">
        <v>3380</v>
      </c>
      <c r="B1583" s="1">
        <v>104.0</v>
      </c>
      <c r="C1583" s="1">
        <v>1.6999046E7</v>
      </c>
      <c r="D1583" s="1" t="s">
        <v>333</v>
      </c>
      <c r="E1583" s="1" t="s">
        <v>3381</v>
      </c>
      <c r="F1583" s="1" t="s">
        <v>3382</v>
      </c>
      <c r="G1583" s="1">
        <v>79517.0</v>
      </c>
      <c r="H1583" s="1">
        <v>354.0</v>
      </c>
      <c r="I1583" s="1" t="s">
        <v>16</v>
      </c>
      <c r="J1583" s="1">
        <v>2.6E7</v>
      </c>
      <c r="K1583" s="1">
        <v>2009.0</v>
      </c>
      <c r="L1583" s="1">
        <v>5.8</v>
      </c>
      <c r="O1583" s="3"/>
      <c r="S1583" s="4"/>
    </row>
    <row r="1584" ht="14.25" customHeight="1">
      <c r="A1584" s="1" t="s">
        <v>3383</v>
      </c>
      <c r="B1584" s="1">
        <v>110.0</v>
      </c>
      <c r="C1584" s="1">
        <v>1.6295774E7</v>
      </c>
      <c r="D1584" s="1" t="s">
        <v>1807</v>
      </c>
      <c r="E1584" s="1" t="s">
        <v>2488</v>
      </c>
      <c r="F1584" s="1" t="s">
        <v>3384</v>
      </c>
      <c r="G1584" s="1">
        <v>33669.0</v>
      </c>
      <c r="H1584" s="1">
        <v>269.0</v>
      </c>
      <c r="I1584" s="1" t="s">
        <v>16</v>
      </c>
      <c r="J1584" s="1">
        <v>3.5E7</v>
      </c>
      <c r="K1584" s="1">
        <v>1986.0</v>
      </c>
      <c r="L1584" s="1">
        <v>4.6</v>
      </c>
      <c r="O1584" s="3"/>
      <c r="S1584" s="4"/>
    </row>
    <row r="1585" ht="14.25" customHeight="1">
      <c r="A1585" s="1" t="s">
        <v>3385</v>
      </c>
      <c r="B1585" s="1">
        <v>130.0</v>
      </c>
      <c r="C1585" s="1">
        <v>1.5709385E7</v>
      </c>
      <c r="D1585" s="1" t="s">
        <v>901</v>
      </c>
      <c r="E1585" s="1" t="s">
        <v>1989</v>
      </c>
      <c r="F1585" s="1" t="s">
        <v>3386</v>
      </c>
      <c r="G1585" s="1">
        <v>53053.0</v>
      </c>
      <c r="H1585" s="1">
        <v>132.0</v>
      </c>
      <c r="I1585" s="1" t="s">
        <v>16</v>
      </c>
      <c r="J1585" s="1">
        <v>3.0E7</v>
      </c>
      <c r="K1585" s="1">
        <v>2008.0</v>
      </c>
      <c r="L1585" s="1">
        <v>6.7</v>
      </c>
      <c r="O1585" s="3"/>
      <c r="S1585" s="4"/>
    </row>
    <row r="1586" ht="14.25" customHeight="1">
      <c r="A1586" s="1" t="s">
        <v>3387</v>
      </c>
      <c r="B1586" s="1">
        <v>93.0</v>
      </c>
      <c r="C1586" s="1">
        <v>1.4888028E7</v>
      </c>
      <c r="D1586" s="1" t="s">
        <v>3388</v>
      </c>
      <c r="E1586" s="1" t="s">
        <v>3389</v>
      </c>
      <c r="F1586" s="1" t="s">
        <v>3390</v>
      </c>
      <c r="G1586" s="1">
        <v>28606.0</v>
      </c>
      <c r="H1586" s="1">
        <v>262.0</v>
      </c>
      <c r="I1586" s="1" t="s">
        <v>16</v>
      </c>
      <c r="J1586" s="1">
        <v>3.0E7</v>
      </c>
      <c r="K1586" s="1">
        <v>2005.0</v>
      </c>
      <c r="L1586" s="1">
        <v>5.1</v>
      </c>
      <c r="O1586" s="3"/>
      <c r="S1586" s="4"/>
    </row>
    <row r="1587" ht="14.25" customHeight="1">
      <c r="A1587" s="1" t="s">
        <v>1580</v>
      </c>
      <c r="B1587" s="1">
        <v>96.0</v>
      </c>
      <c r="C1587" s="1">
        <v>1.4208384E7</v>
      </c>
      <c r="D1587" s="1" t="s">
        <v>699</v>
      </c>
      <c r="E1587" s="1" t="s">
        <v>3070</v>
      </c>
      <c r="F1587" s="1" t="s">
        <v>3391</v>
      </c>
      <c r="G1587" s="1">
        <v>11520.0</v>
      </c>
      <c r="H1587" s="1">
        <v>105.0</v>
      </c>
      <c r="I1587" s="1" t="s">
        <v>16</v>
      </c>
      <c r="J1587" s="1">
        <v>3.0E7</v>
      </c>
      <c r="K1587" s="1">
        <v>2003.0</v>
      </c>
      <c r="L1587" s="1">
        <v>5.6</v>
      </c>
      <c r="O1587" s="3"/>
      <c r="S1587" s="4"/>
    </row>
    <row r="1588" ht="14.25" customHeight="1">
      <c r="A1588" s="1" t="s">
        <v>2407</v>
      </c>
      <c r="B1588" s="1">
        <v>114.0</v>
      </c>
      <c r="C1588" s="1">
        <v>1.2831121E7</v>
      </c>
      <c r="D1588" s="1" t="s">
        <v>1339</v>
      </c>
      <c r="E1588" s="1" t="s">
        <v>3392</v>
      </c>
      <c r="F1588" s="1" t="s">
        <v>3393</v>
      </c>
      <c r="G1588" s="1">
        <v>44979.0</v>
      </c>
      <c r="H1588" s="1">
        <v>298.0</v>
      </c>
      <c r="I1588" s="1" t="s">
        <v>16</v>
      </c>
      <c r="J1588" s="1">
        <v>3.0E7</v>
      </c>
      <c r="K1588" s="1">
        <v>2004.0</v>
      </c>
      <c r="L1588" s="1">
        <v>7.0</v>
      </c>
      <c r="O1588" s="3"/>
      <c r="S1588" s="4"/>
    </row>
    <row r="1589" ht="14.25" customHeight="1">
      <c r="A1589" s="1" t="s">
        <v>3394</v>
      </c>
      <c r="B1589" s="1">
        <v>106.0</v>
      </c>
      <c r="C1589" s="1">
        <v>1.8298649E7</v>
      </c>
      <c r="D1589" s="1" t="s">
        <v>3008</v>
      </c>
      <c r="E1589" s="1" t="s">
        <v>3395</v>
      </c>
      <c r="F1589" s="1" t="s">
        <v>3396</v>
      </c>
      <c r="G1589" s="1">
        <v>85024.0</v>
      </c>
      <c r="H1589" s="1">
        <v>242.0</v>
      </c>
      <c r="I1589" s="1" t="s">
        <v>16</v>
      </c>
      <c r="J1589" s="1">
        <v>3.0E7</v>
      </c>
      <c r="K1589" s="1">
        <v>2011.0</v>
      </c>
      <c r="L1589" s="1">
        <v>6.4</v>
      </c>
      <c r="O1589" s="3"/>
      <c r="S1589" s="4"/>
    </row>
    <row r="1590" ht="14.25" customHeight="1">
      <c r="A1590" s="1" t="s">
        <v>1999</v>
      </c>
      <c r="B1590" s="1">
        <v>150.0</v>
      </c>
      <c r="C1590" s="1">
        <v>1.2712093E7</v>
      </c>
      <c r="D1590" s="1" t="s">
        <v>2432</v>
      </c>
      <c r="E1590" s="1" t="s">
        <v>143</v>
      </c>
      <c r="F1590" s="1" t="s">
        <v>3397</v>
      </c>
      <c r="G1590" s="1">
        <v>70771.0</v>
      </c>
      <c r="H1590" s="1">
        <v>671.0</v>
      </c>
      <c r="I1590" s="1" t="s">
        <v>16</v>
      </c>
      <c r="J1590" s="1">
        <v>3.0E7</v>
      </c>
      <c r="K1590" s="1">
        <v>2005.0</v>
      </c>
      <c r="L1590" s="1">
        <v>6.7</v>
      </c>
      <c r="O1590" s="3"/>
      <c r="S1590" s="4"/>
    </row>
    <row r="1591" ht="14.25" customHeight="1">
      <c r="A1591" s="1" t="s">
        <v>3398</v>
      </c>
      <c r="B1591" s="1">
        <v>100.0</v>
      </c>
      <c r="C1591" s="1">
        <v>1.1576087E7</v>
      </c>
      <c r="D1591" s="1" t="s">
        <v>30</v>
      </c>
      <c r="E1591" s="1" t="s">
        <v>3399</v>
      </c>
      <c r="F1591" s="1" t="s">
        <v>3400</v>
      </c>
      <c r="G1591" s="1">
        <v>14747.0</v>
      </c>
      <c r="H1591" s="1">
        <v>338.0</v>
      </c>
      <c r="I1591" s="1" t="s">
        <v>16</v>
      </c>
      <c r="J1591" s="1">
        <v>3.0E7</v>
      </c>
      <c r="K1591" s="1">
        <v>1999.0</v>
      </c>
      <c r="L1591" s="1">
        <v>4.1</v>
      </c>
      <c r="O1591" s="3"/>
      <c r="S1591" s="4"/>
    </row>
    <row r="1592" ht="14.25" customHeight="1">
      <c r="A1592" s="1" t="s">
        <v>2038</v>
      </c>
      <c r="B1592" s="1">
        <v>100.0</v>
      </c>
      <c r="C1592" s="1">
        <v>1.19E7</v>
      </c>
      <c r="D1592" s="1" t="s">
        <v>844</v>
      </c>
      <c r="E1592" s="1" t="s">
        <v>96</v>
      </c>
      <c r="F1592" s="1" t="s">
        <v>3401</v>
      </c>
      <c r="G1592" s="1">
        <v>11003.0</v>
      </c>
      <c r="H1592" s="1">
        <v>148.0</v>
      </c>
      <c r="I1592" s="1" t="s">
        <v>16</v>
      </c>
      <c r="J1592" s="1">
        <v>3.0E7</v>
      </c>
      <c r="K1592" s="1">
        <v>1999.0</v>
      </c>
      <c r="L1592" s="1">
        <v>5.5</v>
      </c>
      <c r="O1592" s="3"/>
      <c r="S1592" s="4"/>
    </row>
    <row r="1593" ht="14.25" customHeight="1">
      <c r="A1593" s="1" t="s">
        <v>2209</v>
      </c>
      <c r="B1593" s="1">
        <v>100.0</v>
      </c>
      <c r="C1593" s="1">
        <v>9353573.0</v>
      </c>
      <c r="D1593" s="1" t="s">
        <v>114</v>
      </c>
      <c r="E1593" s="1" t="s">
        <v>3402</v>
      </c>
      <c r="F1593" s="1" t="s">
        <v>3403</v>
      </c>
      <c r="G1593" s="1">
        <v>56451.0</v>
      </c>
      <c r="H1593" s="1">
        <v>524.0</v>
      </c>
      <c r="I1593" s="1" t="s">
        <v>16</v>
      </c>
      <c r="J1593" s="1">
        <v>4.5E7</v>
      </c>
      <c r="K1593" s="1">
        <v>2009.0</v>
      </c>
      <c r="L1593" s="1">
        <v>2.7</v>
      </c>
      <c r="O1593" s="3"/>
      <c r="S1593" s="4"/>
    </row>
    <row r="1594" ht="14.25" customHeight="1">
      <c r="A1594" s="1" t="s">
        <v>3404</v>
      </c>
      <c r="B1594" s="1">
        <v>107.0</v>
      </c>
      <c r="C1594" s="1">
        <v>1.202667E7</v>
      </c>
      <c r="D1594" s="1" t="s">
        <v>146</v>
      </c>
      <c r="E1594" s="1" t="s">
        <v>3405</v>
      </c>
      <c r="F1594" s="1" t="s">
        <v>3406</v>
      </c>
      <c r="G1594" s="1">
        <v>114241.0</v>
      </c>
      <c r="H1594" s="1">
        <v>258.0</v>
      </c>
      <c r="I1594" s="1" t="s">
        <v>16</v>
      </c>
      <c r="J1594" s="1">
        <v>4.5E7</v>
      </c>
      <c r="K1594" s="1">
        <v>2013.0</v>
      </c>
      <c r="L1594" s="1">
        <v>6.4</v>
      </c>
      <c r="O1594" s="3"/>
      <c r="S1594" s="4"/>
    </row>
    <row r="1595" ht="14.25" customHeight="1">
      <c r="A1595" s="1" t="s">
        <v>3407</v>
      </c>
      <c r="B1595" s="1">
        <v>102.0</v>
      </c>
      <c r="C1595" s="1">
        <v>1.4334645E7</v>
      </c>
      <c r="D1595" s="1" t="s">
        <v>1486</v>
      </c>
      <c r="E1595" s="1" t="s">
        <v>725</v>
      </c>
      <c r="F1595" s="1" t="s">
        <v>3408</v>
      </c>
      <c r="G1595" s="1">
        <v>22449.0</v>
      </c>
      <c r="H1595" s="1">
        <v>191.0</v>
      </c>
      <c r="I1595" s="1" t="s">
        <v>16</v>
      </c>
      <c r="J1595" s="1">
        <v>2.5E7</v>
      </c>
      <c r="K1595" s="1">
        <v>2004.0</v>
      </c>
      <c r="L1595" s="1">
        <v>4.8</v>
      </c>
      <c r="O1595" s="3"/>
      <c r="S1595" s="4"/>
    </row>
    <row r="1596" ht="14.25" customHeight="1">
      <c r="A1596" s="1" t="s">
        <v>3409</v>
      </c>
      <c r="B1596" s="1">
        <v>101.0</v>
      </c>
      <c r="C1596" s="1">
        <v>1.2189514E7</v>
      </c>
      <c r="D1596" s="1" t="s">
        <v>699</v>
      </c>
      <c r="E1596" s="1" t="s">
        <v>3410</v>
      </c>
      <c r="F1596" s="1" t="s">
        <v>3411</v>
      </c>
      <c r="G1596" s="1">
        <v>30092.0</v>
      </c>
      <c r="H1596" s="1">
        <v>129.0</v>
      </c>
      <c r="I1596" s="1" t="s">
        <v>16</v>
      </c>
      <c r="J1596" s="1">
        <v>2.3E7</v>
      </c>
      <c r="K1596" s="1">
        <v>2004.0</v>
      </c>
      <c r="L1596" s="1">
        <v>6.1</v>
      </c>
      <c r="O1596" s="3"/>
      <c r="S1596" s="4"/>
    </row>
    <row r="1597" ht="14.25" customHeight="1">
      <c r="A1597" s="1" t="s">
        <v>3412</v>
      </c>
      <c r="B1597" s="1">
        <v>86.0</v>
      </c>
      <c r="C1597" s="1">
        <v>1.0134754E7</v>
      </c>
      <c r="D1597" s="1" t="s">
        <v>1215</v>
      </c>
      <c r="E1597" s="1" t="s">
        <v>204</v>
      </c>
      <c r="F1597" s="1" t="s">
        <v>3413</v>
      </c>
      <c r="G1597" s="1">
        <v>9682.0</v>
      </c>
      <c r="H1597" s="1">
        <v>38.0</v>
      </c>
      <c r="I1597" s="1" t="s">
        <v>16</v>
      </c>
      <c r="J1597" s="1">
        <v>3.0E7</v>
      </c>
      <c r="K1597" s="1">
        <v>2011.0</v>
      </c>
      <c r="L1597" s="1">
        <v>4.8</v>
      </c>
      <c r="O1597" s="3"/>
      <c r="S1597" s="4"/>
    </row>
    <row r="1598" ht="14.25" customHeight="1">
      <c r="A1598" s="1" t="s">
        <v>3025</v>
      </c>
      <c r="B1598" s="1">
        <v>108.0</v>
      </c>
      <c r="C1598" s="1">
        <v>8535575.0</v>
      </c>
      <c r="D1598" s="1" t="s">
        <v>1391</v>
      </c>
      <c r="E1598" s="1" t="s">
        <v>600</v>
      </c>
      <c r="F1598" s="1" t="s">
        <v>3414</v>
      </c>
      <c r="G1598" s="1">
        <v>24033.0</v>
      </c>
      <c r="H1598" s="1">
        <v>152.0</v>
      </c>
      <c r="I1598" s="1" t="s">
        <v>16</v>
      </c>
      <c r="J1598" s="1">
        <v>3.0E7</v>
      </c>
      <c r="K1598" s="1">
        <v>2005.0</v>
      </c>
      <c r="L1598" s="1">
        <v>7.0</v>
      </c>
      <c r="O1598" s="3"/>
      <c r="S1598" s="4"/>
    </row>
    <row r="1599" ht="14.25" customHeight="1">
      <c r="A1599" s="1" t="s">
        <v>1150</v>
      </c>
      <c r="B1599" s="1">
        <v>123.0</v>
      </c>
      <c r="C1599" s="1">
        <v>7689458.0</v>
      </c>
      <c r="D1599" s="1" t="s">
        <v>3415</v>
      </c>
      <c r="E1599" s="1" t="s">
        <v>2504</v>
      </c>
      <c r="F1599" s="1" t="s">
        <v>3416</v>
      </c>
      <c r="G1599" s="1">
        <v>126307.0</v>
      </c>
      <c r="H1599" s="1">
        <v>210.0</v>
      </c>
      <c r="I1599" s="1" t="s">
        <v>16</v>
      </c>
      <c r="J1599" s="1">
        <v>4.0E7</v>
      </c>
      <c r="K1599" s="1">
        <v>2009.0</v>
      </c>
      <c r="L1599" s="1">
        <v>6.8</v>
      </c>
      <c r="O1599" s="3"/>
      <c r="S1599" s="4"/>
    </row>
    <row r="1600" ht="14.25" customHeight="1">
      <c r="A1600" s="1" t="s">
        <v>2264</v>
      </c>
      <c r="B1600" s="1">
        <v>88.0</v>
      </c>
      <c r="C1600" s="1">
        <v>1.9316646E7</v>
      </c>
      <c r="D1600" s="1" t="s">
        <v>640</v>
      </c>
      <c r="E1600" s="1" t="s">
        <v>309</v>
      </c>
      <c r="F1600" s="1" t="s">
        <v>3417</v>
      </c>
      <c r="G1600" s="1">
        <v>52069.0</v>
      </c>
      <c r="H1600" s="1">
        <v>95.0</v>
      </c>
      <c r="I1600" s="1" t="s">
        <v>16</v>
      </c>
      <c r="J1600" s="1">
        <v>3.0E7</v>
      </c>
      <c r="K1600" s="1">
        <v>2013.0</v>
      </c>
      <c r="L1600" s="1">
        <v>5.6</v>
      </c>
      <c r="O1600" s="3"/>
      <c r="S1600" s="4"/>
    </row>
    <row r="1601" ht="14.25" customHeight="1">
      <c r="A1601" s="1" t="s">
        <v>2334</v>
      </c>
      <c r="B1601" s="1">
        <v>109.0</v>
      </c>
      <c r="C1601" s="1">
        <v>1.0965209E7</v>
      </c>
      <c r="D1601" s="1" t="s">
        <v>197</v>
      </c>
      <c r="E1601" s="1" t="s">
        <v>3418</v>
      </c>
      <c r="F1601" s="1" t="s">
        <v>3419</v>
      </c>
      <c r="G1601" s="1">
        <v>25558.0</v>
      </c>
      <c r="H1601" s="1">
        <v>221.0</v>
      </c>
      <c r="I1601" s="1" t="s">
        <v>16</v>
      </c>
      <c r="J1601" s="1">
        <v>3.0E7</v>
      </c>
      <c r="K1601" s="1">
        <v>2001.0</v>
      </c>
      <c r="L1601" s="1">
        <v>6.1</v>
      </c>
      <c r="O1601" s="3"/>
      <c r="S1601" s="4"/>
    </row>
    <row r="1602" ht="14.25" customHeight="1">
      <c r="A1602" s="1" t="s">
        <v>430</v>
      </c>
      <c r="B1602" s="1">
        <v>122.0</v>
      </c>
      <c r="C1602" s="1">
        <v>2.683E7</v>
      </c>
      <c r="D1602" s="1" t="s">
        <v>824</v>
      </c>
      <c r="E1602" s="1" t="s">
        <v>717</v>
      </c>
      <c r="F1602" s="1" t="s">
        <v>3420</v>
      </c>
      <c r="G1602" s="1">
        <v>101888.0</v>
      </c>
      <c r="H1602" s="1">
        <v>365.0</v>
      </c>
      <c r="I1602" s="1" t="s">
        <v>16</v>
      </c>
      <c r="J1602" s="1">
        <v>1.8E7</v>
      </c>
      <c r="K1602" s="1">
        <v>1989.0</v>
      </c>
      <c r="L1602" s="1">
        <v>7.9</v>
      </c>
      <c r="O1602" s="3"/>
      <c r="S1602" s="4"/>
    </row>
    <row r="1603" ht="14.25" customHeight="1">
      <c r="A1603" s="1" t="s">
        <v>3421</v>
      </c>
      <c r="B1603" s="1">
        <v>251.0</v>
      </c>
      <c r="C1603" s="1">
        <v>5300000.0</v>
      </c>
      <c r="D1603" s="1" t="s">
        <v>811</v>
      </c>
      <c r="E1603" s="1" t="s">
        <v>725</v>
      </c>
      <c r="F1603" s="1" t="s">
        <v>3422</v>
      </c>
      <c r="G1603" s="1">
        <v>221000.0</v>
      </c>
      <c r="H1603" s="1">
        <v>495.0</v>
      </c>
      <c r="I1603" s="1" t="s">
        <v>16</v>
      </c>
      <c r="J1603" s="1">
        <v>3.0E7</v>
      </c>
      <c r="K1603" s="1">
        <v>1984.0</v>
      </c>
      <c r="L1603" s="1">
        <v>8.4</v>
      </c>
      <c r="O1603" s="3"/>
      <c r="S1603" s="4"/>
    </row>
    <row r="1604" ht="14.25" customHeight="1">
      <c r="A1604" s="1" t="s">
        <v>3423</v>
      </c>
      <c r="B1604" s="1">
        <v>118.0</v>
      </c>
      <c r="C1604" s="1">
        <v>1.0880926E7</v>
      </c>
      <c r="D1604" s="1" t="s">
        <v>197</v>
      </c>
      <c r="E1604" s="1" t="s">
        <v>312</v>
      </c>
      <c r="F1604" s="1" t="s">
        <v>3424</v>
      </c>
      <c r="G1604" s="1">
        <v>54147.0</v>
      </c>
      <c r="H1604" s="1">
        <v>127.0</v>
      </c>
      <c r="I1604" s="1" t="s">
        <v>16</v>
      </c>
      <c r="J1604" s="1">
        <v>3.0E7</v>
      </c>
      <c r="K1604" s="1">
        <v>2013.0</v>
      </c>
      <c r="L1604" s="1">
        <v>6.5</v>
      </c>
      <c r="O1604" s="3"/>
      <c r="S1604" s="4"/>
    </row>
    <row r="1605" ht="14.25" customHeight="1">
      <c r="A1605" s="1" t="s">
        <v>3425</v>
      </c>
      <c r="B1605" s="1">
        <v>131.0</v>
      </c>
      <c r="C1605" s="1">
        <v>3752725.0</v>
      </c>
      <c r="D1605" s="1" t="s">
        <v>92</v>
      </c>
      <c r="E1605" s="1" t="s">
        <v>1002</v>
      </c>
      <c r="F1605" s="1" t="s">
        <v>3426</v>
      </c>
      <c r="G1605" s="1">
        <v>29715.0</v>
      </c>
      <c r="H1605" s="1">
        <v>161.0</v>
      </c>
      <c r="I1605" s="1" t="s">
        <v>16</v>
      </c>
      <c r="J1605" s="1">
        <v>1.8E7</v>
      </c>
      <c r="K1605" s="1">
        <v>2004.0</v>
      </c>
      <c r="L1605" s="1">
        <v>7.1</v>
      </c>
      <c r="O1605" s="3"/>
      <c r="S1605" s="4"/>
    </row>
    <row r="1606" ht="14.25" customHeight="1">
      <c r="A1606" s="1" t="s">
        <v>2038</v>
      </c>
      <c r="B1606" s="1">
        <v>109.0</v>
      </c>
      <c r="C1606" s="1">
        <v>3517797.0</v>
      </c>
      <c r="D1606" s="1" t="s">
        <v>2311</v>
      </c>
      <c r="E1606" s="1" t="s">
        <v>3427</v>
      </c>
      <c r="F1606" s="1" t="s">
        <v>3428</v>
      </c>
      <c r="G1606" s="1">
        <v>9004.0</v>
      </c>
      <c r="H1606" s="1">
        <v>103.0</v>
      </c>
      <c r="I1606" s="1" t="s">
        <v>16</v>
      </c>
      <c r="J1606" s="1">
        <v>2.5E7</v>
      </c>
      <c r="K1606" s="1">
        <v>2002.0</v>
      </c>
      <c r="L1606" s="1">
        <v>6.6</v>
      </c>
      <c r="O1606" s="3"/>
      <c r="S1606" s="4"/>
    </row>
    <row r="1607" ht="14.25" customHeight="1">
      <c r="A1607" s="1" t="s">
        <v>3252</v>
      </c>
      <c r="B1607" s="1">
        <v>88.0</v>
      </c>
      <c r="C1607" s="1">
        <v>2975649.0</v>
      </c>
      <c r="D1607" s="1" t="s">
        <v>2521</v>
      </c>
      <c r="E1607" s="1" t="s">
        <v>3429</v>
      </c>
      <c r="F1607" s="1" t="s">
        <v>3430</v>
      </c>
      <c r="G1607" s="1">
        <v>23864.0</v>
      </c>
      <c r="H1607" s="1">
        <v>142.0</v>
      </c>
      <c r="I1607" s="1" t="s">
        <v>16</v>
      </c>
      <c r="J1607" s="1">
        <v>3.0E7</v>
      </c>
      <c r="K1607" s="1">
        <v>2006.0</v>
      </c>
      <c r="L1607" s="1">
        <v>7.0</v>
      </c>
      <c r="O1607" s="3"/>
      <c r="S1607" s="4"/>
    </row>
    <row r="1608" ht="14.25" customHeight="1">
      <c r="A1608" s="1" t="s">
        <v>3431</v>
      </c>
      <c r="B1608" s="1">
        <v>103.0</v>
      </c>
      <c r="C1608" s="1">
        <v>668171.0</v>
      </c>
      <c r="D1608" s="1" t="s">
        <v>2752</v>
      </c>
      <c r="E1608" s="1" t="s">
        <v>3432</v>
      </c>
      <c r="F1608" s="1" t="s">
        <v>3433</v>
      </c>
      <c r="G1608" s="1">
        <v>8215.0</v>
      </c>
      <c r="H1608" s="1">
        <v>132.0</v>
      </c>
      <c r="I1608" s="1" t="s">
        <v>816</v>
      </c>
      <c r="J1608" s="1">
        <v>6.0E7</v>
      </c>
      <c r="K1608" s="1">
        <v>2005.0</v>
      </c>
      <c r="L1608" s="1">
        <v>5.6</v>
      </c>
      <c r="O1608" s="3"/>
      <c r="S1608" s="4"/>
    </row>
    <row r="1609" ht="14.25" customHeight="1">
      <c r="A1609" s="1" t="s">
        <v>3434</v>
      </c>
      <c r="B1609" s="1">
        <v>87.0</v>
      </c>
      <c r="C1609" s="1">
        <v>480314.0</v>
      </c>
      <c r="D1609" s="1" t="s">
        <v>55</v>
      </c>
      <c r="E1609" s="1" t="s">
        <v>3435</v>
      </c>
      <c r="F1609" s="1" t="s">
        <v>3436</v>
      </c>
      <c r="G1609" s="1">
        <v>38503.0</v>
      </c>
      <c r="H1609" s="1">
        <v>180.0</v>
      </c>
      <c r="I1609" s="1" t="s">
        <v>16</v>
      </c>
      <c r="J1609" s="1">
        <v>2.1E7</v>
      </c>
      <c r="K1609" s="1">
        <v>2006.0</v>
      </c>
      <c r="L1609" s="1">
        <v>4.8</v>
      </c>
      <c r="O1609" s="3"/>
      <c r="S1609" s="4"/>
    </row>
    <row r="1610" ht="14.25" customHeight="1">
      <c r="A1610" s="1" t="s">
        <v>3437</v>
      </c>
      <c r="B1610" s="1">
        <v>160.0</v>
      </c>
      <c r="C1610" s="1">
        <v>3904982.0</v>
      </c>
      <c r="D1610" s="1" t="s">
        <v>3438</v>
      </c>
      <c r="E1610" s="1" t="s">
        <v>293</v>
      </c>
      <c r="F1610" s="1" t="s">
        <v>3439</v>
      </c>
      <c r="G1610" s="1">
        <v>136104.0</v>
      </c>
      <c r="H1610" s="1">
        <v>415.0</v>
      </c>
      <c r="I1610" s="1" t="s">
        <v>16</v>
      </c>
      <c r="J1610" s="1">
        <v>3.0E7</v>
      </c>
      <c r="K1610" s="1">
        <v>2007.0</v>
      </c>
      <c r="L1610" s="1">
        <v>7.5</v>
      </c>
      <c r="O1610" s="3"/>
      <c r="S1610" s="4"/>
    </row>
    <row r="1611" ht="14.25" customHeight="1">
      <c r="A1611" s="1" t="s">
        <v>3440</v>
      </c>
      <c r="B1611" s="1">
        <v>121.0</v>
      </c>
      <c r="C1611" s="1">
        <v>127437.0</v>
      </c>
      <c r="D1611" s="1" t="s">
        <v>464</v>
      </c>
      <c r="E1611" s="1" t="s">
        <v>124</v>
      </c>
      <c r="F1611" s="1" t="s">
        <v>3441</v>
      </c>
      <c r="G1611" s="1">
        <v>4670.0</v>
      </c>
      <c r="H1611" s="1">
        <v>27.0</v>
      </c>
      <c r="I1611" s="1" t="s">
        <v>816</v>
      </c>
      <c r="J1611" s="1">
        <v>1.8E7</v>
      </c>
      <c r="K1611" s="1">
        <v>2011.0</v>
      </c>
      <c r="L1611" s="1">
        <v>6.0</v>
      </c>
      <c r="O1611" s="3"/>
      <c r="S1611" s="4"/>
    </row>
    <row r="1612" ht="14.25" customHeight="1">
      <c r="A1612" s="1" t="s">
        <v>54</v>
      </c>
      <c r="B1612" s="1">
        <v>129.0</v>
      </c>
      <c r="C1612" s="1">
        <v>537580.0</v>
      </c>
      <c r="D1612" s="1" t="s">
        <v>3442</v>
      </c>
      <c r="E1612" s="1" t="s">
        <v>275</v>
      </c>
      <c r="F1612" s="1" t="s">
        <v>3443</v>
      </c>
      <c r="G1612" s="1">
        <v>52972.0</v>
      </c>
      <c r="H1612" s="1">
        <v>124.0</v>
      </c>
      <c r="I1612" s="1" t="s">
        <v>16</v>
      </c>
      <c r="J1612" s="1">
        <v>3.0E7</v>
      </c>
      <c r="K1612" s="1">
        <v>2011.0</v>
      </c>
      <c r="L1612" s="1">
        <v>6.8</v>
      </c>
      <c r="O1612" s="3"/>
      <c r="S1612" s="4"/>
    </row>
    <row r="1613" ht="14.25" customHeight="1">
      <c r="A1613" s="1" t="s">
        <v>3444</v>
      </c>
      <c r="B1613" s="1">
        <v>115.0</v>
      </c>
      <c r="C1613" s="1">
        <v>1.8343638E8</v>
      </c>
      <c r="D1613" s="1" t="s">
        <v>3022</v>
      </c>
      <c r="E1613" s="1" t="s">
        <v>1032</v>
      </c>
      <c r="F1613" s="1" t="s">
        <v>3445</v>
      </c>
      <c r="G1613" s="1">
        <v>97697.0</v>
      </c>
      <c r="H1613" s="1">
        <v>185.0</v>
      </c>
      <c r="I1613" s="1" t="s">
        <v>16</v>
      </c>
      <c r="J1613" s="1">
        <v>2.9E7</v>
      </c>
      <c r="K1613" s="1">
        <v>2015.0</v>
      </c>
      <c r="L1613" s="1">
        <v>6.5</v>
      </c>
      <c r="O1613" s="3"/>
      <c r="S1613" s="4"/>
    </row>
    <row r="1614" ht="14.25" customHeight="1">
      <c r="A1614" s="1" t="s">
        <v>596</v>
      </c>
      <c r="B1614" s="1">
        <v>153.0</v>
      </c>
      <c r="C1614" s="1">
        <v>1.19518352E8</v>
      </c>
      <c r="D1614" s="1" t="s">
        <v>3446</v>
      </c>
      <c r="E1614" s="1" t="s">
        <v>3447</v>
      </c>
      <c r="F1614" s="1" t="s">
        <v>3448</v>
      </c>
      <c r="G1614" s="1">
        <v>188637.0</v>
      </c>
      <c r="H1614" s="1">
        <v>815.0</v>
      </c>
      <c r="I1614" s="1" t="s">
        <v>16</v>
      </c>
      <c r="J1614" s="1">
        <v>2.8E7</v>
      </c>
      <c r="K1614" s="1">
        <v>2005.0</v>
      </c>
      <c r="L1614" s="1">
        <v>7.9</v>
      </c>
      <c r="O1614" s="3"/>
      <c r="S1614" s="4"/>
    </row>
    <row r="1615" ht="14.25" customHeight="1">
      <c r="A1615" s="1" t="s">
        <v>3449</v>
      </c>
      <c r="B1615" s="1">
        <v>128.0</v>
      </c>
      <c r="C1615" s="1">
        <v>3.7036404E7</v>
      </c>
      <c r="D1615" s="1" t="s">
        <v>593</v>
      </c>
      <c r="E1615" s="1" t="s">
        <v>3450</v>
      </c>
      <c r="F1615" s="1" t="s">
        <v>3451</v>
      </c>
      <c r="G1615" s="1">
        <v>44816.0</v>
      </c>
      <c r="H1615" s="1">
        <v>259.0</v>
      </c>
      <c r="I1615" s="1" t="s">
        <v>16</v>
      </c>
      <c r="J1615" s="1">
        <v>3.0E7</v>
      </c>
      <c r="K1615" s="1">
        <v>2000.0</v>
      </c>
      <c r="L1615" s="1">
        <v>6.4</v>
      </c>
      <c r="O1615" s="3"/>
      <c r="S1615" s="4"/>
    </row>
    <row r="1616" ht="14.25" customHeight="1">
      <c r="A1616" s="1" t="s">
        <v>2059</v>
      </c>
      <c r="B1616" s="1">
        <v>89.0</v>
      </c>
      <c r="C1616" s="1">
        <v>2.2359293E7</v>
      </c>
      <c r="D1616" s="1" t="s">
        <v>335</v>
      </c>
      <c r="E1616" s="1" t="s">
        <v>194</v>
      </c>
      <c r="F1616" s="1" t="s">
        <v>3452</v>
      </c>
      <c r="G1616" s="1">
        <v>16222.0</v>
      </c>
      <c r="H1616" s="1">
        <v>39.0</v>
      </c>
      <c r="I1616" s="1" t="s">
        <v>16</v>
      </c>
      <c r="J1616" s="1">
        <v>2.9E7</v>
      </c>
      <c r="K1616" s="1">
        <v>1997.0</v>
      </c>
      <c r="L1616" s="1">
        <v>5.8</v>
      </c>
      <c r="O1616" s="3"/>
      <c r="S1616" s="4"/>
    </row>
    <row r="1617" ht="14.25" customHeight="1">
      <c r="A1617" s="1" t="s">
        <v>361</v>
      </c>
      <c r="B1617" s="1">
        <v>122.0</v>
      </c>
      <c r="C1617" s="1">
        <v>1.8593156E7</v>
      </c>
      <c r="D1617" s="1" t="s">
        <v>1391</v>
      </c>
      <c r="E1617" s="1" t="s">
        <v>508</v>
      </c>
      <c r="F1617" s="1" t="s">
        <v>3453</v>
      </c>
      <c r="G1617" s="1">
        <v>88682.0</v>
      </c>
      <c r="H1617" s="1">
        <v>241.0</v>
      </c>
      <c r="I1617" s="1" t="s">
        <v>16</v>
      </c>
      <c r="J1617" s="1">
        <v>3.5E7</v>
      </c>
      <c r="K1617" s="1">
        <v>2008.0</v>
      </c>
      <c r="L1617" s="1">
        <v>7.7</v>
      </c>
      <c r="O1617" s="3"/>
      <c r="S1617" s="4"/>
    </row>
    <row r="1618" ht="14.25" customHeight="1">
      <c r="A1618" s="1" t="s">
        <v>2427</v>
      </c>
      <c r="B1618" s="1">
        <v>99.0</v>
      </c>
      <c r="C1618" s="1">
        <v>1.6930185E7</v>
      </c>
      <c r="D1618" s="1" t="s">
        <v>699</v>
      </c>
      <c r="E1618" s="1" t="s">
        <v>2547</v>
      </c>
      <c r="F1618" s="1" t="s">
        <v>3454</v>
      </c>
      <c r="G1618" s="1">
        <v>14315.0</v>
      </c>
      <c r="H1618" s="1">
        <v>101.0</v>
      </c>
      <c r="I1618" s="1" t="s">
        <v>16</v>
      </c>
      <c r="J1618" s="1">
        <v>2.9E7</v>
      </c>
      <c r="K1618" s="1">
        <v>2002.0</v>
      </c>
      <c r="L1618" s="1">
        <v>5.3</v>
      </c>
      <c r="O1618" s="3"/>
      <c r="S1618" s="4"/>
    </row>
    <row r="1619" ht="14.25" customHeight="1">
      <c r="A1619" s="1" t="s">
        <v>3455</v>
      </c>
      <c r="B1619" s="1">
        <v>99.0</v>
      </c>
      <c r="C1619" s="1">
        <v>6.3034755E7</v>
      </c>
      <c r="D1619" s="1" t="s">
        <v>828</v>
      </c>
      <c r="E1619" s="1" t="s">
        <v>64</v>
      </c>
      <c r="F1619" s="1" t="s">
        <v>3456</v>
      </c>
      <c r="G1619" s="1">
        <v>16984.0</v>
      </c>
      <c r="H1619" s="1">
        <v>96.0</v>
      </c>
      <c r="I1619" s="1" t="s">
        <v>16</v>
      </c>
      <c r="J1619" s="1">
        <v>2.9E7</v>
      </c>
      <c r="K1619" s="1">
        <v>2016.0</v>
      </c>
      <c r="L1619" s="1">
        <v>5.3</v>
      </c>
      <c r="O1619" s="3"/>
      <c r="S1619" s="4"/>
    </row>
    <row r="1620" ht="14.25" customHeight="1">
      <c r="A1620" s="1" t="s">
        <v>3457</v>
      </c>
      <c r="B1620" s="1">
        <v>147.0</v>
      </c>
      <c r="C1620" s="1">
        <v>5899797.0</v>
      </c>
      <c r="D1620" s="1" t="s">
        <v>2369</v>
      </c>
      <c r="E1620" s="1" t="s">
        <v>717</v>
      </c>
      <c r="F1620" s="1" t="s">
        <v>3458</v>
      </c>
      <c r="G1620" s="1">
        <v>9913.0</v>
      </c>
      <c r="H1620" s="1">
        <v>51.0</v>
      </c>
      <c r="I1620" s="1" t="s">
        <v>16</v>
      </c>
      <c r="J1620" s="1">
        <v>2.9E7</v>
      </c>
      <c r="K1620" s="1">
        <v>1987.0</v>
      </c>
      <c r="L1620" s="1">
        <v>7.5</v>
      </c>
      <c r="O1620" s="3"/>
      <c r="S1620" s="4"/>
    </row>
    <row r="1621" ht="14.25" customHeight="1">
      <c r="A1621" s="1" t="s">
        <v>1485</v>
      </c>
      <c r="B1621" s="1">
        <v>112.0</v>
      </c>
      <c r="C1621" s="1">
        <v>4554569.0</v>
      </c>
      <c r="D1621" s="1" t="s">
        <v>1059</v>
      </c>
      <c r="E1621" s="1" t="s">
        <v>1662</v>
      </c>
      <c r="F1621" s="1" t="s">
        <v>3459</v>
      </c>
      <c r="G1621" s="1">
        <v>8134.0</v>
      </c>
      <c r="H1621" s="1">
        <v>123.0</v>
      </c>
      <c r="I1621" s="1" t="s">
        <v>16</v>
      </c>
      <c r="J1621" s="1">
        <v>2.8E7</v>
      </c>
      <c r="K1621" s="1">
        <v>1999.0</v>
      </c>
      <c r="L1621" s="1">
        <v>6.9</v>
      </c>
      <c r="O1621" s="3"/>
      <c r="S1621" s="4"/>
    </row>
    <row r="1622" ht="14.25" customHeight="1">
      <c r="A1622" s="1" t="s">
        <v>3460</v>
      </c>
      <c r="B1622" s="1">
        <v>88.0</v>
      </c>
      <c r="C1622" s="1">
        <v>1.701619E7</v>
      </c>
      <c r="D1622" s="1" t="s">
        <v>3194</v>
      </c>
      <c r="E1622" s="1" t="s">
        <v>1219</v>
      </c>
      <c r="F1622" s="1" t="s">
        <v>3461</v>
      </c>
      <c r="G1622" s="1">
        <v>28632.0</v>
      </c>
      <c r="H1622" s="1">
        <v>214.0</v>
      </c>
      <c r="I1622" s="1" t="s">
        <v>16</v>
      </c>
      <c r="J1622" s="1">
        <v>1.2E7</v>
      </c>
      <c r="K1622" s="1">
        <v>2004.0</v>
      </c>
      <c r="L1622" s="1">
        <v>4.9</v>
      </c>
      <c r="O1622" s="3"/>
      <c r="S1622" s="4"/>
    </row>
    <row r="1623" ht="14.25" customHeight="1">
      <c r="A1623" s="1" t="s">
        <v>3462</v>
      </c>
      <c r="B1623" s="1">
        <v>94.0</v>
      </c>
      <c r="C1623" s="1">
        <v>6301131.0</v>
      </c>
      <c r="D1623" s="1" t="s">
        <v>932</v>
      </c>
      <c r="E1623" s="1" t="s">
        <v>2743</v>
      </c>
      <c r="F1623" s="1" t="s">
        <v>3463</v>
      </c>
      <c r="G1623" s="1">
        <v>92850.0</v>
      </c>
      <c r="H1623" s="1">
        <v>263.0</v>
      </c>
      <c r="I1623" s="1" t="s">
        <v>16</v>
      </c>
      <c r="J1623" s="1">
        <v>2.9E7</v>
      </c>
      <c r="K1623" s="1">
        <v>2005.0</v>
      </c>
      <c r="L1623" s="1">
        <v>7.1</v>
      </c>
      <c r="O1623" s="3"/>
      <c r="S1623" s="4"/>
    </row>
    <row r="1624" ht="14.25" customHeight="1">
      <c r="A1624" s="1" t="s">
        <v>691</v>
      </c>
      <c r="B1624" s="1">
        <v>90.0</v>
      </c>
      <c r="C1624" s="1">
        <v>2.17350219E8</v>
      </c>
      <c r="D1624" s="1" t="s">
        <v>38</v>
      </c>
      <c r="E1624" s="1" t="s">
        <v>346</v>
      </c>
      <c r="F1624" s="1" t="s">
        <v>3464</v>
      </c>
      <c r="G1624" s="1">
        <v>260939.0</v>
      </c>
      <c r="H1624" s="1">
        <v>244.0</v>
      </c>
      <c r="I1624" s="1" t="s">
        <v>16</v>
      </c>
      <c r="J1624" s="1">
        <v>2.8E7</v>
      </c>
      <c r="K1624" s="1">
        <v>1992.0</v>
      </c>
      <c r="L1624" s="1">
        <v>8.0</v>
      </c>
      <c r="O1624" s="3"/>
      <c r="S1624" s="4"/>
    </row>
    <row r="1625" ht="14.25" customHeight="1">
      <c r="A1625" s="1" t="s">
        <v>1258</v>
      </c>
      <c r="B1625" s="1">
        <v>167.0</v>
      </c>
      <c r="C1625" s="1">
        <v>1.6102927E8</v>
      </c>
      <c r="D1625" s="1" t="s">
        <v>3465</v>
      </c>
      <c r="E1625" s="1" t="s">
        <v>3466</v>
      </c>
      <c r="F1625" s="1" t="s">
        <v>3467</v>
      </c>
      <c r="G1625" s="1">
        <v>119928.0</v>
      </c>
      <c r="H1625" s="1">
        <v>331.0</v>
      </c>
      <c r="I1625" s="1" t="s">
        <v>16</v>
      </c>
      <c r="J1625" s="1">
        <v>2.8E7</v>
      </c>
      <c r="K1625" s="1">
        <v>2015.0</v>
      </c>
      <c r="L1625" s="1">
        <v>7.9</v>
      </c>
      <c r="O1625" s="3"/>
      <c r="S1625" s="4"/>
    </row>
    <row r="1626" ht="14.25" customHeight="1">
      <c r="A1626" s="1" t="s">
        <v>168</v>
      </c>
      <c r="B1626" s="1">
        <v>118.0</v>
      </c>
      <c r="C1626" s="1">
        <v>1.79870271E8</v>
      </c>
      <c r="D1626" s="1" t="s">
        <v>55</v>
      </c>
      <c r="E1626" s="1" t="s">
        <v>169</v>
      </c>
      <c r="F1626" s="1" t="s">
        <v>3468</v>
      </c>
      <c r="G1626" s="1">
        <v>329969.0</v>
      </c>
      <c r="H1626" s="1">
        <v>524.0</v>
      </c>
      <c r="I1626" s="1" t="s">
        <v>16</v>
      </c>
      <c r="J1626" s="1">
        <v>2.8E7</v>
      </c>
      <c r="K1626" s="1">
        <v>1984.0</v>
      </c>
      <c r="L1626" s="1">
        <v>7.6</v>
      </c>
      <c r="O1626" s="3"/>
      <c r="S1626" s="4"/>
    </row>
    <row r="1627" ht="14.25" customHeight="1">
      <c r="A1627" s="1" t="s">
        <v>3469</v>
      </c>
      <c r="B1627" s="1">
        <v>83.0</v>
      </c>
      <c r="C1627" s="1">
        <v>1.00491683E8</v>
      </c>
      <c r="D1627" s="1" t="s">
        <v>3470</v>
      </c>
      <c r="E1627" s="1" t="s">
        <v>3235</v>
      </c>
      <c r="F1627" s="1" t="s">
        <v>3471</v>
      </c>
      <c r="G1627" s="1">
        <v>14005.0</v>
      </c>
      <c r="H1627" s="1">
        <v>67.0</v>
      </c>
      <c r="I1627" s="1" t="s">
        <v>16</v>
      </c>
      <c r="J1627" s="1">
        <v>2.4E7</v>
      </c>
      <c r="K1627" s="1">
        <v>1998.0</v>
      </c>
      <c r="L1627" s="1">
        <v>5.9</v>
      </c>
      <c r="O1627" s="3"/>
      <c r="S1627" s="4"/>
    </row>
    <row r="1628" ht="14.25" customHeight="1">
      <c r="A1628" s="1" t="s">
        <v>408</v>
      </c>
      <c r="B1628" s="1">
        <v>104.0</v>
      </c>
      <c r="C1628" s="1">
        <v>7.4058698E7</v>
      </c>
      <c r="D1628" s="1" t="s">
        <v>901</v>
      </c>
      <c r="E1628" s="1" t="s">
        <v>600</v>
      </c>
      <c r="F1628" s="1" t="s">
        <v>3472</v>
      </c>
      <c r="G1628" s="1">
        <v>59232.0</v>
      </c>
      <c r="H1628" s="1">
        <v>317.0</v>
      </c>
      <c r="I1628" s="1" t="s">
        <v>16</v>
      </c>
      <c r="J1628" s="1">
        <v>6.0E7</v>
      </c>
      <c r="K1628" s="1">
        <v>2001.0</v>
      </c>
      <c r="L1628" s="1">
        <v>6.3</v>
      </c>
      <c r="O1628" s="3"/>
      <c r="S1628" s="4"/>
    </row>
    <row r="1629" ht="14.25" customHeight="1">
      <c r="A1629" s="1" t="s">
        <v>1980</v>
      </c>
      <c r="B1629" s="1">
        <v>102.0</v>
      </c>
      <c r="C1629" s="1">
        <v>5.5845943E7</v>
      </c>
      <c r="D1629" s="1" t="s">
        <v>146</v>
      </c>
      <c r="E1629" s="1" t="s">
        <v>19</v>
      </c>
      <c r="F1629" s="1" t="s">
        <v>3473</v>
      </c>
      <c r="G1629" s="1">
        <v>130094.0</v>
      </c>
      <c r="H1629" s="1">
        <v>471.0</v>
      </c>
      <c r="I1629" s="1" t="s">
        <v>16</v>
      </c>
      <c r="J1629" s="1">
        <v>2.9E7</v>
      </c>
      <c r="K1629" s="1">
        <v>2003.0</v>
      </c>
      <c r="L1629" s="1">
        <v>6.4</v>
      </c>
      <c r="O1629" s="3"/>
      <c r="S1629" s="4"/>
    </row>
    <row r="1630" ht="14.25" customHeight="1">
      <c r="A1630" s="1" t="s">
        <v>545</v>
      </c>
      <c r="B1630" s="1">
        <v>131.0</v>
      </c>
      <c r="C1630" s="1">
        <v>8.1350242E7</v>
      </c>
      <c r="D1630" s="1" t="s">
        <v>26</v>
      </c>
      <c r="E1630" s="1" t="s">
        <v>46</v>
      </c>
      <c r="F1630" s="1" t="s">
        <v>3474</v>
      </c>
      <c r="G1630" s="1">
        <v>592582.0</v>
      </c>
      <c r="H1630" s="1">
        <v>722.0</v>
      </c>
      <c r="I1630" s="1" t="s">
        <v>16</v>
      </c>
      <c r="J1630" s="1">
        <v>2.8E7</v>
      </c>
      <c r="K1630" s="1">
        <v>1988.0</v>
      </c>
      <c r="L1630" s="1">
        <v>8.2</v>
      </c>
      <c r="O1630" s="3"/>
      <c r="S1630" s="4"/>
    </row>
    <row r="1631" ht="14.25" customHeight="1">
      <c r="A1631" s="1" t="s">
        <v>3475</v>
      </c>
      <c r="B1631" s="1">
        <v>101.0</v>
      </c>
      <c r="C1631" s="1">
        <v>6.72663E7</v>
      </c>
      <c r="D1631" s="1" t="s">
        <v>828</v>
      </c>
      <c r="E1631" s="1" t="s">
        <v>3476</v>
      </c>
      <c r="F1631" s="1" t="s">
        <v>3477</v>
      </c>
      <c r="G1631" s="1">
        <v>195255.0</v>
      </c>
      <c r="H1631" s="1">
        <v>170.0</v>
      </c>
      <c r="I1631" s="1" t="s">
        <v>16</v>
      </c>
      <c r="J1631" s="1">
        <v>2.8E7</v>
      </c>
      <c r="K1631" s="1">
        <v>2008.0</v>
      </c>
      <c r="L1631" s="1">
        <v>6.9</v>
      </c>
      <c r="O1631" s="3"/>
      <c r="S1631" s="4"/>
    </row>
    <row r="1632" ht="14.25" customHeight="1">
      <c r="A1632" s="1" t="s">
        <v>727</v>
      </c>
      <c r="B1632" s="1">
        <v>130.0</v>
      </c>
      <c r="C1632" s="1">
        <v>7.0235322E7</v>
      </c>
      <c r="D1632" s="1" t="s">
        <v>1252</v>
      </c>
      <c r="E1632" s="1" t="s">
        <v>1717</v>
      </c>
      <c r="F1632" s="1" t="s">
        <v>3478</v>
      </c>
      <c r="G1632" s="1">
        <v>182983.0</v>
      </c>
      <c r="H1632" s="1">
        <v>374.0</v>
      </c>
      <c r="I1632" s="1" t="s">
        <v>16</v>
      </c>
      <c r="J1632" s="1">
        <v>2.8E7</v>
      </c>
      <c r="K1632" s="1">
        <v>2015.0</v>
      </c>
      <c r="L1632" s="1">
        <v>7.8</v>
      </c>
      <c r="O1632" s="3"/>
      <c r="S1632" s="4"/>
    </row>
    <row r="1633" ht="14.25" customHeight="1">
      <c r="A1633" s="1" t="s">
        <v>448</v>
      </c>
      <c r="B1633" s="1">
        <v>120.0</v>
      </c>
      <c r="C1633" s="1">
        <v>7443007.0</v>
      </c>
      <c r="D1633" s="1" t="s">
        <v>3479</v>
      </c>
      <c r="E1633" s="1" t="s">
        <v>2423</v>
      </c>
      <c r="F1633" s="1" t="s">
        <v>3480</v>
      </c>
      <c r="G1633" s="1">
        <v>24663.0</v>
      </c>
      <c r="H1633" s="1">
        <v>71.0</v>
      </c>
      <c r="I1633" s="1" t="s">
        <v>16</v>
      </c>
      <c r="J1633" s="1">
        <v>3.0E7</v>
      </c>
      <c r="K1633" s="1">
        <v>2009.0</v>
      </c>
      <c r="L1633" s="1">
        <v>6.7</v>
      </c>
      <c r="O1633" s="3"/>
      <c r="S1633" s="4"/>
    </row>
    <row r="1634" ht="14.25" customHeight="1">
      <c r="A1634" s="1" t="s">
        <v>3385</v>
      </c>
      <c r="B1634" s="1">
        <v>135.0</v>
      </c>
      <c r="C1634" s="1">
        <v>6.4371181E7</v>
      </c>
      <c r="D1634" s="1" t="s">
        <v>1723</v>
      </c>
      <c r="E1634" s="1" t="s">
        <v>3481</v>
      </c>
      <c r="F1634" s="1" t="s">
        <v>3482</v>
      </c>
      <c r="G1634" s="1">
        <v>36636.0</v>
      </c>
      <c r="H1634" s="1">
        <v>289.0</v>
      </c>
      <c r="I1634" s="1" t="s">
        <v>16</v>
      </c>
      <c r="J1634" s="1">
        <v>2.8E7</v>
      </c>
      <c r="K1634" s="1">
        <v>2004.0</v>
      </c>
      <c r="L1634" s="1">
        <v>7.5</v>
      </c>
      <c r="O1634" s="3"/>
      <c r="S1634" s="4"/>
    </row>
    <row r="1635" ht="14.25" customHeight="1">
      <c r="A1635" s="1" t="s">
        <v>48</v>
      </c>
      <c r="B1635" s="1">
        <v>110.0</v>
      </c>
      <c r="C1635" s="1">
        <v>5.8885635E7</v>
      </c>
      <c r="D1635" s="1" t="s">
        <v>1981</v>
      </c>
      <c r="E1635" s="1" t="s">
        <v>402</v>
      </c>
      <c r="F1635" s="1" t="s">
        <v>3483</v>
      </c>
      <c r="G1635" s="1">
        <v>194422.0</v>
      </c>
      <c r="H1635" s="1">
        <v>1057.0</v>
      </c>
      <c r="I1635" s="1" t="s">
        <v>16</v>
      </c>
      <c r="J1635" s="1">
        <v>2.6E7</v>
      </c>
      <c r="K1635" s="1">
        <v>2004.0</v>
      </c>
      <c r="L1635" s="1">
        <v>7.4</v>
      </c>
      <c r="O1635" s="3"/>
      <c r="S1635" s="4"/>
    </row>
    <row r="1636" ht="14.25" customHeight="1">
      <c r="A1636" s="1" t="s">
        <v>1087</v>
      </c>
      <c r="B1636" s="1">
        <v>103.0</v>
      </c>
      <c r="C1636" s="1">
        <v>6.0400856E7</v>
      </c>
      <c r="D1636" s="1" t="s">
        <v>699</v>
      </c>
      <c r="E1636" s="1" t="s">
        <v>285</v>
      </c>
      <c r="F1636" s="1" t="s">
        <v>3484</v>
      </c>
      <c r="G1636" s="1">
        <v>61317.0</v>
      </c>
      <c r="H1636" s="1">
        <v>229.0</v>
      </c>
      <c r="I1636" s="1" t="s">
        <v>16</v>
      </c>
      <c r="J1636" s="1">
        <v>3.5E7</v>
      </c>
      <c r="K1636" s="1">
        <v>2001.0</v>
      </c>
      <c r="L1636" s="1">
        <v>5.2</v>
      </c>
      <c r="O1636" s="3"/>
      <c r="S1636" s="4"/>
    </row>
    <row r="1637" ht="14.25" customHeight="1">
      <c r="A1637" s="1" t="s">
        <v>2161</v>
      </c>
      <c r="B1637" s="1">
        <v>110.0</v>
      </c>
      <c r="C1637" s="1">
        <v>5.2353636E7</v>
      </c>
      <c r="D1637" s="1" t="s">
        <v>1059</v>
      </c>
      <c r="E1637" s="1" t="s">
        <v>899</v>
      </c>
      <c r="F1637" s="1" t="s">
        <v>3485</v>
      </c>
      <c r="G1637" s="1">
        <v>209133.0</v>
      </c>
      <c r="H1637" s="1">
        <v>962.0</v>
      </c>
      <c r="I1637" s="1" t="s">
        <v>16</v>
      </c>
      <c r="J1637" s="1">
        <v>2.1E7</v>
      </c>
      <c r="K1637" s="1">
        <v>2001.0</v>
      </c>
      <c r="L1637" s="1">
        <v>7.6</v>
      </c>
      <c r="O1637" s="3"/>
      <c r="S1637" s="4"/>
    </row>
    <row r="1638" ht="14.25" customHeight="1">
      <c r="A1638" s="1" t="s">
        <v>596</v>
      </c>
      <c r="B1638" s="1">
        <v>91.0</v>
      </c>
      <c r="C1638" s="1">
        <v>5.1475962E7</v>
      </c>
      <c r="D1638" s="1" t="s">
        <v>362</v>
      </c>
      <c r="E1638" s="1" t="s">
        <v>2390</v>
      </c>
      <c r="F1638" s="1" t="s">
        <v>3486</v>
      </c>
      <c r="G1638" s="1">
        <v>177828.0</v>
      </c>
      <c r="H1638" s="1">
        <v>714.0</v>
      </c>
      <c r="I1638" s="1" t="s">
        <v>16</v>
      </c>
      <c r="J1638" s="1">
        <v>3.0E7</v>
      </c>
      <c r="K1638" s="1">
        <v>2003.0</v>
      </c>
      <c r="L1638" s="1">
        <v>7.3</v>
      </c>
      <c r="O1638" s="3"/>
      <c r="S1638" s="4"/>
    </row>
    <row r="1639" ht="14.25" customHeight="1">
      <c r="A1639" s="1" t="s">
        <v>300</v>
      </c>
      <c r="B1639" s="1">
        <v>105.0</v>
      </c>
      <c r="C1639" s="1">
        <v>6.3910583E7</v>
      </c>
      <c r="D1639" s="1" t="s">
        <v>699</v>
      </c>
      <c r="E1639" s="1" t="s">
        <v>725</v>
      </c>
      <c r="F1639" s="1" t="s">
        <v>3487</v>
      </c>
      <c r="G1639" s="1">
        <v>106755.0</v>
      </c>
      <c r="H1639" s="1">
        <v>173.0</v>
      </c>
      <c r="I1639" s="1" t="s">
        <v>16</v>
      </c>
      <c r="J1639" s="1">
        <v>2.8E7</v>
      </c>
      <c r="K1639" s="1">
        <v>2013.0</v>
      </c>
      <c r="L1639" s="1">
        <v>6.6</v>
      </c>
      <c r="O1639" s="3"/>
      <c r="S1639" s="4"/>
    </row>
    <row r="1640" ht="14.25" customHeight="1">
      <c r="A1640" s="1" t="s">
        <v>2444</v>
      </c>
      <c r="B1640" s="1">
        <v>127.0</v>
      </c>
      <c r="C1640" s="1">
        <v>6.23E7</v>
      </c>
      <c r="D1640" s="1" t="s">
        <v>22</v>
      </c>
      <c r="E1640" s="1" t="s">
        <v>3488</v>
      </c>
      <c r="F1640" s="1" t="s">
        <v>3489</v>
      </c>
      <c r="G1640" s="1">
        <v>72085.0</v>
      </c>
      <c r="H1640" s="1">
        <v>263.0</v>
      </c>
      <c r="I1640" s="1" t="s">
        <v>16</v>
      </c>
      <c r="J1640" s="1">
        <v>2.8E7</v>
      </c>
      <c r="K1640" s="1">
        <v>1981.0</v>
      </c>
      <c r="L1640" s="1">
        <v>6.8</v>
      </c>
      <c r="O1640" s="3"/>
      <c r="S1640" s="4"/>
    </row>
    <row r="1641" ht="14.25" customHeight="1">
      <c r="A1641" s="1" t="s">
        <v>698</v>
      </c>
      <c r="B1641" s="1">
        <v>82.0</v>
      </c>
      <c r="C1641" s="1">
        <v>4.9968653E7</v>
      </c>
      <c r="D1641" s="1" t="s">
        <v>699</v>
      </c>
      <c r="E1641" s="1" t="s">
        <v>3490</v>
      </c>
      <c r="F1641" s="1" t="s">
        <v>3491</v>
      </c>
      <c r="G1641" s="1">
        <v>85423.0</v>
      </c>
      <c r="H1641" s="1">
        <v>374.0</v>
      </c>
      <c r="I1641" s="1" t="s">
        <v>16</v>
      </c>
      <c r="J1641" s="1">
        <v>2.8E7</v>
      </c>
      <c r="K1641" s="1">
        <v>2001.0</v>
      </c>
      <c r="L1641" s="1">
        <v>6.9</v>
      </c>
      <c r="O1641" s="3"/>
      <c r="S1641" s="4"/>
    </row>
    <row r="1642" ht="14.25" customHeight="1">
      <c r="A1642" s="1" t="s">
        <v>758</v>
      </c>
      <c r="B1642" s="1">
        <v>99.0</v>
      </c>
      <c r="C1642" s="1">
        <v>4.445E7</v>
      </c>
      <c r="D1642" s="1" t="s">
        <v>587</v>
      </c>
      <c r="E1642" s="1" t="s">
        <v>3492</v>
      </c>
      <c r="F1642" s="1" t="s">
        <v>3493</v>
      </c>
      <c r="G1642" s="1">
        <v>44394.0</v>
      </c>
      <c r="H1642" s="1">
        <v>115.0</v>
      </c>
      <c r="I1642" s="1" t="s">
        <v>16</v>
      </c>
      <c r="J1642" s="1">
        <v>2.7E7</v>
      </c>
      <c r="K1642" s="1">
        <v>1994.0</v>
      </c>
      <c r="L1642" s="1">
        <v>5.8</v>
      </c>
      <c r="O1642" s="3"/>
      <c r="S1642" s="4"/>
    </row>
    <row r="1643" ht="14.25" customHeight="1">
      <c r="A1643" s="1" t="s">
        <v>894</v>
      </c>
      <c r="B1643" s="1">
        <v>90.0</v>
      </c>
      <c r="C1643" s="1">
        <v>4.5162741E7</v>
      </c>
      <c r="D1643" s="1" t="s">
        <v>828</v>
      </c>
      <c r="E1643" s="1" t="s">
        <v>831</v>
      </c>
      <c r="F1643" s="1" t="s">
        <v>3494</v>
      </c>
      <c r="G1643" s="1">
        <v>201084.0</v>
      </c>
      <c r="H1643" s="1">
        <v>523.0</v>
      </c>
      <c r="I1643" s="1" t="s">
        <v>16</v>
      </c>
      <c r="J1643" s="1">
        <v>2.8E7</v>
      </c>
      <c r="K1643" s="1">
        <v>2001.0</v>
      </c>
      <c r="L1643" s="1">
        <v>6.6</v>
      </c>
      <c r="O1643" s="3"/>
      <c r="S1643" s="4"/>
    </row>
    <row r="1644" ht="14.25" customHeight="1">
      <c r="A1644" s="1" t="s">
        <v>3025</v>
      </c>
      <c r="B1644" s="1">
        <v>115.0</v>
      </c>
      <c r="C1644" s="1">
        <v>7.134693E7</v>
      </c>
      <c r="D1644" s="1" t="s">
        <v>3495</v>
      </c>
      <c r="E1644" s="1" t="s">
        <v>3496</v>
      </c>
      <c r="F1644" s="1" t="s">
        <v>3497</v>
      </c>
      <c r="G1644" s="1">
        <v>78008.0</v>
      </c>
      <c r="H1644" s="1">
        <v>160.0</v>
      </c>
      <c r="I1644" s="1" t="s">
        <v>16</v>
      </c>
      <c r="J1644" s="1">
        <v>2.8E7</v>
      </c>
      <c r="K1644" s="1">
        <v>2013.0</v>
      </c>
      <c r="L1644" s="1">
        <v>6.7</v>
      </c>
      <c r="O1644" s="3"/>
      <c r="S1644" s="4"/>
    </row>
    <row r="1645" ht="14.25" customHeight="1">
      <c r="A1645" s="1" t="s">
        <v>1650</v>
      </c>
      <c r="B1645" s="1">
        <v>96.0</v>
      </c>
      <c r="C1645" s="1">
        <v>3.9514713E7</v>
      </c>
      <c r="D1645" s="1" t="s">
        <v>222</v>
      </c>
      <c r="E1645" s="1" t="s">
        <v>3498</v>
      </c>
      <c r="F1645" s="1" t="s">
        <v>3499</v>
      </c>
      <c r="G1645" s="1">
        <v>60494.0</v>
      </c>
      <c r="H1645" s="1">
        <v>132.0</v>
      </c>
      <c r="I1645" s="1" t="s">
        <v>16</v>
      </c>
      <c r="J1645" s="1">
        <v>2.8E7</v>
      </c>
      <c r="K1645" s="1">
        <v>1993.0</v>
      </c>
      <c r="L1645" s="1">
        <v>6.7</v>
      </c>
      <c r="O1645" s="3"/>
      <c r="S1645" s="4"/>
    </row>
    <row r="1646" ht="14.25" customHeight="1">
      <c r="A1646" s="1" t="s">
        <v>2866</v>
      </c>
      <c r="B1646" s="1">
        <v>104.0</v>
      </c>
      <c r="C1646" s="1">
        <v>4.3097652E7</v>
      </c>
      <c r="D1646" s="1" t="s">
        <v>593</v>
      </c>
      <c r="E1646" s="1" t="s">
        <v>3500</v>
      </c>
      <c r="F1646" s="1" t="s">
        <v>3501</v>
      </c>
      <c r="G1646" s="1">
        <v>59068.0</v>
      </c>
      <c r="H1646" s="1">
        <v>128.0</v>
      </c>
      <c r="I1646" s="1" t="s">
        <v>16</v>
      </c>
      <c r="J1646" s="1">
        <v>2.8E7</v>
      </c>
      <c r="K1646" s="1">
        <v>2007.0</v>
      </c>
      <c r="L1646" s="1">
        <v>6.3</v>
      </c>
      <c r="O1646" s="3"/>
      <c r="S1646" s="4"/>
    </row>
    <row r="1647" ht="14.25" customHeight="1">
      <c r="A1647" s="1" t="s">
        <v>295</v>
      </c>
      <c r="B1647" s="1">
        <v>117.0</v>
      </c>
      <c r="C1647" s="1">
        <v>4.8043505E7</v>
      </c>
      <c r="D1647" s="1" t="s">
        <v>907</v>
      </c>
      <c r="E1647" s="1" t="s">
        <v>3502</v>
      </c>
      <c r="F1647" s="1" t="s">
        <v>3503</v>
      </c>
      <c r="G1647" s="1">
        <v>435864.0</v>
      </c>
      <c r="H1647" s="1">
        <v>801.0</v>
      </c>
      <c r="I1647" s="1" t="s">
        <v>16</v>
      </c>
      <c r="J1647" s="1">
        <v>3.0E7</v>
      </c>
      <c r="K1647" s="1">
        <v>2010.0</v>
      </c>
      <c r="L1647" s="1">
        <v>7.7</v>
      </c>
      <c r="O1647" s="3"/>
      <c r="S1647" s="4"/>
    </row>
    <row r="1648" ht="14.25" customHeight="1">
      <c r="A1648" s="1" t="s">
        <v>1716</v>
      </c>
      <c r="B1648" s="1">
        <v>83.0</v>
      </c>
      <c r="C1648" s="1">
        <v>3.7053924E7</v>
      </c>
      <c r="D1648" s="1" t="s">
        <v>728</v>
      </c>
      <c r="E1648" s="1" t="s">
        <v>3504</v>
      </c>
      <c r="F1648" s="1" t="s">
        <v>3505</v>
      </c>
      <c r="G1648" s="1">
        <v>77935.0</v>
      </c>
      <c r="H1648" s="1">
        <v>122.0</v>
      </c>
      <c r="I1648" s="1" t="s">
        <v>16</v>
      </c>
      <c r="J1648" s="1">
        <v>2.8E7</v>
      </c>
      <c r="K1648" s="1">
        <v>2011.0</v>
      </c>
      <c r="L1648" s="1">
        <v>6.1</v>
      </c>
      <c r="O1648" s="3"/>
      <c r="S1648" s="4"/>
    </row>
    <row r="1649" ht="14.25" customHeight="1">
      <c r="A1649" s="1" t="s">
        <v>2205</v>
      </c>
      <c r="B1649" s="1">
        <v>99.0</v>
      </c>
      <c r="C1649" s="1">
        <v>3.3000377E7</v>
      </c>
      <c r="D1649" s="1" t="s">
        <v>3506</v>
      </c>
      <c r="E1649" s="1" t="s">
        <v>275</v>
      </c>
      <c r="F1649" s="1" t="s">
        <v>3507</v>
      </c>
      <c r="G1649" s="1">
        <v>27378.0</v>
      </c>
      <c r="H1649" s="1">
        <v>365.0</v>
      </c>
      <c r="I1649" s="1" t="s">
        <v>16</v>
      </c>
      <c r="J1649" s="1">
        <v>2.8E7</v>
      </c>
      <c r="K1649" s="1">
        <v>2000.0</v>
      </c>
      <c r="L1649" s="1">
        <v>4.9</v>
      </c>
      <c r="O1649" s="3"/>
      <c r="S1649" s="4"/>
    </row>
    <row r="1650" ht="14.25" customHeight="1">
      <c r="A1650" s="1" t="s">
        <v>3508</v>
      </c>
      <c r="B1650" s="1">
        <v>81.0</v>
      </c>
      <c r="C1650" s="1">
        <v>6.6950483E7</v>
      </c>
      <c r="D1650" s="1" t="s">
        <v>1247</v>
      </c>
      <c r="E1650" s="1" t="s">
        <v>918</v>
      </c>
      <c r="F1650" s="1" t="s">
        <v>3509</v>
      </c>
      <c r="G1650" s="1">
        <v>29738.0</v>
      </c>
      <c r="H1650" s="1">
        <v>85.0</v>
      </c>
      <c r="I1650" s="1" t="s">
        <v>16</v>
      </c>
      <c r="J1650" s="1">
        <v>2.8E7</v>
      </c>
      <c r="K1650" s="1">
        <v>2014.0</v>
      </c>
      <c r="L1650" s="1">
        <v>6.2</v>
      </c>
      <c r="O1650" s="3"/>
      <c r="S1650" s="4"/>
    </row>
    <row r="1651" ht="14.25" customHeight="1">
      <c r="A1651" s="1" t="s">
        <v>399</v>
      </c>
      <c r="B1651" s="1">
        <v>135.0</v>
      </c>
      <c r="C1651" s="1">
        <v>3.8372662E7</v>
      </c>
      <c r="D1651" s="1" t="s">
        <v>92</v>
      </c>
      <c r="E1651" s="1" t="s">
        <v>3510</v>
      </c>
      <c r="F1651" s="1" t="s">
        <v>3511</v>
      </c>
      <c r="G1651" s="1">
        <v>193455.0</v>
      </c>
      <c r="H1651" s="1">
        <v>1058.0</v>
      </c>
      <c r="I1651" s="1" t="s">
        <v>16</v>
      </c>
      <c r="J1651" s="1">
        <v>2.8E7</v>
      </c>
      <c r="K1651" s="1">
        <v>2005.0</v>
      </c>
      <c r="L1651" s="1">
        <v>7.8</v>
      </c>
      <c r="O1651" s="3"/>
      <c r="S1651" s="4"/>
    </row>
    <row r="1652" ht="14.25" customHeight="1">
      <c r="A1652" s="1" t="s">
        <v>80</v>
      </c>
      <c r="B1652" s="1">
        <v>117.0</v>
      </c>
      <c r="C1652" s="1">
        <v>2.7E7</v>
      </c>
      <c r="D1652" s="1" t="s">
        <v>1210</v>
      </c>
      <c r="E1652" s="1" t="s">
        <v>169</v>
      </c>
      <c r="F1652" s="1" t="s">
        <v>3512</v>
      </c>
      <c r="G1652" s="1">
        <v>461609.0</v>
      </c>
      <c r="H1652" s="1">
        <v>1168.0</v>
      </c>
      <c r="I1652" s="1" t="s">
        <v>16</v>
      </c>
      <c r="J1652" s="1">
        <v>2.8E7</v>
      </c>
      <c r="K1652" s="1">
        <v>1982.0</v>
      </c>
      <c r="L1652" s="1">
        <v>8.2</v>
      </c>
      <c r="O1652" s="3"/>
      <c r="S1652" s="4"/>
    </row>
    <row r="1653" ht="14.25" customHeight="1">
      <c r="A1653" s="1" t="s">
        <v>1437</v>
      </c>
      <c r="B1653" s="1">
        <v>139.0</v>
      </c>
      <c r="C1653" s="1">
        <v>3.16E7</v>
      </c>
      <c r="D1653" s="1" t="s">
        <v>3513</v>
      </c>
      <c r="E1653" s="1" t="s">
        <v>100</v>
      </c>
      <c r="F1653" s="1" t="s">
        <v>3514</v>
      </c>
      <c r="G1653" s="1">
        <v>34427.0</v>
      </c>
      <c r="H1653" s="1">
        <v>126.0</v>
      </c>
      <c r="I1653" s="1" t="s">
        <v>16</v>
      </c>
      <c r="J1653" s="1">
        <v>2.8E7</v>
      </c>
      <c r="K1653" s="1">
        <v>1995.0</v>
      </c>
      <c r="L1653" s="1">
        <v>6.9</v>
      </c>
      <c r="O1653" s="3"/>
      <c r="S1653" s="4"/>
    </row>
    <row r="1654" ht="14.25" customHeight="1">
      <c r="A1654" s="1" t="s">
        <v>142</v>
      </c>
      <c r="B1654" s="1">
        <v>123.0</v>
      </c>
      <c r="C1654" s="1">
        <v>3.0688364E7</v>
      </c>
      <c r="D1654" s="1" t="s">
        <v>392</v>
      </c>
      <c r="E1654" s="1" t="s">
        <v>1295</v>
      </c>
      <c r="F1654" s="1" t="s">
        <v>3515</v>
      </c>
      <c r="G1654" s="1">
        <v>69355.0</v>
      </c>
      <c r="H1654" s="1">
        <v>211.0</v>
      </c>
      <c r="I1654" s="1" t="s">
        <v>16</v>
      </c>
      <c r="J1654" s="1">
        <v>2.8E7</v>
      </c>
      <c r="K1654" s="1">
        <v>2014.0</v>
      </c>
      <c r="L1654" s="1">
        <v>6.2</v>
      </c>
      <c r="O1654" s="3"/>
      <c r="S1654" s="4"/>
    </row>
    <row r="1655" ht="14.25" customHeight="1">
      <c r="A1655" s="1" t="s">
        <v>3516</v>
      </c>
      <c r="B1655" s="1">
        <v>117.0</v>
      </c>
      <c r="C1655" s="1">
        <v>2.8563179E7</v>
      </c>
      <c r="D1655" s="1" t="s">
        <v>901</v>
      </c>
      <c r="E1655" s="1" t="s">
        <v>1057</v>
      </c>
      <c r="F1655" s="1" t="s">
        <v>3517</v>
      </c>
      <c r="G1655" s="1">
        <v>72693.0</v>
      </c>
      <c r="H1655" s="1">
        <v>199.0</v>
      </c>
      <c r="I1655" s="1" t="s">
        <v>16</v>
      </c>
      <c r="J1655" s="1">
        <v>2.1E7</v>
      </c>
      <c r="K1655" s="1">
        <v>2007.0</v>
      </c>
      <c r="L1655" s="1">
        <v>6.9</v>
      </c>
      <c r="O1655" s="3"/>
      <c r="S1655" s="4"/>
    </row>
    <row r="1656" ht="14.25" customHeight="1">
      <c r="A1656" s="1" t="s">
        <v>3518</v>
      </c>
      <c r="B1656" s="1">
        <v>97.0</v>
      </c>
      <c r="C1656" s="1">
        <v>1.6779636E7</v>
      </c>
      <c r="D1656" s="1" t="s">
        <v>1790</v>
      </c>
      <c r="E1656" s="1" t="s">
        <v>3519</v>
      </c>
      <c r="F1656" s="1" t="s">
        <v>3520</v>
      </c>
      <c r="G1656" s="1">
        <v>9338.0</v>
      </c>
      <c r="H1656" s="1">
        <v>167.0</v>
      </c>
      <c r="I1656" s="1" t="s">
        <v>16</v>
      </c>
      <c r="J1656" s="1">
        <v>2.8E7</v>
      </c>
      <c r="K1656" s="1">
        <v>2000.0</v>
      </c>
      <c r="L1656" s="1">
        <v>4.8</v>
      </c>
      <c r="O1656" s="3"/>
      <c r="S1656" s="4"/>
    </row>
    <row r="1657" ht="14.25" customHeight="1">
      <c r="A1657" s="1" t="s">
        <v>1185</v>
      </c>
      <c r="B1657" s="1">
        <v>81.0</v>
      </c>
      <c r="C1657" s="1">
        <v>1.0762178E7</v>
      </c>
      <c r="D1657" s="1" t="s">
        <v>3521</v>
      </c>
      <c r="E1657" s="1" t="s">
        <v>1185</v>
      </c>
      <c r="F1657" s="1" t="s">
        <v>3522</v>
      </c>
      <c r="G1657" s="1">
        <v>10369.0</v>
      </c>
      <c r="H1657" s="1">
        <v>153.0</v>
      </c>
      <c r="I1657" s="1" t="s">
        <v>16</v>
      </c>
      <c r="J1657" s="1">
        <v>1.6E8</v>
      </c>
      <c r="K1657" s="1">
        <v>2001.0</v>
      </c>
      <c r="L1657" s="1">
        <v>8.0</v>
      </c>
      <c r="O1657" s="3"/>
      <c r="S1657" s="4"/>
    </row>
    <row r="1658" ht="14.25" customHeight="1">
      <c r="A1658" s="1" t="s">
        <v>1727</v>
      </c>
      <c r="B1658" s="1">
        <v>103.0</v>
      </c>
      <c r="C1658" s="1">
        <v>1.7324744E7</v>
      </c>
      <c r="D1658" s="1" t="s">
        <v>1481</v>
      </c>
      <c r="E1658" s="1" t="s">
        <v>3523</v>
      </c>
      <c r="F1658" s="1" t="s">
        <v>3524</v>
      </c>
      <c r="G1658" s="1">
        <v>44103.0</v>
      </c>
      <c r="H1658" s="1">
        <v>149.0</v>
      </c>
      <c r="I1658" s="1" t="s">
        <v>16</v>
      </c>
      <c r="J1658" s="1">
        <v>2.8E7</v>
      </c>
      <c r="K1658" s="1">
        <v>2006.0</v>
      </c>
      <c r="L1658" s="1">
        <v>5.3</v>
      </c>
      <c r="O1658" s="3"/>
      <c r="S1658" s="4"/>
    </row>
    <row r="1659" ht="14.25" customHeight="1">
      <c r="A1659" s="1" t="s">
        <v>827</v>
      </c>
      <c r="B1659" s="1">
        <v>119.0</v>
      </c>
      <c r="C1659" s="1">
        <v>8888143.0</v>
      </c>
      <c r="D1659" s="1" t="s">
        <v>2500</v>
      </c>
      <c r="E1659" s="1" t="s">
        <v>3525</v>
      </c>
      <c r="F1659" s="1" t="s">
        <v>3526</v>
      </c>
      <c r="G1659" s="1">
        <v>22250.0</v>
      </c>
      <c r="H1659" s="1">
        <v>123.0</v>
      </c>
      <c r="I1659" s="1" t="s">
        <v>16</v>
      </c>
      <c r="J1659" s="1">
        <v>2.8E7</v>
      </c>
      <c r="K1659" s="1">
        <v>1999.0</v>
      </c>
      <c r="L1659" s="1">
        <v>6.7</v>
      </c>
      <c r="O1659" s="3"/>
      <c r="S1659" s="4"/>
    </row>
    <row r="1660" ht="14.25" customHeight="1">
      <c r="A1660" s="1" t="s">
        <v>1669</v>
      </c>
      <c r="B1660" s="1">
        <v>94.0</v>
      </c>
      <c r="C1660" s="1">
        <v>2.4268828E7</v>
      </c>
      <c r="D1660" s="1" t="s">
        <v>3527</v>
      </c>
      <c r="E1660" s="1" t="s">
        <v>1893</v>
      </c>
      <c r="F1660" s="1" t="s">
        <v>3528</v>
      </c>
      <c r="G1660" s="1">
        <v>29971.0</v>
      </c>
      <c r="H1660" s="1">
        <v>71.0</v>
      </c>
      <c r="I1660" s="1" t="s">
        <v>16</v>
      </c>
      <c r="J1660" s="1">
        <v>2.8E7</v>
      </c>
      <c r="K1660" s="1">
        <v>2010.0</v>
      </c>
      <c r="L1660" s="1">
        <v>5.4</v>
      </c>
      <c r="O1660" s="3"/>
      <c r="S1660" s="4"/>
    </row>
    <row r="1661" ht="14.25" customHeight="1">
      <c r="A1661" s="1" t="s">
        <v>3529</v>
      </c>
      <c r="B1661" s="1">
        <v>89.0</v>
      </c>
      <c r="C1661" s="1">
        <v>8119205.0</v>
      </c>
      <c r="D1661" s="1" t="s">
        <v>222</v>
      </c>
      <c r="E1661" s="1" t="s">
        <v>3530</v>
      </c>
      <c r="F1661" s="1" t="s">
        <v>3531</v>
      </c>
      <c r="G1661" s="1">
        <v>4288.0</v>
      </c>
      <c r="H1661" s="1">
        <v>21.0</v>
      </c>
      <c r="I1661" s="1" t="s">
        <v>16</v>
      </c>
      <c r="J1661" s="1">
        <v>2.8E7</v>
      </c>
      <c r="K1661" s="1">
        <v>1997.0</v>
      </c>
      <c r="L1661" s="1">
        <v>5.4</v>
      </c>
      <c r="O1661" s="3"/>
      <c r="S1661" s="4"/>
    </row>
    <row r="1662" ht="14.25" customHeight="1">
      <c r="A1662" s="1" t="s">
        <v>2158</v>
      </c>
      <c r="B1662" s="1">
        <v>98.0</v>
      </c>
      <c r="C1662" s="1">
        <v>8434601.0</v>
      </c>
      <c r="D1662" s="1" t="s">
        <v>1701</v>
      </c>
      <c r="E1662" s="1" t="s">
        <v>147</v>
      </c>
      <c r="F1662" s="1" t="s">
        <v>3532</v>
      </c>
      <c r="G1662" s="1">
        <v>43006.0</v>
      </c>
      <c r="H1662" s="1">
        <v>460.0</v>
      </c>
      <c r="I1662" s="1" t="s">
        <v>16</v>
      </c>
      <c r="J1662" s="1">
        <v>2.8E7</v>
      </c>
      <c r="K1662" s="1">
        <v>2001.0</v>
      </c>
      <c r="L1662" s="1">
        <v>4.9</v>
      </c>
      <c r="O1662" s="3"/>
      <c r="S1662" s="4"/>
    </row>
    <row r="1663" ht="14.25" customHeight="1">
      <c r="A1663" s="1" t="s">
        <v>2176</v>
      </c>
      <c r="B1663" s="1">
        <v>107.0</v>
      </c>
      <c r="C1663" s="1">
        <v>6998324.0</v>
      </c>
      <c r="D1663" s="1" t="s">
        <v>1059</v>
      </c>
      <c r="E1663" s="1" t="s">
        <v>3533</v>
      </c>
      <c r="F1663" s="1" t="s">
        <v>3534</v>
      </c>
      <c r="G1663" s="1">
        <v>11476.0</v>
      </c>
      <c r="H1663" s="1">
        <v>50.0</v>
      </c>
      <c r="I1663" s="1" t="s">
        <v>16</v>
      </c>
      <c r="J1663" s="1">
        <v>2.8E7</v>
      </c>
      <c r="K1663" s="1">
        <v>2015.0</v>
      </c>
      <c r="L1663" s="1">
        <v>6.1</v>
      </c>
      <c r="O1663" s="3"/>
      <c r="S1663" s="4"/>
    </row>
    <row r="1664" ht="14.25" customHeight="1">
      <c r="A1664" s="1" t="s">
        <v>2417</v>
      </c>
      <c r="B1664" s="1">
        <v>108.0</v>
      </c>
      <c r="C1664" s="1">
        <v>1.0907291E7</v>
      </c>
      <c r="D1664" s="1" t="s">
        <v>3535</v>
      </c>
      <c r="E1664" s="1" t="s">
        <v>3536</v>
      </c>
      <c r="F1664" s="1" t="s">
        <v>3537</v>
      </c>
      <c r="G1664" s="1">
        <v>23775.0</v>
      </c>
      <c r="H1664" s="1">
        <v>134.0</v>
      </c>
      <c r="I1664" s="1" t="s">
        <v>16</v>
      </c>
      <c r="J1664" s="1">
        <v>2.8E7</v>
      </c>
      <c r="K1664" s="1">
        <v>2016.0</v>
      </c>
      <c r="L1664" s="1">
        <v>5.8</v>
      </c>
      <c r="O1664" s="3"/>
      <c r="S1664" s="4"/>
    </row>
    <row r="1665" ht="14.25" customHeight="1">
      <c r="A1665" s="1" t="s">
        <v>208</v>
      </c>
      <c r="B1665" s="1">
        <v>134.0</v>
      </c>
      <c r="C1665" s="1">
        <v>5532301.0</v>
      </c>
      <c r="D1665" s="1" t="s">
        <v>1323</v>
      </c>
      <c r="E1665" s="1" t="s">
        <v>3538</v>
      </c>
      <c r="F1665" s="1" t="s">
        <v>3539</v>
      </c>
      <c r="G1665" s="1">
        <v>21606.0</v>
      </c>
      <c r="H1665" s="1">
        <v>117.0</v>
      </c>
      <c r="I1665" s="1" t="s">
        <v>16</v>
      </c>
      <c r="J1665" s="1">
        <v>2.8E7</v>
      </c>
      <c r="K1665" s="1">
        <v>1997.0</v>
      </c>
      <c r="L1665" s="1">
        <v>7.0</v>
      </c>
      <c r="O1665" s="3"/>
      <c r="S1665" s="4"/>
    </row>
    <row r="1666" ht="14.25" customHeight="1">
      <c r="A1666" s="1" t="s">
        <v>3540</v>
      </c>
      <c r="B1666" s="1">
        <v>110.0</v>
      </c>
      <c r="C1666" s="1">
        <v>2775593.0</v>
      </c>
      <c r="D1666" s="1" t="s">
        <v>593</v>
      </c>
      <c r="E1666" s="1" t="s">
        <v>648</v>
      </c>
      <c r="F1666" s="1" t="s">
        <v>3541</v>
      </c>
      <c r="G1666" s="1">
        <v>61269.0</v>
      </c>
      <c r="H1666" s="1">
        <v>98.0</v>
      </c>
      <c r="I1666" s="1" t="s">
        <v>16</v>
      </c>
      <c r="J1666" s="1">
        <v>2.7E7</v>
      </c>
      <c r="K1666" s="1">
        <v>2008.0</v>
      </c>
      <c r="L1666" s="1">
        <v>6.5</v>
      </c>
      <c r="O1666" s="3"/>
      <c r="S1666" s="4"/>
    </row>
    <row r="1667" ht="14.25" customHeight="1">
      <c r="A1667" s="1" t="s">
        <v>3542</v>
      </c>
      <c r="B1667" s="1">
        <v>103.0</v>
      </c>
      <c r="C1667" s="1">
        <v>2.8751715E7</v>
      </c>
      <c r="D1667" s="1" t="s">
        <v>728</v>
      </c>
      <c r="E1667" s="1" t="s">
        <v>210</v>
      </c>
      <c r="F1667" s="1" t="s">
        <v>3543</v>
      </c>
      <c r="G1667" s="1">
        <v>202967.0</v>
      </c>
      <c r="H1667" s="1">
        <v>378.0</v>
      </c>
      <c r="I1667" s="1" t="s">
        <v>16</v>
      </c>
      <c r="J1667" s="1">
        <v>2.8E7</v>
      </c>
      <c r="K1667" s="1">
        <v>2013.0</v>
      </c>
      <c r="L1667" s="1">
        <v>6.6</v>
      </c>
      <c r="O1667" s="3"/>
      <c r="S1667" s="4"/>
    </row>
    <row r="1668" ht="14.25" customHeight="1">
      <c r="A1668" s="1" t="s">
        <v>3544</v>
      </c>
      <c r="B1668" s="1">
        <v>100.0</v>
      </c>
      <c r="C1668" s="1">
        <v>2.0285518E7</v>
      </c>
      <c r="D1668" s="1" t="s">
        <v>197</v>
      </c>
      <c r="E1668" s="1" t="s">
        <v>289</v>
      </c>
      <c r="F1668" s="1" t="s">
        <v>3545</v>
      </c>
      <c r="G1668" s="1">
        <v>32103.0</v>
      </c>
      <c r="H1668" s="1">
        <v>112.0</v>
      </c>
      <c r="I1668" s="1" t="s">
        <v>16</v>
      </c>
      <c r="J1668" s="1">
        <v>2.8E7</v>
      </c>
      <c r="K1668" s="1">
        <v>2014.0</v>
      </c>
      <c r="L1668" s="1">
        <v>5.7</v>
      </c>
      <c r="O1668" s="3"/>
      <c r="S1668" s="4"/>
    </row>
    <row r="1669" ht="14.25" customHeight="1">
      <c r="A1669" s="1" t="s">
        <v>2444</v>
      </c>
      <c r="B1669" s="1">
        <v>131.0</v>
      </c>
      <c r="C1669" s="1">
        <v>6.79E7</v>
      </c>
      <c r="D1669" s="1" t="s">
        <v>22</v>
      </c>
      <c r="E1669" s="1" t="s">
        <v>3546</v>
      </c>
      <c r="F1669" s="1" t="s">
        <v>3547</v>
      </c>
      <c r="G1669" s="1">
        <v>74374.0</v>
      </c>
      <c r="H1669" s="1">
        <v>225.0</v>
      </c>
      <c r="I1669" s="1" t="s">
        <v>16</v>
      </c>
      <c r="J1669" s="1">
        <v>2.75E7</v>
      </c>
      <c r="K1669" s="1">
        <v>1983.0</v>
      </c>
      <c r="L1669" s="1">
        <v>6.6</v>
      </c>
      <c r="O1669" s="3"/>
      <c r="S1669" s="4"/>
    </row>
    <row r="1670" ht="14.25" customHeight="1">
      <c r="A1670" s="1" t="s">
        <v>1314</v>
      </c>
      <c r="B1670" s="1">
        <v>133.0</v>
      </c>
      <c r="C1670" s="1">
        <v>1.48734225E8</v>
      </c>
      <c r="D1670" s="1" t="s">
        <v>699</v>
      </c>
      <c r="E1670" s="1" t="s">
        <v>1719</v>
      </c>
      <c r="F1670" s="1" t="s">
        <v>3548</v>
      </c>
      <c r="G1670" s="1">
        <v>298590.0</v>
      </c>
      <c r="H1670" s="1">
        <v>559.0</v>
      </c>
      <c r="I1670" s="1" t="s">
        <v>16</v>
      </c>
      <c r="J1670" s="1">
        <v>3.0E7</v>
      </c>
      <c r="K1670" s="1">
        <v>2007.0</v>
      </c>
      <c r="L1670" s="1">
        <v>7.0</v>
      </c>
      <c r="O1670" s="3"/>
      <c r="S1670" s="4"/>
    </row>
    <row r="1671" ht="14.25" customHeight="1">
      <c r="A1671" s="1" t="s">
        <v>2549</v>
      </c>
      <c r="B1671" s="1">
        <v>109.0</v>
      </c>
      <c r="C1671" s="1">
        <v>4.9185998E7</v>
      </c>
      <c r="D1671" s="1" t="s">
        <v>1391</v>
      </c>
      <c r="E1671" s="1" t="s">
        <v>671</v>
      </c>
      <c r="F1671" s="1" t="s">
        <v>3549</v>
      </c>
      <c r="G1671" s="1">
        <v>74476.0</v>
      </c>
      <c r="H1671" s="1">
        <v>184.0</v>
      </c>
      <c r="I1671" s="1" t="s">
        <v>16</v>
      </c>
      <c r="J1671" s="1">
        <v>3.0E7</v>
      </c>
      <c r="K1671" s="1">
        <v>2009.0</v>
      </c>
      <c r="L1671" s="1">
        <v>7.4</v>
      </c>
      <c r="O1671" s="3"/>
      <c r="S1671" s="4"/>
    </row>
    <row r="1672" ht="14.25" customHeight="1">
      <c r="A1672" s="1" t="s">
        <v>3550</v>
      </c>
      <c r="B1672" s="1">
        <v>114.0</v>
      </c>
      <c r="C1672" s="1">
        <v>4.2168445E7</v>
      </c>
      <c r="D1672" s="1" t="s">
        <v>593</v>
      </c>
      <c r="E1672" s="1" t="s">
        <v>2803</v>
      </c>
      <c r="F1672" s="1" t="s">
        <v>3551</v>
      </c>
      <c r="G1672" s="1">
        <v>10791.0</v>
      </c>
      <c r="H1672" s="1">
        <v>39.0</v>
      </c>
      <c r="I1672" s="1" t="s">
        <v>16</v>
      </c>
      <c r="J1672" s="1">
        <v>3.5E7</v>
      </c>
      <c r="K1672" s="1">
        <v>2008.0</v>
      </c>
      <c r="L1672" s="1">
        <v>5.3</v>
      </c>
      <c r="O1672" s="3"/>
      <c r="S1672" s="4"/>
    </row>
    <row r="1673" ht="14.25" customHeight="1">
      <c r="A1673" s="1" t="s">
        <v>3552</v>
      </c>
      <c r="B1673" s="1">
        <v>164.0</v>
      </c>
      <c r="C1673" s="1">
        <v>2.64E7</v>
      </c>
      <c r="D1673" s="1" t="s">
        <v>1490</v>
      </c>
      <c r="E1673" s="1" t="s">
        <v>3553</v>
      </c>
      <c r="F1673" s="1" t="s">
        <v>3554</v>
      </c>
      <c r="G1673" s="1">
        <v>12980.0</v>
      </c>
      <c r="H1673" s="1">
        <v>89.0</v>
      </c>
      <c r="I1673" s="1" t="s">
        <v>16</v>
      </c>
      <c r="J1673" s="1">
        <v>1.6E7</v>
      </c>
      <c r="K1673" s="1">
        <v>1984.0</v>
      </c>
      <c r="L1673" s="1">
        <v>7.4</v>
      </c>
      <c r="O1673" s="3"/>
      <c r="S1673" s="4"/>
    </row>
    <row r="1674" ht="14.25" customHeight="1">
      <c r="A1674" s="1" t="s">
        <v>3555</v>
      </c>
      <c r="B1674" s="1">
        <v>92.0</v>
      </c>
      <c r="C1674" s="1">
        <v>1.750867E7</v>
      </c>
      <c r="D1674" s="1" t="s">
        <v>2126</v>
      </c>
      <c r="E1674" s="1" t="s">
        <v>3556</v>
      </c>
      <c r="F1674" s="1" t="s">
        <v>3557</v>
      </c>
      <c r="G1674" s="1">
        <v>64625.0</v>
      </c>
      <c r="H1674" s="1">
        <v>281.0</v>
      </c>
      <c r="I1674" s="1" t="s">
        <v>16</v>
      </c>
      <c r="J1674" s="1">
        <v>1.5E7</v>
      </c>
      <c r="K1674" s="1">
        <v>2006.0</v>
      </c>
      <c r="L1674" s="1">
        <v>7.4</v>
      </c>
      <c r="O1674" s="3"/>
      <c r="S1674" s="4"/>
    </row>
    <row r="1675" ht="14.25" customHeight="1">
      <c r="A1675" s="1" t="s">
        <v>348</v>
      </c>
      <c r="B1675" s="1">
        <v>122.0</v>
      </c>
      <c r="C1675" s="1">
        <v>9664316.0</v>
      </c>
      <c r="D1675" s="1" t="s">
        <v>1654</v>
      </c>
      <c r="E1675" s="1" t="s">
        <v>35</v>
      </c>
      <c r="F1675" s="1" t="s">
        <v>3558</v>
      </c>
      <c r="G1675" s="1">
        <v>47203.0</v>
      </c>
      <c r="H1675" s="1">
        <v>197.0</v>
      </c>
      <c r="I1675" s="1" t="s">
        <v>16</v>
      </c>
      <c r="J1675" s="1">
        <v>2.75E7</v>
      </c>
      <c r="K1675" s="1">
        <v>2007.0</v>
      </c>
      <c r="L1675" s="1">
        <v>6.8</v>
      </c>
      <c r="O1675" s="3"/>
      <c r="S1675" s="4"/>
    </row>
    <row r="1676" ht="14.25" customHeight="1">
      <c r="A1676" s="1" t="s">
        <v>3559</v>
      </c>
      <c r="B1676" s="1">
        <v>110.0</v>
      </c>
      <c r="C1676" s="1">
        <v>7.4888996E7</v>
      </c>
      <c r="D1676" s="1" t="s">
        <v>99</v>
      </c>
      <c r="E1676" s="1" t="s">
        <v>914</v>
      </c>
      <c r="F1676" s="1" t="s">
        <v>3560</v>
      </c>
      <c r="G1676" s="1">
        <v>55513.0</v>
      </c>
      <c r="H1676" s="1">
        <v>188.0</v>
      </c>
      <c r="I1676" s="1" t="s">
        <v>16</v>
      </c>
      <c r="J1676" s="1">
        <v>3.0E7</v>
      </c>
      <c r="K1676" s="1">
        <v>1991.0</v>
      </c>
      <c r="L1676" s="1">
        <v>7.2</v>
      </c>
      <c r="O1676" s="3"/>
      <c r="S1676" s="4"/>
    </row>
    <row r="1677" ht="14.25" customHeight="1">
      <c r="A1677" s="1" t="s">
        <v>3561</v>
      </c>
      <c r="B1677" s="1">
        <v>116.0</v>
      </c>
      <c r="C1677" s="1">
        <v>6.9586544E7</v>
      </c>
      <c r="D1677" s="1" t="s">
        <v>1391</v>
      </c>
      <c r="E1677" s="1" t="s">
        <v>3562</v>
      </c>
      <c r="F1677" s="1" t="s">
        <v>3563</v>
      </c>
      <c r="G1677" s="1">
        <v>15352.0</v>
      </c>
      <c r="H1677" s="1">
        <v>199.0</v>
      </c>
      <c r="I1677" s="1" t="s">
        <v>16</v>
      </c>
      <c r="J1677" s="1">
        <v>2.7E7</v>
      </c>
      <c r="K1677" s="1">
        <v>2002.0</v>
      </c>
      <c r="L1677" s="1">
        <v>6.0</v>
      </c>
      <c r="O1677" s="3"/>
      <c r="S1677" s="4"/>
    </row>
    <row r="1678" ht="14.25" customHeight="1">
      <c r="A1678" s="1" t="s">
        <v>206</v>
      </c>
      <c r="B1678" s="1">
        <v>106.0</v>
      </c>
      <c r="C1678" s="1">
        <v>3.62645141E8</v>
      </c>
      <c r="D1678" s="1" t="s">
        <v>236</v>
      </c>
      <c r="E1678" s="1" t="s">
        <v>237</v>
      </c>
      <c r="F1678" s="1" t="s">
        <v>238</v>
      </c>
      <c r="G1678" s="1">
        <v>106221.0</v>
      </c>
      <c r="H1678" s="1">
        <v>398.0</v>
      </c>
      <c r="I1678" s="1" t="s">
        <v>16</v>
      </c>
      <c r="J1678" s="1">
        <v>1.75E8</v>
      </c>
      <c r="K1678" s="1">
        <v>2016.0</v>
      </c>
      <c r="L1678" s="1">
        <v>7.8</v>
      </c>
      <c r="O1678" s="3"/>
      <c r="S1678" s="4"/>
    </row>
    <row r="1679" ht="14.25" customHeight="1">
      <c r="A1679" s="1" t="s">
        <v>2081</v>
      </c>
      <c r="B1679" s="1">
        <v>115.0</v>
      </c>
      <c r="C1679" s="1">
        <v>6.049156E7</v>
      </c>
      <c r="D1679" s="1" t="s">
        <v>909</v>
      </c>
      <c r="E1679" s="1" t="s">
        <v>600</v>
      </c>
      <c r="F1679" s="1" t="s">
        <v>3564</v>
      </c>
      <c r="G1679" s="1">
        <v>50653.0</v>
      </c>
      <c r="H1679" s="1">
        <v>143.0</v>
      </c>
      <c r="I1679" s="1" t="s">
        <v>16</v>
      </c>
      <c r="J1679" s="1">
        <v>2.7E7</v>
      </c>
      <c r="K1679" s="1">
        <v>1997.0</v>
      </c>
      <c r="L1679" s="1">
        <v>6.6</v>
      </c>
      <c r="O1679" s="3"/>
      <c r="S1679" s="4"/>
    </row>
    <row r="1680" ht="14.25" customHeight="1">
      <c r="A1680" s="1" t="s">
        <v>2114</v>
      </c>
      <c r="B1680" s="1">
        <v>148.0</v>
      </c>
      <c r="C1680" s="1">
        <v>5.42E7</v>
      </c>
      <c r="D1680" s="1" t="s">
        <v>3565</v>
      </c>
      <c r="E1680" s="1" t="s">
        <v>3566</v>
      </c>
      <c r="F1680" s="1" t="s">
        <v>3567</v>
      </c>
      <c r="G1680" s="1">
        <v>142448.0</v>
      </c>
      <c r="H1680" s="1">
        <v>319.0</v>
      </c>
      <c r="I1680" s="1" t="s">
        <v>16</v>
      </c>
      <c r="J1680" s="1">
        <v>2.7E7</v>
      </c>
      <c r="K1680" s="1">
        <v>1980.0</v>
      </c>
      <c r="L1680" s="1">
        <v>7.9</v>
      </c>
      <c r="O1680" s="3"/>
      <c r="S1680" s="4"/>
    </row>
    <row r="1681" ht="14.25" customHeight="1">
      <c r="A1681" s="1" t="s">
        <v>3568</v>
      </c>
      <c r="B1681" s="1">
        <v>118.0</v>
      </c>
      <c r="C1681" s="1">
        <v>3.0920167E7</v>
      </c>
      <c r="D1681" s="1" t="s">
        <v>3022</v>
      </c>
      <c r="E1681" s="1" t="s">
        <v>3569</v>
      </c>
      <c r="F1681" s="1" t="s">
        <v>3570</v>
      </c>
      <c r="G1681" s="1">
        <v>6476.0</v>
      </c>
      <c r="H1681" s="1">
        <v>71.0</v>
      </c>
      <c r="I1681" s="1" t="s">
        <v>16</v>
      </c>
      <c r="J1681" s="1">
        <v>2.5E7</v>
      </c>
      <c r="K1681" s="1">
        <v>2012.0</v>
      </c>
      <c r="L1681" s="1">
        <v>5.7</v>
      </c>
      <c r="O1681" s="3"/>
      <c r="S1681" s="4"/>
    </row>
    <row r="1682" ht="14.25" customHeight="1">
      <c r="A1682" s="1" t="s">
        <v>85</v>
      </c>
      <c r="B1682" s="1">
        <v>101.0</v>
      </c>
      <c r="C1682" s="1">
        <v>4.0566655E7</v>
      </c>
      <c r="D1682" s="1" t="s">
        <v>593</v>
      </c>
      <c r="E1682" s="1" t="s">
        <v>3571</v>
      </c>
      <c r="F1682" s="1" t="s">
        <v>3572</v>
      </c>
      <c r="G1682" s="1">
        <v>144021.0</v>
      </c>
      <c r="H1682" s="1">
        <v>391.0</v>
      </c>
      <c r="I1682" s="1" t="s">
        <v>16</v>
      </c>
      <c r="J1682" s="1">
        <v>3.0E7</v>
      </c>
      <c r="K1682" s="1">
        <v>2002.0</v>
      </c>
      <c r="L1682" s="1">
        <v>7.1</v>
      </c>
      <c r="O1682" s="3"/>
      <c r="S1682" s="4"/>
    </row>
    <row r="1683" ht="14.25" customHeight="1">
      <c r="A1683" s="1" t="s">
        <v>2814</v>
      </c>
      <c r="B1683" s="1">
        <v>82.0</v>
      </c>
      <c r="C1683" s="1">
        <v>3.1768374E7</v>
      </c>
      <c r="D1683" s="1" t="s">
        <v>3373</v>
      </c>
      <c r="E1683" s="1" t="s">
        <v>184</v>
      </c>
      <c r="F1683" s="1" t="s">
        <v>3573</v>
      </c>
      <c r="G1683" s="1">
        <v>42761.0</v>
      </c>
      <c r="H1683" s="1">
        <v>366.0</v>
      </c>
      <c r="I1683" s="1" t="s">
        <v>16</v>
      </c>
      <c r="J1683" s="1">
        <v>2.7E7</v>
      </c>
      <c r="K1683" s="1">
        <v>1999.0</v>
      </c>
      <c r="L1683" s="1">
        <v>5.6</v>
      </c>
      <c r="O1683" s="3"/>
      <c r="S1683" s="4"/>
    </row>
    <row r="1684" ht="14.25" customHeight="1">
      <c r="A1684" s="1" t="s">
        <v>2407</v>
      </c>
      <c r="B1684" s="1">
        <v>110.0</v>
      </c>
      <c r="C1684" s="1">
        <v>2.2494487E7</v>
      </c>
      <c r="D1684" s="1" t="s">
        <v>909</v>
      </c>
      <c r="E1684" s="1" t="s">
        <v>415</v>
      </c>
      <c r="F1684" s="1" t="s">
        <v>3574</v>
      </c>
      <c r="G1684" s="1">
        <v>262153.0</v>
      </c>
      <c r="H1684" s="1">
        <v>507.0</v>
      </c>
      <c r="I1684" s="1" t="s">
        <v>16</v>
      </c>
      <c r="J1684" s="1">
        <v>2.7E7</v>
      </c>
      <c r="K1684" s="1">
        <v>2006.0</v>
      </c>
      <c r="L1684" s="1">
        <v>7.8</v>
      </c>
      <c r="O1684" s="3"/>
      <c r="S1684" s="4"/>
    </row>
    <row r="1685" ht="14.25" customHeight="1">
      <c r="A1685" s="1" t="s">
        <v>3575</v>
      </c>
      <c r="B1685" s="1">
        <v>193.0</v>
      </c>
      <c r="C1685" s="1">
        <v>2.15E7</v>
      </c>
      <c r="D1685" s="1" t="s">
        <v>1490</v>
      </c>
      <c r="E1685" s="1" t="s">
        <v>870</v>
      </c>
      <c r="F1685" s="1" t="s">
        <v>3576</v>
      </c>
      <c r="G1685" s="1">
        <v>45271.0</v>
      </c>
      <c r="H1685" s="1">
        <v>170.0</v>
      </c>
      <c r="I1685" s="1" t="s">
        <v>16</v>
      </c>
      <c r="J1685" s="1">
        <v>2.7E7</v>
      </c>
      <c r="K1685" s="1">
        <v>1983.0</v>
      </c>
      <c r="L1685" s="1">
        <v>7.9</v>
      </c>
      <c r="O1685" s="3"/>
      <c r="S1685" s="4"/>
    </row>
    <row r="1686" ht="14.25" customHeight="1">
      <c r="A1686" s="1" t="s">
        <v>183</v>
      </c>
      <c r="B1686" s="1">
        <v>130.0</v>
      </c>
      <c r="C1686" s="1">
        <v>4463292.0</v>
      </c>
      <c r="D1686" s="1" t="s">
        <v>1156</v>
      </c>
      <c r="E1686" s="1" t="s">
        <v>3290</v>
      </c>
      <c r="F1686" s="1" t="s">
        <v>3577</v>
      </c>
      <c r="G1686" s="1">
        <v>34488.0</v>
      </c>
      <c r="H1686" s="1">
        <v>136.0</v>
      </c>
      <c r="I1686" s="1" t="s">
        <v>16</v>
      </c>
      <c r="J1686" s="1">
        <v>3.0E7</v>
      </c>
      <c r="K1686" s="1">
        <v>2011.0</v>
      </c>
      <c r="L1686" s="1">
        <v>6.9</v>
      </c>
      <c r="O1686" s="3"/>
      <c r="S1686" s="4"/>
    </row>
    <row r="1687" ht="14.25" customHeight="1">
      <c r="A1687" s="1" t="s">
        <v>439</v>
      </c>
      <c r="B1687" s="1">
        <v>111.0</v>
      </c>
      <c r="C1687" s="1">
        <v>1.4337579E7</v>
      </c>
      <c r="D1687" s="1" t="s">
        <v>3578</v>
      </c>
      <c r="E1687" s="1" t="s">
        <v>1467</v>
      </c>
      <c r="F1687" s="1" t="s">
        <v>3579</v>
      </c>
      <c r="G1687" s="1">
        <v>156929.0</v>
      </c>
      <c r="H1687" s="1">
        <v>624.0</v>
      </c>
      <c r="I1687" s="1" t="s">
        <v>16</v>
      </c>
      <c r="J1687" s="1">
        <v>2.7E7</v>
      </c>
      <c r="K1687" s="1">
        <v>1998.0</v>
      </c>
      <c r="L1687" s="1">
        <v>7.7</v>
      </c>
      <c r="O1687" s="3"/>
      <c r="S1687" s="4"/>
    </row>
    <row r="1688" ht="14.25" customHeight="1">
      <c r="A1688" s="1" t="s">
        <v>3580</v>
      </c>
      <c r="B1688" s="1">
        <v>110.0</v>
      </c>
      <c r="C1688" s="1">
        <v>1.3823741E7</v>
      </c>
      <c r="D1688" s="1" t="s">
        <v>2432</v>
      </c>
      <c r="E1688" s="1" t="s">
        <v>312</v>
      </c>
      <c r="F1688" s="1" t="s">
        <v>3581</v>
      </c>
      <c r="G1688" s="1">
        <v>61777.0</v>
      </c>
      <c r="H1688" s="1">
        <v>140.0</v>
      </c>
      <c r="I1688" s="1" t="s">
        <v>16</v>
      </c>
      <c r="J1688" s="1">
        <v>1.35E7</v>
      </c>
      <c r="K1688" s="1">
        <v>2008.0</v>
      </c>
      <c r="L1688" s="1">
        <v>6.9</v>
      </c>
      <c r="O1688" s="3"/>
      <c r="S1688" s="4"/>
    </row>
    <row r="1689" ht="14.25" customHeight="1">
      <c r="A1689" s="1" t="s">
        <v>3582</v>
      </c>
      <c r="B1689" s="1">
        <v>123.0</v>
      </c>
      <c r="C1689" s="1">
        <v>1.0297897E7</v>
      </c>
      <c r="D1689" s="1" t="s">
        <v>3583</v>
      </c>
      <c r="E1689" s="1" t="s">
        <v>285</v>
      </c>
      <c r="F1689" s="1" t="s">
        <v>3584</v>
      </c>
      <c r="G1689" s="1">
        <v>8309.0</v>
      </c>
      <c r="H1689" s="1">
        <v>39.0</v>
      </c>
      <c r="I1689" s="1" t="s">
        <v>16</v>
      </c>
      <c r="J1689" s="1">
        <v>2.7E7</v>
      </c>
      <c r="K1689" s="1">
        <v>1998.0</v>
      </c>
      <c r="L1689" s="1">
        <v>6.0</v>
      </c>
      <c r="O1689" s="3"/>
      <c r="S1689" s="4"/>
    </row>
    <row r="1690" ht="14.25" customHeight="1">
      <c r="A1690" s="1" t="s">
        <v>2717</v>
      </c>
      <c r="B1690" s="1">
        <v>109.0</v>
      </c>
      <c r="C1690" s="1">
        <v>1.3248477E7</v>
      </c>
      <c r="D1690" s="1" t="s">
        <v>1239</v>
      </c>
      <c r="E1690" s="1" t="s">
        <v>282</v>
      </c>
      <c r="F1690" s="1" t="s">
        <v>3585</v>
      </c>
      <c r="G1690" s="1">
        <v>60555.0</v>
      </c>
      <c r="H1690" s="1">
        <v>174.0</v>
      </c>
      <c r="I1690" s="1" t="s">
        <v>16</v>
      </c>
      <c r="J1690" s="1">
        <v>2.7E7</v>
      </c>
      <c r="K1690" s="1">
        <v>2009.0</v>
      </c>
      <c r="L1690" s="1">
        <v>6.2</v>
      </c>
      <c r="O1690" s="3"/>
      <c r="S1690" s="4"/>
    </row>
    <row r="1691" ht="14.25" customHeight="1">
      <c r="A1691" s="1" t="s">
        <v>3586</v>
      </c>
      <c r="B1691" s="1">
        <v>99.0</v>
      </c>
      <c r="C1691" s="1">
        <v>8712564.0</v>
      </c>
      <c r="D1691" s="1" t="s">
        <v>909</v>
      </c>
      <c r="E1691" s="1" t="s">
        <v>3587</v>
      </c>
      <c r="F1691" s="1" t="s">
        <v>3588</v>
      </c>
      <c r="G1691" s="1">
        <v>16555.0</v>
      </c>
      <c r="H1691" s="1">
        <v>139.0</v>
      </c>
      <c r="I1691" s="1" t="s">
        <v>16</v>
      </c>
      <c r="J1691" s="1">
        <v>2.7E7</v>
      </c>
      <c r="K1691" s="1">
        <v>2004.0</v>
      </c>
      <c r="L1691" s="1">
        <v>5.9</v>
      </c>
      <c r="O1691" s="3"/>
      <c r="S1691" s="4"/>
    </row>
    <row r="1692" ht="14.25" customHeight="1">
      <c r="A1692" s="1" t="s">
        <v>3589</v>
      </c>
      <c r="B1692" s="1">
        <v>106.0</v>
      </c>
      <c r="C1692" s="1">
        <v>7486906.0</v>
      </c>
      <c r="D1692" s="1" t="s">
        <v>1599</v>
      </c>
      <c r="E1692" s="1" t="s">
        <v>184</v>
      </c>
      <c r="F1692" s="1" t="s">
        <v>3590</v>
      </c>
      <c r="G1692" s="1">
        <v>17436.0</v>
      </c>
      <c r="H1692" s="1">
        <v>71.0</v>
      </c>
      <c r="I1692" s="1" t="s">
        <v>16</v>
      </c>
      <c r="J1692" s="1">
        <v>2.7E7</v>
      </c>
      <c r="K1692" s="1">
        <v>2007.0</v>
      </c>
      <c r="L1692" s="1">
        <v>6.8</v>
      </c>
      <c r="O1692" s="3"/>
      <c r="S1692" s="4"/>
    </row>
    <row r="1693" ht="14.25" customHeight="1">
      <c r="A1693" s="1" t="s">
        <v>1980</v>
      </c>
      <c r="B1693" s="1">
        <v>89.0</v>
      </c>
      <c r="C1693" s="1">
        <v>3.8536376E7</v>
      </c>
      <c r="D1693" s="1" t="s">
        <v>1242</v>
      </c>
      <c r="E1693" s="1" t="s">
        <v>2351</v>
      </c>
      <c r="F1693" s="1" t="s">
        <v>3591</v>
      </c>
      <c r="G1693" s="1">
        <v>15866.0</v>
      </c>
      <c r="H1693" s="1">
        <v>83.0</v>
      </c>
      <c r="I1693" s="1" t="s">
        <v>16</v>
      </c>
      <c r="J1693" s="1">
        <v>2.7E7</v>
      </c>
      <c r="K1693" s="1">
        <v>2011.0</v>
      </c>
      <c r="L1693" s="1">
        <v>3.6</v>
      </c>
      <c r="O1693" s="3"/>
      <c r="S1693" s="4"/>
    </row>
    <row r="1694" ht="14.25" customHeight="1">
      <c r="A1694" s="1" t="s">
        <v>3592</v>
      </c>
      <c r="B1694" s="1">
        <v>98.0</v>
      </c>
      <c r="C1694" s="1">
        <v>4.1008532E7</v>
      </c>
      <c r="D1694" s="1" t="s">
        <v>901</v>
      </c>
      <c r="E1694" s="1" t="s">
        <v>1028</v>
      </c>
      <c r="F1694" s="1" t="s">
        <v>3593</v>
      </c>
      <c r="G1694" s="1">
        <v>19611.0</v>
      </c>
      <c r="H1694" s="1">
        <v>103.0</v>
      </c>
      <c r="I1694" s="1" t="s">
        <v>16</v>
      </c>
      <c r="J1694" s="1">
        <v>2.7E7</v>
      </c>
      <c r="K1694" s="1">
        <v>2016.0</v>
      </c>
      <c r="L1694" s="1">
        <v>6.7</v>
      </c>
      <c r="O1694" s="3"/>
      <c r="S1694" s="4"/>
    </row>
    <row r="1695" ht="14.25" customHeight="1">
      <c r="A1695" s="1" t="s">
        <v>3049</v>
      </c>
      <c r="B1695" s="1">
        <v>93.0</v>
      </c>
      <c r="C1695" s="1">
        <v>5204007.0</v>
      </c>
      <c r="D1695" s="1" t="s">
        <v>180</v>
      </c>
      <c r="E1695" s="1" t="s">
        <v>3594</v>
      </c>
      <c r="F1695" s="1" t="s">
        <v>3595</v>
      </c>
      <c r="G1695" s="1">
        <v>42876.0</v>
      </c>
      <c r="H1695" s="1">
        <v>167.0</v>
      </c>
      <c r="I1695" s="1" t="s">
        <v>16</v>
      </c>
      <c r="J1695" s="1">
        <v>2.8E7</v>
      </c>
      <c r="K1695" s="1">
        <v>2001.0</v>
      </c>
      <c r="L1695" s="1">
        <v>6.3</v>
      </c>
      <c r="O1695" s="3"/>
      <c r="S1695" s="4"/>
    </row>
    <row r="1696" ht="14.25" customHeight="1">
      <c r="A1696" s="1" t="s">
        <v>552</v>
      </c>
      <c r="B1696" s="1">
        <v>112.0</v>
      </c>
      <c r="C1696" s="1">
        <v>4485485.0</v>
      </c>
      <c r="D1696" s="1" t="s">
        <v>3596</v>
      </c>
      <c r="E1696" s="1" t="s">
        <v>725</v>
      </c>
      <c r="F1696" s="1" t="s">
        <v>3597</v>
      </c>
      <c r="G1696" s="1">
        <v>14612.0</v>
      </c>
      <c r="H1696" s="1">
        <v>105.0</v>
      </c>
      <c r="I1696" s="1" t="s">
        <v>16</v>
      </c>
      <c r="J1696" s="1">
        <v>1.5E7</v>
      </c>
      <c r="K1696" s="1">
        <v>1999.0</v>
      </c>
      <c r="L1696" s="1">
        <v>6.4</v>
      </c>
      <c r="O1696" s="3"/>
      <c r="S1696" s="4"/>
    </row>
    <row r="1697" ht="14.25" customHeight="1">
      <c r="A1697" s="1" t="s">
        <v>875</v>
      </c>
      <c r="B1697" s="1">
        <v>101.0</v>
      </c>
      <c r="C1697" s="1">
        <v>4476235.0</v>
      </c>
      <c r="D1697" s="1" t="s">
        <v>3105</v>
      </c>
      <c r="E1697" s="1" t="s">
        <v>1421</v>
      </c>
      <c r="F1697" s="1" t="s">
        <v>3598</v>
      </c>
      <c r="G1697" s="1">
        <v>49405.0</v>
      </c>
      <c r="H1697" s="1">
        <v>226.0</v>
      </c>
      <c r="I1697" s="1" t="s">
        <v>16</v>
      </c>
      <c r="J1697" s="1">
        <v>2.7E7</v>
      </c>
      <c r="K1697" s="1">
        <v>2004.0</v>
      </c>
      <c r="L1697" s="1">
        <v>6.4</v>
      </c>
      <c r="O1697" s="3"/>
      <c r="S1697" s="4"/>
    </row>
    <row r="1698" ht="14.25" customHeight="1">
      <c r="A1698" s="1" t="s">
        <v>1274</v>
      </c>
      <c r="B1698" s="1">
        <v>104.0</v>
      </c>
      <c r="C1698" s="1">
        <v>1089365.0</v>
      </c>
      <c r="D1698" s="1" t="s">
        <v>1059</v>
      </c>
      <c r="E1698" s="1" t="s">
        <v>725</v>
      </c>
      <c r="F1698" s="1" t="s">
        <v>3599</v>
      </c>
      <c r="G1698" s="1">
        <v>23767.0</v>
      </c>
      <c r="H1698" s="1">
        <v>111.0</v>
      </c>
      <c r="I1698" s="1" t="s">
        <v>16</v>
      </c>
      <c r="J1698" s="1">
        <v>2.5E7</v>
      </c>
      <c r="K1698" s="1">
        <v>2008.0</v>
      </c>
      <c r="L1698" s="1">
        <v>5.7</v>
      </c>
      <c r="O1698" s="3"/>
      <c r="S1698" s="4"/>
    </row>
    <row r="1699" ht="14.25" customHeight="1">
      <c r="A1699" s="1" t="s">
        <v>2786</v>
      </c>
      <c r="B1699" s="1">
        <v>120.0</v>
      </c>
      <c r="C1699" s="1">
        <v>763044.0</v>
      </c>
      <c r="D1699" s="1" t="s">
        <v>1654</v>
      </c>
      <c r="E1699" s="1" t="s">
        <v>1438</v>
      </c>
      <c r="F1699" s="1" t="s">
        <v>3600</v>
      </c>
      <c r="G1699" s="1">
        <v>4257.0</v>
      </c>
      <c r="H1699" s="1">
        <v>52.0</v>
      </c>
      <c r="I1699" s="1" t="s">
        <v>16</v>
      </c>
      <c r="J1699" s="1">
        <v>2.3E7</v>
      </c>
      <c r="K1699" s="1">
        <v>2003.0</v>
      </c>
      <c r="L1699" s="1">
        <v>6.2</v>
      </c>
      <c r="O1699" s="3"/>
      <c r="S1699" s="4"/>
    </row>
    <row r="1700" ht="14.25" customHeight="1">
      <c r="A1700" s="1" t="s">
        <v>1319</v>
      </c>
      <c r="B1700" s="1">
        <v>91.0</v>
      </c>
      <c r="C1700" s="1">
        <v>2.0819129E7</v>
      </c>
      <c r="D1700" s="1" t="s">
        <v>728</v>
      </c>
      <c r="E1700" s="1" t="s">
        <v>3601</v>
      </c>
      <c r="F1700" s="1" t="s">
        <v>3602</v>
      </c>
      <c r="G1700" s="1">
        <v>84209.0</v>
      </c>
      <c r="H1700" s="1">
        <v>201.0</v>
      </c>
      <c r="I1700" s="1" t="s">
        <v>16</v>
      </c>
      <c r="J1700" s="1">
        <v>2.6E7</v>
      </c>
      <c r="K1700" s="1">
        <v>2009.0</v>
      </c>
      <c r="L1700" s="1">
        <v>5.2</v>
      </c>
      <c r="O1700" s="3"/>
      <c r="S1700" s="4"/>
    </row>
    <row r="1701" ht="14.25" customHeight="1">
      <c r="A1701" s="1" t="s">
        <v>863</v>
      </c>
      <c r="B1701" s="1">
        <v>97.0</v>
      </c>
      <c r="C1701" s="1">
        <v>1.10222438E8</v>
      </c>
      <c r="D1701" s="1" t="s">
        <v>3603</v>
      </c>
      <c r="E1701" s="1" t="s">
        <v>720</v>
      </c>
      <c r="F1701" s="1" t="s">
        <v>3604</v>
      </c>
      <c r="G1701" s="1">
        <v>96693.0</v>
      </c>
      <c r="H1701" s="1">
        <v>271.0</v>
      </c>
      <c r="I1701" s="1" t="s">
        <v>16</v>
      </c>
      <c r="J1701" s="1">
        <v>2.6E7</v>
      </c>
      <c r="K1701" s="1">
        <v>2003.0</v>
      </c>
      <c r="L1701" s="1">
        <v>6.1</v>
      </c>
      <c r="O1701" s="3"/>
      <c r="S1701" s="4"/>
    </row>
    <row r="1702" ht="14.25" customHeight="1">
      <c r="A1702" s="1" t="s">
        <v>1314</v>
      </c>
      <c r="B1702" s="1">
        <v>133.0</v>
      </c>
      <c r="C1702" s="1">
        <v>1.09243478E8</v>
      </c>
      <c r="D1702" s="1" t="s">
        <v>699</v>
      </c>
      <c r="E1702" s="1" t="s">
        <v>1222</v>
      </c>
      <c r="F1702" s="1" t="s">
        <v>3605</v>
      </c>
      <c r="G1702" s="1">
        <v>313797.0</v>
      </c>
      <c r="H1702" s="1">
        <v>546.0</v>
      </c>
      <c r="I1702" s="1" t="s">
        <v>16</v>
      </c>
      <c r="J1702" s="1">
        <v>2.6E7</v>
      </c>
      <c r="K1702" s="1">
        <v>2005.0</v>
      </c>
      <c r="L1702" s="1">
        <v>7.1</v>
      </c>
      <c r="O1702" s="3"/>
      <c r="S1702" s="4"/>
    </row>
    <row r="1703" ht="14.25" customHeight="1">
      <c r="A1703" s="1" t="s">
        <v>1841</v>
      </c>
      <c r="B1703" s="1">
        <v>123.0</v>
      </c>
      <c r="C1703" s="1">
        <v>1.00241322E8</v>
      </c>
      <c r="D1703" s="1" t="s">
        <v>593</v>
      </c>
      <c r="E1703" s="1" t="s">
        <v>1907</v>
      </c>
      <c r="F1703" s="1" t="s">
        <v>3606</v>
      </c>
      <c r="G1703" s="1">
        <v>175524.0</v>
      </c>
      <c r="H1703" s="1">
        <v>752.0</v>
      </c>
      <c r="I1703" s="1" t="s">
        <v>16</v>
      </c>
      <c r="J1703" s="1">
        <v>2.5E7</v>
      </c>
      <c r="K1703" s="1">
        <v>1998.0</v>
      </c>
      <c r="L1703" s="1">
        <v>7.2</v>
      </c>
      <c r="O1703" s="3"/>
      <c r="S1703" s="4"/>
    </row>
    <row r="1704" ht="14.25" customHeight="1">
      <c r="A1704" s="1" t="s">
        <v>3607</v>
      </c>
      <c r="B1704" s="1">
        <v>114.0</v>
      </c>
      <c r="C1704" s="1">
        <v>2.5977365E7</v>
      </c>
      <c r="D1704" s="1" t="s">
        <v>909</v>
      </c>
      <c r="E1704" s="1" t="s">
        <v>100</v>
      </c>
      <c r="F1704" s="1" t="s">
        <v>3608</v>
      </c>
      <c r="G1704" s="1">
        <v>87950.0</v>
      </c>
      <c r="H1704" s="1">
        <v>207.0</v>
      </c>
      <c r="I1704" s="1" t="s">
        <v>16</v>
      </c>
      <c r="J1704" s="1">
        <v>2.8E7</v>
      </c>
      <c r="K1704" s="1">
        <v>2014.0</v>
      </c>
      <c r="L1704" s="1">
        <v>6.5</v>
      </c>
      <c r="O1704" s="3"/>
      <c r="S1704" s="4"/>
    </row>
    <row r="1705" ht="14.25" customHeight="1">
      <c r="A1705" s="1" t="s">
        <v>1117</v>
      </c>
      <c r="B1705" s="1">
        <v>111.0</v>
      </c>
      <c r="C1705" s="1">
        <v>9.1457688E7</v>
      </c>
      <c r="D1705" s="1" t="s">
        <v>728</v>
      </c>
      <c r="E1705" s="1" t="s">
        <v>1165</v>
      </c>
      <c r="F1705" s="1" t="s">
        <v>3609</v>
      </c>
      <c r="G1705" s="1">
        <v>107801.0</v>
      </c>
      <c r="H1705" s="1">
        <v>109.0</v>
      </c>
      <c r="I1705" s="1" t="s">
        <v>16</v>
      </c>
      <c r="J1705" s="1">
        <v>2.6E7</v>
      </c>
      <c r="K1705" s="1">
        <v>1990.0</v>
      </c>
      <c r="L1705" s="1">
        <v>6.0</v>
      </c>
      <c r="O1705" s="3"/>
      <c r="S1705" s="4"/>
    </row>
    <row r="1706" ht="14.25" customHeight="1">
      <c r="A1706" s="1" t="s">
        <v>2176</v>
      </c>
      <c r="B1706" s="1">
        <v>117.0</v>
      </c>
      <c r="C1706" s="1">
        <v>8.734138E7</v>
      </c>
      <c r="D1706" s="1" t="s">
        <v>728</v>
      </c>
      <c r="E1706" s="1" t="s">
        <v>861</v>
      </c>
      <c r="F1706" s="1" t="s">
        <v>3610</v>
      </c>
      <c r="G1706" s="1">
        <v>255257.0</v>
      </c>
      <c r="H1706" s="1">
        <v>374.0</v>
      </c>
      <c r="I1706" s="1" t="s">
        <v>16</v>
      </c>
      <c r="J1706" s="1">
        <v>2.7E7</v>
      </c>
      <c r="K1706" s="1">
        <v>2008.0</v>
      </c>
      <c r="L1706" s="1">
        <v>7.0</v>
      </c>
      <c r="O1706" s="3"/>
      <c r="S1706" s="4"/>
    </row>
    <row r="1707" ht="14.25" customHeight="1">
      <c r="A1707" s="1" t="s">
        <v>1281</v>
      </c>
      <c r="B1707" s="1">
        <v>121.0</v>
      </c>
      <c r="C1707" s="1">
        <v>6.5703412E7</v>
      </c>
      <c r="D1707" s="1" t="s">
        <v>593</v>
      </c>
      <c r="E1707" s="1" t="s">
        <v>1617</v>
      </c>
      <c r="F1707" s="1" t="s">
        <v>3611</v>
      </c>
      <c r="G1707" s="1">
        <v>57958.0</v>
      </c>
      <c r="H1707" s="1">
        <v>345.0</v>
      </c>
      <c r="I1707" s="1" t="s">
        <v>16</v>
      </c>
      <c r="J1707" s="1">
        <v>2.6E7</v>
      </c>
      <c r="K1707" s="1">
        <v>1998.0</v>
      </c>
      <c r="L1707" s="1">
        <v>7.0</v>
      </c>
      <c r="O1707" s="3"/>
      <c r="S1707" s="4"/>
    </row>
    <row r="1708" ht="14.25" customHeight="1">
      <c r="A1708" s="1" t="s">
        <v>1174</v>
      </c>
      <c r="B1708" s="1">
        <v>139.0</v>
      </c>
      <c r="C1708" s="1">
        <v>5.832868E7</v>
      </c>
      <c r="D1708" s="1" t="s">
        <v>1641</v>
      </c>
      <c r="E1708" s="1" t="s">
        <v>1057</v>
      </c>
      <c r="F1708" s="1" t="s">
        <v>3612</v>
      </c>
      <c r="G1708" s="1">
        <v>54096.0</v>
      </c>
      <c r="H1708" s="1">
        <v>494.0</v>
      </c>
      <c r="I1708" s="1" t="s">
        <v>16</v>
      </c>
      <c r="J1708" s="1">
        <v>2.2E7</v>
      </c>
      <c r="K1708" s="1">
        <v>2003.0</v>
      </c>
      <c r="L1708" s="1">
        <v>7.5</v>
      </c>
      <c r="O1708" s="3"/>
      <c r="S1708" s="4"/>
    </row>
    <row r="1709" ht="14.25" customHeight="1">
      <c r="A1709" s="1" t="s">
        <v>552</v>
      </c>
      <c r="B1709" s="1">
        <v>115.0</v>
      </c>
      <c r="C1709" s="1">
        <v>6.149E7</v>
      </c>
      <c r="D1709" s="1" t="s">
        <v>1486</v>
      </c>
      <c r="E1709" s="1" t="s">
        <v>1028</v>
      </c>
      <c r="F1709" s="1" t="s">
        <v>3613</v>
      </c>
      <c r="G1709" s="1">
        <v>62037.0</v>
      </c>
      <c r="H1709" s="1">
        <v>148.0</v>
      </c>
      <c r="I1709" s="1" t="s">
        <v>16</v>
      </c>
      <c r="J1709" s="1">
        <v>2.6E7</v>
      </c>
      <c r="K1709" s="1">
        <v>1990.0</v>
      </c>
      <c r="L1709" s="1">
        <v>6.6</v>
      </c>
      <c r="O1709" s="3"/>
      <c r="S1709" s="4"/>
    </row>
    <row r="1710" ht="14.25" customHeight="1">
      <c r="A1710" s="1" t="s">
        <v>3457</v>
      </c>
      <c r="B1710" s="1">
        <v>175.0</v>
      </c>
      <c r="C1710" s="1">
        <v>5.08E7</v>
      </c>
      <c r="D1710" s="1" t="s">
        <v>824</v>
      </c>
      <c r="E1710" s="1" t="s">
        <v>3614</v>
      </c>
      <c r="F1710" s="1" t="s">
        <v>3615</v>
      </c>
      <c r="G1710" s="1">
        <v>40277.0</v>
      </c>
      <c r="H1710" s="1">
        <v>210.0</v>
      </c>
      <c r="I1710" s="1" t="s">
        <v>16</v>
      </c>
      <c r="J1710" s="1">
        <v>2.6E7</v>
      </c>
      <c r="K1710" s="1">
        <v>1977.0</v>
      </c>
      <c r="L1710" s="1">
        <v>7.4</v>
      </c>
      <c r="O1710" s="3"/>
      <c r="S1710" s="4"/>
    </row>
    <row r="1711" ht="14.25" customHeight="1">
      <c r="A1711" s="1" t="s">
        <v>2511</v>
      </c>
      <c r="B1711" s="1">
        <v>85.0</v>
      </c>
      <c r="C1711" s="1">
        <v>5.7859105E7</v>
      </c>
      <c r="D1711" s="1" t="s">
        <v>362</v>
      </c>
      <c r="E1711" s="1" t="s">
        <v>3616</v>
      </c>
      <c r="F1711" s="1" t="s">
        <v>3617</v>
      </c>
      <c r="G1711" s="1">
        <v>94108.0</v>
      </c>
      <c r="H1711" s="1">
        <v>673.0</v>
      </c>
      <c r="I1711" s="1" t="s">
        <v>16</v>
      </c>
      <c r="J1711" s="1">
        <v>2.6E7</v>
      </c>
      <c r="K1711" s="1">
        <v>2005.0</v>
      </c>
      <c r="L1711" s="1">
        <v>6.5</v>
      </c>
      <c r="O1711" s="3"/>
      <c r="S1711" s="4"/>
    </row>
    <row r="1712" ht="14.25" customHeight="1">
      <c r="A1712" s="1" t="s">
        <v>2331</v>
      </c>
      <c r="B1712" s="1">
        <v>90.0</v>
      </c>
      <c r="C1712" s="1">
        <v>4.6455802E7</v>
      </c>
      <c r="D1712" s="1" t="s">
        <v>2657</v>
      </c>
      <c r="E1712" s="1" t="s">
        <v>3618</v>
      </c>
      <c r="F1712" s="1" t="s">
        <v>3619</v>
      </c>
      <c r="G1712" s="1">
        <v>120786.0</v>
      </c>
      <c r="H1712" s="1">
        <v>472.0</v>
      </c>
      <c r="I1712" s="1" t="s">
        <v>16</v>
      </c>
      <c r="J1712" s="1">
        <v>2.6E7</v>
      </c>
      <c r="K1712" s="1">
        <v>2003.0</v>
      </c>
      <c r="L1712" s="1">
        <v>6.2</v>
      </c>
      <c r="O1712" s="3"/>
      <c r="S1712" s="4"/>
    </row>
    <row r="1713" ht="14.25" customHeight="1">
      <c r="A1713" s="1" t="s">
        <v>1736</v>
      </c>
      <c r="B1713" s="1">
        <v>107.0</v>
      </c>
      <c r="C1713" s="1">
        <v>4.5506619E7</v>
      </c>
      <c r="D1713" s="1" t="s">
        <v>3620</v>
      </c>
      <c r="E1713" s="1" t="s">
        <v>873</v>
      </c>
      <c r="F1713" s="1" t="s">
        <v>3621</v>
      </c>
      <c r="G1713" s="1">
        <v>225102.0</v>
      </c>
      <c r="H1713" s="1">
        <v>862.0</v>
      </c>
      <c r="I1713" s="1" t="s">
        <v>16</v>
      </c>
      <c r="J1713" s="1">
        <v>2.6E7</v>
      </c>
      <c r="K1713" s="1">
        <v>2000.0</v>
      </c>
      <c r="L1713" s="1">
        <v>7.8</v>
      </c>
      <c r="O1713" s="3"/>
      <c r="S1713" s="4"/>
    </row>
    <row r="1714" ht="14.25" customHeight="1">
      <c r="A1714" s="1" t="s">
        <v>1757</v>
      </c>
      <c r="B1714" s="1">
        <v>100.0</v>
      </c>
      <c r="C1714" s="1">
        <v>4.016808E7</v>
      </c>
      <c r="D1714" s="1" t="s">
        <v>1410</v>
      </c>
      <c r="E1714" s="1" t="s">
        <v>870</v>
      </c>
      <c r="F1714" s="1" t="s">
        <v>3622</v>
      </c>
      <c r="G1714" s="1">
        <v>80870.0</v>
      </c>
      <c r="H1714" s="1">
        <v>315.0</v>
      </c>
      <c r="I1714" s="1" t="s">
        <v>16</v>
      </c>
      <c r="J1714" s="1">
        <v>2.6E7</v>
      </c>
      <c r="K1714" s="1">
        <v>2010.0</v>
      </c>
      <c r="L1714" s="1">
        <v>5.2</v>
      </c>
      <c r="O1714" s="3"/>
      <c r="S1714" s="4"/>
    </row>
    <row r="1715" ht="14.25" customHeight="1">
      <c r="A1715" s="1" t="s">
        <v>121</v>
      </c>
      <c r="B1715" s="1">
        <v>129.0</v>
      </c>
      <c r="C1715" s="1">
        <v>4.9874933E7</v>
      </c>
      <c r="D1715" s="1" t="s">
        <v>3596</v>
      </c>
      <c r="E1715" s="1" t="s">
        <v>632</v>
      </c>
      <c r="F1715" s="1" t="s">
        <v>3623</v>
      </c>
      <c r="G1715" s="1">
        <v>161168.0</v>
      </c>
      <c r="H1715" s="1">
        <v>287.0</v>
      </c>
      <c r="I1715" s="1" t="s">
        <v>16</v>
      </c>
      <c r="J1715" s="1">
        <v>2.6E7</v>
      </c>
      <c r="K1715" s="1">
        <v>2013.0</v>
      </c>
      <c r="L1715" s="1">
        <v>6.5</v>
      </c>
      <c r="O1715" s="3"/>
      <c r="S1715" s="4"/>
    </row>
    <row r="1716" ht="14.25" customHeight="1">
      <c r="A1716" s="1" t="s">
        <v>724</v>
      </c>
      <c r="B1716" s="1">
        <v>109.0</v>
      </c>
      <c r="C1716" s="1">
        <v>4.5489752E7</v>
      </c>
      <c r="D1716" s="1" t="s">
        <v>593</v>
      </c>
      <c r="E1716" s="1" t="s">
        <v>237</v>
      </c>
      <c r="F1716" s="1" t="s">
        <v>3624</v>
      </c>
      <c r="G1716" s="1">
        <v>48973.0</v>
      </c>
      <c r="H1716" s="1">
        <v>214.0</v>
      </c>
      <c r="I1716" s="1" t="s">
        <v>16</v>
      </c>
      <c r="J1716" s="1">
        <v>2.6E7</v>
      </c>
      <c r="K1716" s="1">
        <v>2004.0</v>
      </c>
      <c r="L1716" s="1">
        <v>6.5</v>
      </c>
      <c r="O1716" s="3"/>
      <c r="S1716" s="4"/>
    </row>
    <row r="1717" ht="14.25" customHeight="1">
      <c r="A1717" s="1" t="s">
        <v>1376</v>
      </c>
      <c r="B1717" s="1">
        <v>94.0</v>
      </c>
      <c r="C1717" s="1">
        <v>3.6985501E7</v>
      </c>
      <c r="D1717" s="1" t="s">
        <v>3625</v>
      </c>
      <c r="E1717" s="1" t="s">
        <v>1389</v>
      </c>
      <c r="F1717" s="1" t="s">
        <v>3626</v>
      </c>
      <c r="G1717" s="1">
        <v>11212.0</v>
      </c>
      <c r="H1717" s="1">
        <v>94.0</v>
      </c>
      <c r="I1717" s="1" t="s">
        <v>16</v>
      </c>
      <c r="J1717" s="1">
        <v>2.6E7</v>
      </c>
      <c r="K1717" s="1">
        <v>2002.0</v>
      </c>
      <c r="L1717" s="1">
        <v>5.2</v>
      </c>
      <c r="O1717" s="3"/>
      <c r="S1717" s="4"/>
    </row>
    <row r="1718" ht="14.25" customHeight="1">
      <c r="A1718" s="1" t="s">
        <v>1485</v>
      </c>
      <c r="B1718" s="1">
        <v>133.0</v>
      </c>
      <c r="C1718" s="1">
        <v>3.32E7</v>
      </c>
      <c r="D1718" s="1" t="s">
        <v>3627</v>
      </c>
      <c r="E1718" s="1" t="s">
        <v>2920</v>
      </c>
      <c r="F1718" s="1" t="s">
        <v>3628</v>
      </c>
      <c r="G1718" s="1">
        <v>28247.0</v>
      </c>
      <c r="H1718" s="1">
        <v>149.0</v>
      </c>
      <c r="I1718" s="1" t="s">
        <v>16</v>
      </c>
      <c r="J1718" s="1">
        <v>2.6E7</v>
      </c>
      <c r="K1718" s="1">
        <v>1985.0</v>
      </c>
      <c r="L1718" s="1">
        <v>7.2</v>
      </c>
      <c r="O1718" s="3"/>
      <c r="S1718" s="4"/>
    </row>
    <row r="1719" ht="14.25" customHeight="1">
      <c r="A1719" s="1" t="s">
        <v>2179</v>
      </c>
      <c r="B1719" s="1">
        <v>105.0</v>
      </c>
      <c r="C1719" s="1">
        <v>2.8501651E7</v>
      </c>
      <c r="D1719" s="1" t="s">
        <v>1654</v>
      </c>
      <c r="E1719" s="1" t="s">
        <v>603</v>
      </c>
      <c r="F1719" s="1" t="s">
        <v>3629</v>
      </c>
      <c r="G1719" s="1">
        <v>88035.0</v>
      </c>
      <c r="H1719" s="1">
        <v>201.0</v>
      </c>
      <c r="I1719" s="1" t="s">
        <v>16</v>
      </c>
      <c r="J1719" s="1">
        <v>2.6E7</v>
      </c>
      <c r="K1719" s="1">
        <v>2009.0</v>
      </c>
      <c r="L1719" s="1">
        <v>7.1</v>
      </c>
      <c r="O1719" s="3"/>
      <c r="S1719" s="4"/>
    </row>
    <row r="1720" ht="14.25" customHeight="1">
      <c r="A1720" s="1" t="s">
        <v>3630</v>
      </c>
      <c r="B1720" s="1">
        <v>100.0</v>
      </c>
      <c r="C1720" s="1">
        <v>2.3222861E7</v>
      </c>
      <c r="D1720" s="1" t="s">
        <v>3631</v>
      </c>
      <c r="E1720" s="1" t="s">
        <v>3632</v>
      </c>
      <c r="F1720" s="1" t="s">
        <v>3633</v>
      </c>
      <c r="G1720" s="1">
        <v>11092.0</v>
      </c>
      <c r="H1720" s="1">
        <v>44.0</v>
      </c>
      <c r="I1720" s="1" t="s">
        <v>16</v>
      </c>
      <c r="J1720" s="1">
        <v>2.6E7</v>
      </c>
      <c r="K1720" s="1">
        <v>2004.0</v>
      </c>
      <c r="L1720" s="1">
        <v>4.5</v>
      </c>
      <c r="O1720" s="3"/>
      <c r="S1720" s="4"/>
    </row>
    <row r="1721" ht="14.25" customHeight="1">
      <c r="A1721" s="1" t="s">
        <v>1349</v>
      </c>
      <c r="B1721" s="1">
        <v>113.0</v>
      </c>
      <c r="C1721" s="1">
        <v>5.4540525E7</v>
      </c>
      <c r="D1721" s="1" t="s">
        <v>699</v>
      </c>
      <c r="E1721" s="1" t="s">
        <v>725</v>
      </c>
      <c r="F1721" s="1" t="s">
        <v>3634</v>
      </c>
      <c r="G1721" s="1">
        <v>66579.0</v>
      </c>
      <c r="H1721" s="1">
        <v>134.0</v>
      </c>
      <c r="I1721" s="1" t="s">
        <v>16</v>
      </c>
      <c r="J1721" s="1">
        <v>5.6E7</v>
      </c>
      <c r="K1721" s="1">
        <v>2011.0</v>
      </c>
      <c r="L1721" s="1">
        <v>5.7</v>
      </c>
      <c r="O1721" s="3"/>
      <c r="S1721" s="4"/>
    </row>
    <row r="1722" ht="14.25" customHeight="1">
      <c r="A1722" s="1" t="s">
        <v>3635</v>
      </c>
      <c r="B1722" s="1">
        <v>118.0</v>
      </c>
      <c r="C1722" s="1">
        <v>1.6252765E7</v>
      </c>
      <c r="D1722" s="1" t="s">
        <v>1339</v>
      </c>
      <c r="E1722" s="1" t="s">
        <v>245</v>
      </c>
      <c r="F1722" s="1" t="s">
        <v>3636</v>
      </c>
      <c r="G1722" s="1">
        <v>44913.0</v>
      </c>
      <c r="H1722" s="1">
        <v>181.0</v>
      </c>
      <c r="I1722" s="1" t="s">
        <v>16</v>
      </c>
      <c r="J1722" s="1">
        <v>4.2E7</v>
      </c>
      <c r="K1722" s="1">
        <v>2001.0</v>
      </c>
      <c r="L1722" s="1">
        <v>6.0</v>
      </c>
      <c r="O1722" s="3"/>
      <c r="S1722" s="4"/>
    </row>
    <row r="1723" ht="14.25" customHeight="1">
      <c r="A1723" s="1" t="s">
        <v>2071</v>
      </c>
      <c r="B1723" s="1">
        <v>110.0</v>
      </c>
      <c r="C1723" s="1">
        <v>1.6005978E7</v>
      </c>
      <c r="D1723" s="1" t="s">
        <v>938</v>
      </c>
      <c r="E1723" s="1" t="s">
        <v>3637</v>
      </c>
      <c r="F1723" s="1" t="s">
        <v>3638</v>
      </c>
      <c r="G1723" s="1">
        <v>72886.0</v>
      </c>
      <c r="H1723" s="1">
        <v>190.0</v>
      </c>
      <c r="I1723" s="1" t="s">
        <v>16</v>
      </c>
      <c r="J1723" s="1">
        <v>2.6E7</v>
      </c>
      <c r="K1723" s="1">
        <v>2012.0</v>
      </c>
      <c r="L1723" s="1">
        <v>6.4</v>
      </c>
      <c r="O1723" s="3"/>
      <c r="S1723" s="4"/>
    </row>
    <row r="1724" ht="14.25" customHeight="1">
      <c r="A1724" s="1" t="s">
        <v>1727</v>
      </c>
      <c r="B1724" s="1">
        <v>110.0</v>
      </c>
      <c r="C1724" s="1">
        <v>1.4469428E7</v>
      </c>
      <c r="D1724" s="1" t="s">
        <v>699</v>
      </c>
      <c r="E1724" s="1" t="s">
        <v>3639</v>
      </c>
      <c r="F1724" s="1" t="s">
        <v>3640</v>
      </c>
      <c r="G1724" s="1">
        <v>10667.0</v>
      </c>
      <c r="H1724" s="1">
        <v>95.0</v>
      </c>
      <c r="I1724" s="1" t="s">
        <v>16</v>
      </c>
      <c r="J1724" s="1">
        <v>2.6E7</v>
      </c>
      <c r="K1724" s="1">
        <v>2004.0</v>
      </c>
      <c r="L1724" s="1">
        <v>5.2</v>
      </c>
      <c r="O1724" s="3"/>
      <c r="S1724" s="4"/>
    </row>
    <row r="1725" ht="14.25" customHeight="1">
      <c r="A1725" s="1" t="s">
        <v>3641</v>
      </c>
      <c r="B1725" s="1">
        <v>99.0</v>
      </c>
      <c r="C1725" s="1">
        <v>1.3829734E7</v>
      </c>
      <c r="D1725" s="1" t="s">
        <v>3642</v>
      </c>
      <c r="E1725" s="1" t="s">
        <v>3643</v>
      </c>
      <c r="F1725" s="1" t="s">
        <v>3644</v>
      </c>
      <c r="G1725" s="1">
        <v>16194.0</v>
      </c>
      <c r="H1725" s="1">
        <v>79.0</v>
      </c>
      <c r="I1725" s="1" t="s">
        <v>16</v>
      </c>
      <c r="J1725" s="1">
        <v>2.6E7</v>
      </c>
      <c r="K1725" s="1">
        <v>1994.0</v>
      </c>
      <c r="L1725" s="1">
        <v>4.3</v>
      </c>
      <c r="O1725" s="3"/>
      <c r="S1725" s="4"/>
    </row>
    <row r="1726" ht="14.25" customHeight="1">
      <c r="A1726" s="1" t="s">
        <v>3645</v>
      </c>
      <c r="B1726" s="1">
        <v>101.0</v>
      </c>
      <c r="C1726" s="1">
        <v>1075288.0</v>
      </c>
      <c r="D1726" s="1" t="s">
        <v>901</v>
      </c>
      <c r="E1726" s="1" t="s">
        <v>3646</v>
      </c>
      <c r="F1726" s="1" t="s">
        <v>3647</v>
      </c>
      <c r="G1726" s="1">
        <v>7772.0</v>
      </c>
      <c r="H1726" s="1">
        <v>55.0</v>
      </c>
      <c r="I1726" s="1" t="s">
        <v>16</v>
      </c>
      <c r="J1726" s="1">
        <v>2.2E7</v>
      </c>
      <c r="K1726" s="1">
        <v>1996.0</v>
      </c>
      <c r="L1726" s="1">
        <v>6.1</v>
      </c>
      <c r="O1726" s="3"/>
      <c r="S1726" s="4"/>
    </row>
    <row r="1727" ht="14.25" customHeight="1">
      <c r="A1727" s="1" t="s">
        <v>3268</v>
      </c>
      <c r="B1727" s="1">
        <v>103.0</v>
      </c>
      <c r="C1727" s="1">
        <v>7496522.0</v>
      </c>
      <c r="D1727" s="1" t="s">
        <v>3648</v>
      </c>
      <c r="E1727" s="1" t="s">
        <v>3268</v>
      </c>
      <c r="F1727" s="1" t="s">
        <v>3649</v>
      </c>
      <c r="G1727" s="1">
        <v>31798.0</v>
      </c>
      <c r="H1727" s="1">
        <v>178.0</v>
      </c>
      <c r="I1727" s="1" t="s">
        <v>16</v>
      </c>
      <c r="J1727" s="1">
        <v>2.6E7</v>
      </c>
      <c r="K1727" s="1">
        <v>2001.0</v>
      </c>
      <c r="L1727" s="1">
        <v>6.8</v>
      </c>
      <c r="O1727" s="3"/>
      <c r="S1727" s="4"/>
    </row>
    <row r="1728" ht="14.25" customHeight="1">
      <c r="A1728" s="1" t="s">
        <v>3650</v>
      </c>
      <c r="B1728" s="1">
        <v>95.0</v>
      </c>
      <c r="C1728" s="1">
        <v>2.0047715E7</v>
      </c>
      <c r="D1728" s="1" t="s">
        <v>3651</v>
      </c>
      <c r="E1728" s="1" t="s">
        <v>3652</v>
      </c>
      <c r="F1728" s="1" t="s">
        <v>3653</v>
      </c>
      <c r="G1728" s="1">
        <v>8008.0</v>
      </c>
      <c r="H1728" s="1">
        <v>26.0</v>
      </c>
      <c r="I1728" s="1" t="s">
        <v>16</v>
      </c>
      <c r="J1728" s="1">
        <v>2.553E7</v>
      </c>
      <c r="K1728" s="1">
        <v>1996.0</v>
      </c>
      <c r="L1728" s="1">
        <v>5.2</v>
      </c>
      <c r="O1728" s="3"/>
      <c r="S1728" s="4"/>
    </row>
    <row r="1729" ht="14.25" customHeight="1">
      <c r="A1729" s="1" t="s">
        <v>1026</v>
      </c>
      <c r="B1729" s="1">
        <v>117.0</v>
      </c>
      <c r="C1729" s="1">
        <v>1.227681E7</v>
      </c>
      <c r="D1729" s="1" t="s">
        <v>686</v>
      </c>
      <c r="E1729" s="1" t="s">
        <v>137</v>
      </c>
      <c r="F1729" s="1" t="s">
        <v>3654</v>
      </c>
      <c r="G1729" s="1">
        <v>57674.0</v>
      </c>
      <c r="H1729" s="1">
        <v>126.0</v>
      </c>
      <c r="I1729" s="1" t="s">
        <v>16</v>
      </c>
      <c r="J1729" s="1">
        <v>2.6E7</v>
      </c>
      <c r="K1729" s="1">
        <v>2015.0</v>
      </c>
      <c r="L1729" s="1">
        <v>6.5</v>
      </c>
      <c r="O1729" s="3"/>
      <c r="S1729" s="4"/>
    </row>
    <row r="1730" ht="14.25" customHeight="1">
      <c r="A1730" s="1" t="s">
        <v>3655</v>
      </c>
      <c r="B1730" s="1">
        <v>129.0</v>
      </c>
      <c r="C1730" s="1">
        <v>3.3565375E7</v>
      </c>
      <c r="D1730" s="1" t="s">
        <v>1339</v>
      </c>
      <c r="E1730" s="1" t="s">
        <v>3052</v>
      </c>
      <c r="F1730" s="1" t="s">
        <v>3656</v>
      </c>
      <c r="G1730" s="1">
        <v>111351.0</v>
      </c>
      <c r="H1730" s="1">
        <v>568.0</v>
      </c>
      <c r="I1730" s="1" t="s">
        <v>16</v>
      </c>
      <c r="J1730" s="1">
        <v>1.5E7</v>
      </c>
      <c r="K1730" s="1">
        <v>2005.0</v>
      </c>
      <c r="L1730" s="1">
        <v>7.5</v>
      </c>
      <c r="O1730" s="3"/>
      <c r="S1730" s="4"/>
    </row>
    <row r="1731" ht="14.25" customHeight="1">
      <c r="A1731" s="1" t="s">
        <v>1322</v>
      </c>
      <c r="B1731" s="1">
        <v>120.0</v>
      </c>
      <c r="C1731" s="1">
        <v>499263.0</v>
      </c>
      <c r="D1731" s="1" t="s">
        <v>1391</v>
      </c>
      <c r="E1731" s="1" t="s">
        <v>3657</v>
      </c>
      <c r="F1731" s="1" t="s">
        <v>3658</v>
      </c>
      <c r="G1731" s="1">
        <v>179235.0</v>
      </c>
      <c r="H1731" s="1">
        <v>2814.0</v>
      </c>
      <c r="I1731" s="1" t="s">
        <v>3659</v>
      </c>
      <c r="J1731" s="1">
        <v>3.0E7</v>
      </c>
      <c r="K1731" s="1">
        <v>2004.0</v>
      </c>
      <c r="L1731" s="1">
        <v>7.1</v>
      </c>
      <c r="O1731" s="3"/>
      <c r="S1731" s="4"/>
    </row>
    <row r="1732" ht="14.25" customHeight="1">
      <c r="A1732" s="1" t="s">
        <v>524</v>
      </c>
      <c r="B1732" s="1">
        <v>125.0</v>
      </c>
      <c r="C1732" s="1">
        <v>2.192E8</v>
      </c>
      <c r="D1732" s="1" t="s">
        <v>3660</v>
      </c>
      <c r="E1732" s="1" t="s">
        <v>346</v>
      </c>
      <c r="F1732" s="1" t="s">
        <v>3661</v>
      </c>
      <c r="G1732" s="1">
        <v>181380.0</v>
      </c>
      <c r="H1732" s="1">
        <v>223.0</v>
      </c>
      <c r="I1732" s="1" t="s">
        <v>16</v>
      </c>
      <c r="J1732" s="1">
        <v>2.5E7</v>
      </c>
      <c r="K1732" s="1">
        <v>1993.0</v>
      </c>
      <c r="L1732" s="1">
        <v>6.9</v>
      </c>
      <c r="O1732" s="3"/>
      <c r="S1732" s="4"/>
    </row>
    <row r="1733" ht="14.25" customHeight="1">
      <c r="A1733" s="1" t="s">
        <v>1274</v>
      </c>
      <c r="B1733" s="1">
        <v>133.0</v>
      </c>
      <c r="C1733" s="1">
        <v>1.72825435E8</v>
      </c>
      <c r="D1733" s="1" t="s">
        <v>1391</v>
      </c>
      <c r="E1733" s="1" t="s">
        <v>226</v>
      </c>
      <c r="F1733" s="1" t="s">
        <v>3662</v>
      </c>
      <c r="G1733" s="1">
        <v>383784.0</v>
      </c>
      <c r="H1733" s="1">
        <v>331.0</v>
      </c>
      <c r="I1733" s="1" t="s">
        <v>16</v>
      </c>
      <c r="J1733" s="1">
        <v>2.5E7</v>
      </c>
      <c r="K1733" s="1">
        <v>1988.0</v>
      </c>
      <c r="L1733" s="1">
        <v>8.0</v>
      </c>
      <c r="O1733" s="3"/>
      <c r="S1733" s="4"/>
    </row>
    <row r="1734" ht="14.25" customHeight="1">
      <c r="A1734" s="1" t="s">
        <v>1506</v>
      </c>
      <c r="B1734" s="1">
        <v>116.0</v>
      </c>
      <c r="C1734" s="1">
        <v>1.48085755E8</v>
      </c>
      <c r="D1734" s="1" t="s">
        <v>1391</v>
      </c>
      <c r="E1734" s="1" t="s">
        <v>1506</v>
      </c>
      <c r="F1734" s="1" t="s">
        <v>3663</v>
      </c>
      <c r="G1734" s="1">
        <v>561773.0</v>
      </c>
      <c r="H1734" s="1">
        <v>871.0</v>
      </c>
      <c r="I1734" s="1" t="s">
        <v>16</v>
      </c>
      <c r="J1734" s="1">
        <v>3.3E7</v>
      </c>
      <c r="K1734" s="1">
        <v>2008.0</v>
      </c>
      <c r="L1734" s="1">
        <v>8.2</v>
      </c>
      <c r="O1734" s="3"/>
      <c r="S1734" s="4"/>
    </row>
    <row r="1735" ht="14.25" customHeight="1">
      <c r="A1735" s="1" t="s">
        <v>324</v>
      </c>
      <c r="B1735" s="1">
        <v>129.0</v>
      </c>
      <c r="C1735" s="1">
        <v>2.55175E7</v>
      </c>
      <c r="D1735" s="1" t="s">
        <v>2369</v>
      </c>
      <c r="E1735" s="1" t="s">
        <v>508</v>
      </c>
      <c r="F1735" s="1" t="s">
        <v>3664</v>
      </c>
      <c r="G1735" s="1">
        <v>40941.0</v>
      </c>
      <c r="H1735" s="1">
        <v>320.0</v>
      </c>
      <c r="I1735" s="1" t="s">
        <v>16</v>
      </c>
      <c r="J1735" s="1">
        <v>2.51E7</v>
      </c>
      <c r="K1735" s="1">
        <v>2008.0</v>
      </c>
      <c r="L1735" s="1">
        <v>6.4</v>
      </c>
      <c r="O1735" s="3"/>
      <c r="S1735" s="4"/>
    </row>
    <row r="1736" ht="14.25" customHeight="1">
      <c r="A1736" s="1" t="s">
        <v>2007</v>
      </c>
      <c r="B1736" s="1">
        <v>93.0</v>
      </c>
      <c r="C1736" s="1">
        <v>1.45000989E8</v>
      </c>
      <c r="D1736" s="1" t="s">
        <v>26</v>
      </c>
      <c r="E1736" s="1" t="s">
        <v>100</v>
      </c>
      <c r="F1736" s="1" t="s">
        <v>3665</v>
      </c>
      <c r="G1736" s="1">
        <v>483756.0</v>
      </c>
      <c r="H1736" s="1">
        <v>974.0</v>
      </c>
      <c r="I1736" s="1" t="s">
        <v>16</v>
      </c>
      <c r="J1736" s="1">
        <v>2.5E7</v>
      </c>
      <c r="K1736" s="1">
        <v>2008.0</v>
      </c>
      <c r="L1736" s="1">
        <v>7.9</v>
      </c>
      <c r="O1736" s="3"/>
      <c r="S1736" s="4"/>
    </row>
    <row r="1737" ht="14.25" customHeight="1">
      <c r="A1737" s="1" t="s">
        <v>3666</v>
      </c>
      <c r="B1737" s="1">
        <v>118.0</v>
      </c>
      <c r="C1737" s="1">
        <v>2.6761283E7</v>
      </c>
      <c r="D1737" s="1" t="s">
        <v>92</v>
      </c>
      <c r="E1737" s="1" t="s">
        <v>3667</v>
      </c>
      <c r="F1737" s="1" t="s">
        <v>3668</v>
      </c>
      <c r="G1737" s="1">
        <v>43084.0</v>
      </c>
      <c r="H1737" s="1">
        <v>99.0</v>
      </c>
      <c r="I1737" s="1" t="s">
        <v>16</v>
      </c>
      <c r="J1737" s="1">
        <v>2.6E7</v>
      </c>
      <c r="K1737" s="1">
        <v>2014.0</v>
      </c>
      <c r="L1737" s="1">
        <v>6.7</v>
      </c>
      <c r="O1737" s="3"/>
      <c r="S1737" s="4"/>
    </row>
    <row r="1738" ht="14.25" customHeight="1">
      <c r="A1738" s="1" t="s">
        <v>957</v>
      </c>
      <c r="B1738" s="1">
        <v>129.0</v>
      </c>
      <c r="C1738" s="1">
        <v>1.2194572E8</v>
      </c>
      <c r="D1738" s="1" t="s">
        <v>3669</v>
      </c>
      <c r="E1738" s="1" t="s">
        <v>2293</v>
      </c>
      <c r="F1738" s="1" t="s">
        <v>3670</v>
      </c>
      <c r="G1738" s="1">
        <v>89972.0</v>
      </c>
      <c r="H1738" s="1">
        <v>126.0</v>
      </c>
      <c r="I1738" s="1" t="s">
        <v>16</v>
      </c>
      <c r="J1738" s="1">
        <v>2.5E7</v>
      </c>
      <c r="K1738" s="1">
        <v>1992.0</v>
      </c>
      <c r="L1738" s="1">
        <v>6.1</v>
      </c>
      <c r="O1738" s="3"/>
      <c r="S1738" s="4"/>
    </row>
    <row r="1739" ht="14.25" customHeight="1">
      <c r="A1739" s="1" t="s">
        <v>168</v>
      </c>
      <c r="B1739" s="1">
        <v>185.0</v>
      </c>
      <c r="C1739" s="1">
        <v>9.6067179E7</v>
      </c>
      <c r="D1739" s="1" t="s">
        <v>2369</v>
      </c>
      <c r="E1739" s="1" t="s">
        <v>100</v>
      </c>
      <c r="F1739" s="1" t="s">
        <v>3671</v>
      </c>
      <c r="G1739" s="1">
        <v>865020.0</v>
      </c>
      <c r="H1739" s="1">
        <v>1273.0</v>
      </c>
      <c r="I1739" s="1" t="s">
        <v>16</v>
      </c>
      <c r="J1739" s="1">
        <v>2.2E7</v>
      </c>
      <c r="K1739" s="1">
        <v>1993.0</v>
      </c>
      <c r="L1739" s="1">
        <v>8.9</v>
      </c>
      <c r="O1739" s="3"/>
      <c r="S1739" s="4"/>
    </row>
    <row r="1740" ht="14.25" customHeight="1">
      <c r="A1740" s="1" t="s">
        <v>3346</v>
      </c>
      <c r="B1740" s="1">
        <v>146.0</v>
      </c>
      <c r="C1740" s="1">
        <v>1.69705587E8</v>
      </c>
      <c r="D1740" s="1" t="s">
        <v>1391</v>
      </c>
      <c r="E1740" s="1" t="s">
        <v>78</v>
      </c>
      <c r="F1740" s="1" t="s">
        <v>3672</v>
      </c>
      <c r="G1740" s="1">
        <v>318955.0</v>
      </c>
      <c r="H1740" s="1">
        <v>460.0</v>
      </c>
      <c r="I1740" s="1" t="s">
        <v>16</v>
      </c>
      <c r="J1740" s="1">
        <v>2.5E7</v>
      </c>
      <c r="K1740" s="1">
        <v>2011.0</v>
      </c>
      <c r="L1740" s="1">
        <v>8.1</v>
      </c>
      <c r="O1740" s="3"/>
      <c r="S1740" s="4"/>
    </row>
    <row r="1741" ht="14.25" customHeight="1">
      <c r="A1741" s="1" t="s">
        <v>467</v>
      </c>
      <c r="B1741" s="1">
        <v>128.0</v>
      </c>
      <c r="C1741" s="1">
        <v>3254172.0</v>
      </c>
      <c r="D1741" s="1" t="s">
        <v>1464</v>
      </c>
      <c r="E1741" s="1" t="s">
        <v>155</v>
      </c>
      <c r="F1741" s="1" t="s">
        <v>3673</v>
      </c>
      <c r="G1741" s="1">
        <v>29282.0</v>
      </c>
      <c r="H1741" s="1">
        <v>105.0</v>
      </c>
      <c r="I1741" s="1" t="s">
        <v>16</v>
      </c>
      <c r="J1741" s="1">
        <v>2.8E7</v>
      </c>
      <c r="K1741" s="1">
        <v>2013.0</v>
      </c>
      <c r="L1741" s="1">
        <v>6.2</v>
      </c>
      <c r="O1741" s="3"/>
      <c r="S1741" s="4"/>
    </row>
    <row r="1742" ht="14.25" customHeight="1">
      <c r="A1742" s="1" t="s">
        <v>657</v>
      </c>
      <c r="B1742" s="1">
        <v>93.0</v>
      </c>
      <c r="C1742" s="1">
        <v>8.4185387E7</v>
      </c>
      <c r="D1742" s="1" t="s">
        <v>3674</v>
      </c>
      <c r="E1742" s="1" t="s">
        <v>1041</v>
      </c>
      <c r="F1742" s="1" t="s">
        <v>3675</v>
      </c>
      <c r="G1742" s="1">
        <v>33180.0</v>
      </c>
      <c r="H1742" s="1">
        <v>149.0</v>
      </c>
      <c r="I1742" s="1" t="s">
        <v>16</v>
      </c>
      <c r="J1742" s="1">
        <v>8.0E7</v>
      </c>
      <c r="K1742" s="1">
        <v>2004.0</v>
      </c>
      <c r="L1742" s="1">
        <v>4.9</v>
      </c>
      <c r="O1742" s="3"/>
      <c r="S1742" s="4"/>
    </row>
    <row r="1743" ht="14.25" customHeight="1">
      <c r="A1743" s="1" t="s">
        <v>3049</v>
      </c>
      <c r="B1743" s="1">
        <v>97.0</v>
      </c>
      <c r="C1743" s="1">
        <v>8.2163317E7</v>
      </c>
      <c r="D1743" s="1" t="s">
        <v>1981</v>
      </c>
      <c r="E1743" s="1" t="s">
        <v>3676</v>
      </c>
      <c r="F1743" s="1" t="s">
        <v>3677</v>
      </c>
      <c r="G1743" s="1">
        <v>89101.0</v>
      </c>
      <c r="H1743" s="1">
        <v>885.0</v>
      </c>
      <c r="I1743" s="1" t="s">
        <v>16</v>
      </c>
      <c r="J1743" s="1">
        <v>3.0E7</v>
      </c>
      <c r="K1743" s="1">
        <v>2003.0</v>
      </c>
      <c r="L1743" s="1">
        <v>5.8</v>
      </c>
      <c r="O1743" s="3"/>
      <c r="S1743" s="4"/>
    </row>
    <row r="1744" ht="14.25" customHeight="1">
      <c r="A1744" s="1" t="s">
        <v>2337</v>
      </c>
      <c r="B1744" s="1">
        <v>82.0</v>
      </c>
      <c r="C1744" s="1">
        <v>8.0920948E7</v>
      </c>
      <c r="D1744" s="1" t="s">
        <v>203</v>
      </c>
      <c r="E1744" s="1" t="s">
        <v>864</v>
      </c>
      <c r="F1744" s="1" t="s">
        <v>3678</v>
      </c>
      <c r="G1744" s="1">
        <v>23943.0</v>
      </c>
      <c r="H1744" s="1">
        <v>118.0</v>
      </c>
      <c r="I1744" s="1" t="s">
        <v>16</v>
      </c>
      <c r="J1744" s="1">
        <v>3.0E7</v>
      </c>
      <c r="K1744" s="1">
        <v>2001.0</v>
      </c>
      <c r="L1744" s="1">
        <v>6.0</v>
      </c>
      <c r="O1744" s="3"/>
      <c r="S1744" s="4"/>
    </row>
    <row r="1745" ht="14.25" customHeight="1">
      <c r="A1745" s="1" t="s">
        <v>247</v>
      </c>
      <c r="B1745" s="1">
        <v>85.0</v>
      </c>
      <c r="C1745" s="1">
        <v>8.0034302E7</v>
      </c>
      <c r="D1745" s="1" t="s">
        <v>1405</v>
      </c>
      <c r="E1745" s="1" t="s">
        <v>3679</v>
      </c>
      <c r="F1745" s="1" t="s">
        <v>3680</v>
      </c>
      <c r="G1745" s="1">
        <v>296787.0</v>
      </c>
      <c r="H1745" s="1">
        <v>2192.0</v>
      </c>
      <c r="I1745" s="1" t="s">
        <v>16</v>
      </c>
      <c r="J1745" s="1">
        <v>2.5E7</v>
      </c>
      <c r="K1745" s="1">
        <v>2008.0</v>
      </c>
      <c r="L1745" s="1">
        <v>7.0</v>
      </c>
      <c r="O1745" s="3"/>
      <c r="S1745" s="4"/>
    </row>
    <row r="1746" ht="14.25" customHeight="1">
      <c r="A1746" s="1" t="s">
        <v>3681</v>
      </c>
      <c r="B1746" s="1">
        <v>88.0</v>
      </c>
      <c r="C1746" s="1">
        <v>7.8656813E7</v>
      </c>
      <c r="D1746" s="1" t="s">
        <v>1242</v>
      </c>
      <c r="E1746" s="1" t="s">
        <v>3682</v>
      </c>
      <c r="F1746" s="1" t="s">
        <v>3683</v>
      </c>
      <c r="G1746" s="1">
        <v>42765.0</v>
      </c>
      <c r="H1746" s="1">
        <v>93.0</v>
      </c>
      <c r="I1746" s="1" t="s">
        <v>16</v>
      </c>
      <c r="J1746" s="1">
        <v>2.5E7</v>
      </c>
      <c r="K1746" s="1">
        <v>1991.0</v>
      </c>
      <c r="L1746" s="1">
        <v>6.0</v>
      </c>
      <c r="O1746" s="3"/>
      <c r="S1746" s="4"/>
    </row>
    <row r="1747" ht="14.25" customHeight="1">
      <c r="A1747" s="1" t="s">
        <v>950</v>
      </c>
      <c r="B1747" s="1">
        <v>119.0</v>
      </c>
      <c r="C1747" s="1">
        <v>7.6270454E7</v>
      </c>
      <c r="D1747" s="1" t="s">
        <v>901</v>
      </c>
      <c r="E1747" s="1" t="s">
        <v>725</v>
      </c>
      <c r="F1747" s="1" t="s">
        <v>3684</v>
      </c>
      <c r="G1747" s="1">
        <v>219008.0</v>
      </c>
      <c r="H1747" s="1">
        <v>418.0</v>
      </c>
      <c r="I1747" s="1" t="s">
        <v>16</v>
      </c>
      <c r="J1747" s="1">
        <v>2.5E7</v>
      </c>
      <c r="K1747" s="1">
        <v>1987.0</v>
      </c>
      <c r="L1747" s="1">
        <v>7.9</v>
      </c>
      <c r="O1747" s="3"/>
      <c r="S1747" s="4"/>
    </row>
    <row r="1748" ht="14.25" customHeight="1">
      <c r="A1748" s="1" t="s">
        <v>2831</v>
      </c>
      <c r="B1748" s="1">
        <v>122.0</v>
      </c>
      <c r="C1748" s="1">
        <v>7.4273505E7</v>
      </c>
      <c r="D1748" s="1" t="s">
        <v>901</v>
      </c>
      <c r="E1748" s="1" t="s">
        <v>172</v>
      </c>
      <c r="F1748" s="1" t="s">
        <v>3685</v>
      </c>
      <c r="G1748" s="1">
        <v>612060.0</v>
      </c>
      <c r="H1748" s="1">
        <v>1518.0</v>
      </c>
      <c r="I1748" s="1" t="s">
        <v>16</v>
      </c>
      <c r="J1748" s="1">
        <v>2.5E7</v>
      </c>
      <c r="K1748" s="1">
        <v>2007.0</v>
      </c>
      <c r="L1748" s="1">
        <v>8.1</v>
      </c>
      <c r="O1748" s="3"/>
      <c r="S1748" s="4"/>
    </row>
    <row r="1749" ht="14.25" customHeight="1">
      <c r="A1749" s="1" t="s">
        <v>563</v>
      </c>
      <c r="B1749" s="1">
        <v>99.0</v>
      </c>
      <c r="C1749" s="1">
        <v>1.3414153E8</v>
      </c>
      <c r="D1749" s="1" t="s">
        <v>2274</v>
      </c>
      <c r="E1749" s="1" t="s">
        <v>3686</v>
      </c>
      <c r="F1749" s="1" t="s">
        <v>3687</v>
      </c>
      <c r="G1749" s="1">
        <v>75903.0</v>
      </c>
      <c r="H1749" s="1">
        <v>109.0</v>
      </c>
      <c r="I1749" s="1" t="s">
        <v>16</v>
      </c>
      <c r="J1749" s="1">
        <v>2.5E7</v>
      </c>
      <c r="K1749" s="1">
        <v>2014.0</v>
      </c>
      <c r="L1749" s="1">
        <v>6.2</v>
      </c>
      <c r="O1749" s="3"/>
      <c r="S1749" s="4"/>
    </row>
    <row r="1750" ht="14.25" customHeight="1">
      <c r="A1750" s="1" t="s">
        <v>3688</v>
      </c>
      <c r="B1750" s="1">
        <v>97.0</v>
      </c>
      <c r="C1750" s="1">
        <v>7.1500556E7</v>
      </c>
      <c r="D1750" s="1" t="s">
        <v>593</v>
      </c>
      <c r="E1750" s="1" t="s">
        <v>1475</v>
      </c>
      <c r="F1750" s="1" t="s">
        <v>3689</v>
      </c>
      <c r="G1750" s="1">
        <v>171568.0</v>
      </c>
      <c r="H1750" s="1">
        <v>571.0</v>
      </c>
      <c r="I1750" s="1" t="s">
        <v>16</v>
      </c>
      <c r="J1750" s="1">
        <v>2.6E7</v>
      </c>
      <c r="K1750" s="1">
        <v>2001.0</v>
      </c>
      <c r="L1750" s="1">
        <v>6.7</v>
      </c>
      <c r="O1750" s="3"/>
      <c r="S1750" s="4"/>
    </row>
    <row r="1751" ht="14.25" customHeight="1">
      <c r="A1751" s="1" t="s">
        <v>3025</v>
      </c>
      <c r="B1751" s="1">
        <v>121.0</v>
      </c>
      <c r="C1751" s="1">
        <v>7.130976E7</v>
      </c>
      <c r="D1751" s="1" t="s">
        <v>92</v>
      </c>
      <c r="E1751" s="1" t="s">
        <v>3690</v>
      </c>
      <c r="F1751" s="1" t="s">
        <v>3691</v>
      </c>
      <c r="G1751" s="1">
        <v>150308.0</v>
      </c>
      <c r="H1751" s="1">
        <v>498.0</v>
      </c>
      <c r="I1751" s="1" t="s">
        <v>16</v>
      </c>
      <c r="J1751" s="1">
        <v>2.5E7</v>
      </c>
      <c r="K1751" s="1">
        <v>2000.0</v>
      </c>
      <c r="L1751" s="1">
        <v>7.3</v>
      </c>
      <c r="O1751" s="3"/>
      <c r="S1751" s="4"/>
    </row>
    <row r="1752" ht="14.25" customHeight="1">
      <c r="A1752" s="1" t="s">
        <v>3692</v>
      </c>
      <c r="B1752" s="1">
        <v>95.0</v>
      </c>
      <c r="C1752" s="1">
        <v>8.9808372E7</v>
      </c>
      <c r="D1752" s="1" t="s">
        <v>828</v>
      </c>
      <c r="E1752" s="1" t="s">
        <v>3693</v>
      </c>
      <c r="F1752" s="1" t="s">
        <v>3694</v>
      </c>
      <c r="G1752" s="1">
        <v>46417.0</v>
      </c>
      <c r="H1752" s="1">
        <v>297.0</v>
      </c>
      <c r="I1752" s="1" t="s">
        <v>16</v>
      </c>
      <c r="J1752" s="1">
        <v>4.5E7</v>
      </c>
      <c r="K1752" s="1">
        <v>2003.0</v>
      </c>
      <c r="L1752" s="1">
        <v>4.6</v>
      </c>
      <c r="O1752" s="3"/>
      <c r="S1752" s="4"/>
    </row>
    <row r="1753" ht="14.25" customHeight="1">
      <c r="A1753" s="1" t="s">
        <v>2068</v>
      </c>
      <c r="B1753" s="1">
        <v>105.0</v>
      </c>
      <c r="C1753" s="1">
        <v>7.7264926E7</v>
      </c>
      <c r="D1753" s="1" t="s">
        <v>1247</v>
      </c>
      <c r="E1753" s="1" t="s">
        <v>3695</v>
      </c>
      <c r="F1753" s="1" t="s">
        <v>3696</v>
      </c>
      <c r="G1753" s="1">
        <v>21176.0</v>
      </c>
      <c r="H1753" s="1">
        <v>107.0</v>
      </c>
      <c r="I1753" s="1" t="s">
        <v>16</v>
      </c>
      <c r="J1753" s="1">
        <v>2.5E7</v>
      </c>
      <c r="K1753" s="1">
        <v>2012.0</v>
      </c>
      <c r="L1753" s="1">
        <v>6.1</v>
      </c>
      <c r="O1753" s="3"/>
      <c r="S1753" s="4"/>
    </row>
    <row r="1754" ht="14.25" customHeight="1">
      <c r="A1754" s="1" t="s">
        <v>1117</v>
      </c>
      <c r="B1754" s="1">
        <v>108.0</v>
      </c>
      <c r="C1754" s="1">
        <v>7.0625986E7</v>
      </c>
      <c r="D1754" s="1" t="s">
        <v>699</v>
      </c>
      <c r="E1754" s="1" t="s">
        <v>603</v>
      </c>
      <c r="F1754" s="1" t="s">
        <v>3697</v>
      </c>
      <c r="G1754" s="1">
        <v>168717.0</v>
      </c>
      <c r="H1754" s="1">
        <v>178.0</v>
      </c>
      <c r="I1754" s="1" t="s">
        <v>16</v>
      </c>
      <c r="J1754" s="1">
        <v>2.5E7</v>
      </c>
      <c r="K1754" s="1">
        <v>2011.0</v>
      </c>
      <c r="L1754" s="1">
        <v>6.2</v>
      </c>
      <c r="O1754" s="3"/>
      <c r="S1754" s="4"/>
    </row>
    <row r="1755" ht="14.25" customHeight="1">
      <c r="A1755" s="1" t="s">
        <v>2382</v>
      </c>
      <c r="B1755" s="1">
        <v>134.0</v>
      </c>
      <c r="C1755" s="1">
        <v>5.6505065E7</v>
      </c>
      <c r="D1755" s="1" t="s">
        <v>3698</v>
      </c>
      <c r="E1755" s="1" t="s">
        <v>1389</v>
      </c>
      <c r="F1755" s="1" t="s">
        <v>3699</v>
      </c>
      <c r="G1755" s="1">
        <v>95241.0</v>
      </c>
      <c r="H1755" s="1">
        <v>439.0</v>
      </c>
      <c r="I1755" s="1" t="s">
        <v>16</v>
      </c>
      <c r="J1755" s="1">
        <v>2.5E7</v>
      </c>
      <c r="K1755" s="1">
        <v>1993.0</v>
      </c>
      <c r="L1755" s="1">
        <v>7.8</v>
      </c>
      <c r="O1755" s="3"/>
      <c r="S1755" s="4"/>
    </row>
    <row r="1756" ht="14.25" customHeight="1">
      <c r="A1756" s="1" t="s">
        <v>1404</v>
      </c>
      <c r="B1756" s="1">
        <v>115.0</v>
      </c>
      <c r="C1756" s="1">
        <v>5.5973336E7</v>
      </c>
      <c r="D1756" s="1" t="s">
        <v>146</v>
      </c>
      <c r="E1756" s="1" t="s">
        <v>216</v>
      </c>
      <c r="F1756" s="1" t="s">
        <v>3700</v>
      </c>
      <c r="G1756" s="1">
        <v>57040.0</v>
      </c>
      <c r="H1756" s="1">
        <v>365.0</v>
      </c>
      <c r="I1756" s="1" t="s">
        <v>16</v>
      </c>
      <c r="J1756" s="1">
        <v>2.5E7</v>
      </c>
      <c r="K1756" s="1">
        <v>2000.0</v>
      </c>
      <c r="L1756" s="1">
        <v>6.1</v>
      </c>
      <c r="O1756" s="3"/>
      <c r="S1756" s="4"/>
    </row>
    <row r="1757" ht="14.25" customHeight="1">
      <c r="A1757" s="1" t="s">
        <v>2209</v>
      </c>
      <c r="B1757" s="1">
        <v>86.0</v>
      </c>
      <c r="C1757" s="1">
        <v>5.4098051E7</v>
      </c>
      <c r="D1757" s="1" t="s">
        <v>2551</v>
      </c>
      <c r="E1757" s="1" t="s">
        <v>3701</v>
      </c>
      <c r="F1757" s="1" t="s">
        <v>3702</v>
      </c>
      <c r="G1757" s="1">
        <v>102861.0</v>
      </c>
      <c r="H1757" s="1">
        <v>571.0</v>
      </c>
      <c r="I1757" s="1" t="s">
        <v>16</v>
      </c>
      <c r="J1757" s="1">
        <v>2.5E7</v>
      </c>
      <c r="K1757" s="1">
        <v>2006.0</v>
      </c>
      <c r="L1757" s="1">
        <v>5.8</v>
      </c>
      <c r="O1757" s="3"/>
      <c r="S1757" s="4"/>
    </row>
    <row r="1758" ht="14.25" customHeight="1">
      <c r="A1758" s="1" t="s">
        <v>2866</v>
      </c>
      <c r="B1758" s="1">
        <v>101.0</v>
      </c>
      <c r="C1758" s="1">
        <v>6.0443237E7</v>
      </c>
      <c r="D1758" s="1" t="s">
        <v>92</v>
      </c>
      <c r="E1758" s="1" t="s">
        <v>3703</v>
      </c>
      <c r="F1758" s="1" t="s">
        <v>3704</v>
      </c>
      <c r="G1758" s="1">
        <v>76882.0</v>
      </c>
      <c r="H1758" s="1">
        <v>106.0</v>
      </c>
      <c r="I1758" s="1" t="s">
        <v>16</v>
      </c>
      <c r="J1758" s="1">
        <v>2.5E7</v>
      </c>
      <c r="K1758" s="1">
        <v>2012.0</v>
      </c>
      <c r="L1758" s="1">
        <v>6.5</v>
      </c>
      <c r="O1758" s="3"/>
      <c r="S1758" s="4"/>
    </row>
    <row r="1759" ht="14.25" customHeight="1">
      <c r="A1759" s="1" t="s">
        <v>3705</v>
      </c>
      <c r="B1759" s="1">
        <v>96.0</v>
      </c>
      <c r="C1759" s="1">
        <v>8.2234139E7</v>
      </c>
      <c r="D1759" s="1" t="s">
        <v>236</v>
      </c>
      <c r="E1759" s="1" t="s">
        <v>753</v>
      </c>
      <c r="F1759" s="1" t="s">
        <v>3706</v>
      </c>
      <c r="G1759" s="1">
        <v>110390.0</v>
      </c>
      <c r="H1759" s="1">
        <v>522.0</v>
      </c>
      <c r="I1759" s="1" t="s">
        <v>16</v>
      </c>
      <c r="J1759" s="1">
        <v>1.7E7</v>
      </c>
      <c r="K1759" s="1">
        <v>2007.0</v>
      </c>
      <c r="L1759" s="1">
        <v>7.2</v>
      </c>
      <c r="O1759" s="3"/>
      <c r="S1759" s="4"/>
    </row>
    <row r="1760" ht="14.25" customHeight="1">
      <c r="A1760" s="1" t="s">
        <v>54</v>
      </c>
      <c r="B1760" s="1">
        <v>101.0</v>
      </c>
      <c r="C1760" s="1">
        <v>5.1676606E7</v>
      </c>
      <c r="D1760" s="1" t="s">
        <v>3707</v>
      </c>
      <c r="E1760" s="1" t="s">
        <v>19</v>
      </c>
      <c r="F1760" s="1" t="s">
        <v>3708</v>
      </c>
      <c r="G1760" s="1">
        <v>174591.0</v>
      </c>
      <c r="H1760" s="1">
        <v>632.0</v>
      </c>
      <c r="I1760" s="1" t="s">
        <v>16</v>
      </c>
      <c r="J1760" s="1">
        <v>2.5E7</v>
      </c>
      <c r="K1760" s="1">
        <v>2004.0</v>
      </c>
      <c r="L1760" s="1">
        <v>7.8</v>
      </c>
      <c r="O1760" s="3"/>
      <c r="S1760" s="4"/>
    </row>
    <row r="1761" ht="14.25" customHeight="1">
      <c r="A1761" s="1" t="s">
        <v>3709</v>
      </c>
      <c r="B1761" s="1">
        <v>100.0</v>
      </c>
      <c r="C1761" s="1">
        <v>5.252833E7</v>
      </c>
      <c r="D1761" s="1" t="s">
        <v>1059</v>
      </c>
      <c r="E1761" s="1" t="s">
        <v>3180</v>
      </c>
      <c r="F1761" s="1" t="s">
        <v>3710</v>
      </c>
      <c r="G1761" s="1">
        <v>4265.0</v>
      </c>
      <c r="H1761" s="1">
        <v>27.0</v>
      </c>
      <c r="I1761" s="1" t="s">
        <v>16</v>
      </c>
      <c r="J1761" s="1">
        <v>2.5E7</v>
      </c>
      <c r="K1761" s="1">
        <v>2013.0</v>
      </c>
      <c r="L1761" s="1">
        <v>4.7</v>
      </c>
      <c r="O1761" s="3"/>
      <c r="S1761" s="4"/>
    </row>
    <row r="1762" ht="14.25" customHeight="1">
      <c r="A1762" s="1" t="s">
        <v>3711</v>
      </c>
      <c r="B1762" s="1">
        <v>117.0</v>
      </c>
      <c r="C1762" s="1">
        <v>5.1533608E7</v>
      </c>
      <c r="D1762" s="1" t="s">
        <v>304</v>
      </c>
      <c r="E1762" s="1" t="s">
        <v>100</v>
      </c>
      <c r="F1762" s="1" t="s">
        <v>3712</v>
      </c>
      <c r="G1762" s="1">
        <v>203111.0</v>
      </c>
      <c r="H1762" s="1">
        <v>755.0</v>
      </c>
      <c r="I1762" s="1" t="s">
        <v>16</v>
      </c>
      <c r="J1762" s="1">
        <v>2.5E7</v>
      </c>
      <c r="K1762" s="1">
        <v>2011.0</v>
      </c>
      <c r="L1762" s="1">
        <v>6.8</v>
      </c>
      <c r="O1762" s="3"/>
      <c r="S1762" s="4"/>
    </row>
    <row r="1763" ht="14.25" customHeight="1">
      <c r="A1763" s="1" t="s">
        <v>3713</v>
      </c>
      <c r="B1763" s="1">
        <v>101.0</v>
      </c>
      <c r="C1763" s="1">
        <v>5.1097664E7</v>
      </c>
      <c r="D1763" s="1" t="s">
        <v>2439</v>
      </c>
      <c r="E1763" s="1" t="s">
        <v>725</v>
      </c>
      <c r="F1763" s="1" t="s">
        <v>3714</v>
      </c>
      <c r="G1763" s="1">
        <v>70205.0</v>
      </c>
      <c r="H1763" s="1">
        <v>450.0</v>
      </c>
      <c r="I1763" s="1" t="s">
        <v>16</v>
      </c>
      <c r="J1763" s="1">
        <v>3.0E7</v>
      </c>
      <c r="K1763" s="1">
        <v>2005.0</v>
      </c>
      <c r="L1763" s="1">
        <v>5.9</v>
      </c>
      <c r="O1763" s="3"/>
      <c r="S1763" s="4"/>
    </row>
    <row r="1764" ht="14.25" customHeight="1">
      <c r="A1764" s="1" t="s">
        <v>727</v>
      </c>
      <c r="B1764" s="1">
        <v>98.0</v>
      </c>
      <c r="C1764" s="1">
        <v>8.4136909E7</v>
      </c>
      <c r="D1764" s="1" t="s">
        <v>828</v>
      </c>
      <c r="E1764" s="1" t="s">
        <v>3715</v>
      </c>
      <c r="F1764" s="1" t="s">
        <v>3716</v>
      </c>
      <c r="G1764" s="1">
        <v>267921.0</v>
      </c>
      <c r="H1764" s="1">
        <v>577.0</v>
      </c>
      <c r="I1764" s="1" t="s">
        <v>16</v>
      </c>
      <c r="J1764" s="1">
        <v>2.6E7</v>
      </c>
      <c r="K1764" s="1">
        <v>2004.0</v>
      </c>
      <c r="L1764" s="1">
        <v>7.2</v>
      </c>
      <c r="O1764" s="3"/>
      <c r="S1764" s="4"/>
    </row>
    <row r="1765" ht="14.25" customHeight="1">
      <c r="A1765" s="1" t="s">
        <v>208</v>
      </c>
      <c r="B1765" s="1">
        <v>146.0</v>
      </c>
      <c r="C1765" s="1">
        <v>4.6836394E7</v>
      </c>
      <c r="D1765" s="1" t="s">
        <v>716</v>
      </c>
      <c r="E1765" s="1" t="s">
        <v>725</v>
      </c>
      <c r="F1765" s="1" t="s">
        <v>3717</v>
      </c>
      <c r="G1765" s="1">
        <v>728685.0</v>
      </c>
      <c r="H1765" s="1">
        <v>989.0</v>
      </c>
      <c r="I1765" s="1" t="s">
        <v>16</v>
      </c>
      <c r="J1765" s="1">
        <v>2.5E7</v>
      </c>
      <c r="K1765" s="1">
        <v>1990.0</v>
      </c>
      <c r="L1765" s="1">
        <v>8.7</v>
      </c>
      <c r="O1765" s="3"/>
      <c r="S1765" s="4"/>
    </row>
    <row r="1766" ht="14.25" customHeight="1">
      <c r="A1766" s="1" t="s">
        <v>1783</v>
      </c>
      <c r="B1766" s="1">
        <v>102.0</v>
      </c>
      <c r="C1766" s="1">
        <v>4.7285499E7</v>
      </c>
      <c r="D1766" s="1" t="s">
        <v>3718</v>
      </c>
      <c r="E1766" s="1" t="s">
        <v>3632</v>
      </c>
      <c r="F1766" s="1" t="s">
        <v>3719</v>
      </c>
      <c r="G1766" s="1">
        <v>26755.0</v>
      </c>
      <c r="H1766" s="1">
        <v>104.0</v>
      </c>
      <c r="I1766" s="1" t="s">
        <v>16</v>
      </c>
      <c r="J1766" s="1">
        <v>2.6E7</v>
      </c>
      <c r="K1766" s="1">
        <v>2003.0</v>
      </c>
      <c r="L1766" s="1">
        <v>5.0</v>
      </c>
      <c r="O1766" s="3"/>
      <c r="S1766" s="4"/>
    </row>
    <row r="1767" ht="14.25" customHeight="1">
      <c r="A1767" s="1" t="s">
        <v>2829</v>
      </c>
      <c r="B1767" s="1">
        <v>97.0</v>
      </c>
      <c r="C1767" s="1">
        <v>4.71244E7</v>
      </c>
      <c r="D1767" s="1" t="s">
        <v>222</v>
      </c>
      <c r="E1767" s="1" t="s">
        <v>1475</v>
      </c>
      <c r="F1767" s="1" t="s">
        <v>3720</v>
      </c>
      <c r="G1767" s="1">
        <v>49676.0</v>
      </c>
      <c r="H1767" s="1">
        <v>181.0</v>
      </c>
      <c r="I1767" s="1" t="s">
        <v>16</v>
      </c>
      <c r="J1767" s="1">
        <v>2.5E7</v>
      </c>
      <c r="K1767" s="1">
        <v>2005.0</v>
      </c>
      <c r="L1767" s="1">
        <v>6.6</v>
      </c>
      <c r="O1767" s="3"/>
      <c r="S1767" s="4"/>
    </row>
    <row r="1768" ht="14.25" customHeight="1">
      <c r="A1768" s="1" t="s">
        <v>950</v>
      </c>
      <c r="B1768" s="1">
        <v>142.0</v>
      </c>
      <c r="C1768" s="1">
        <v>4.47E7</v>
      </c>
      <c r="D1768" s="1" t="s">
        <v>811</v>
      </c>
      <c r="E1768" s="1" t="s">
        <v>1002</v>
      </c>
      <c r="F1768" s="1" t="s">
        <v>3721</v>
      </c>
      <c r="G1768" s="1">
        <v>537442.0</v>
      </c>
      <c r="H1768" s="1">
        <v>851.0</v>
      </c>
      <c r="I1768" s="1" t="s">
        <v>16</v>
      </c>
      <c r="J1768" s="1">
        <v>2.5E7</v>
      </c>
      <c r="K1768" s="1">
        <v>1983.0</v>
      </c>
      <c r="L1768" s="1">
        <v>8.3</v>
      </c>
      <c r="O1768" s="3"/>
      <c r="S1768" s="4"/>
    </row>
    <row r="1769" ht="14.25" customHeight="1">
      <c r="A1769" s="1" t="s">
        <v>2014</v>
      </c>
      <c r="B1769" s="1">
        <v>98.0</v>
      </c>
      <c r="C1769" s="1">
        <v>4.4455658E7</v>
      </c>
      <c r="D1769" s="1" t="s">
        <v>572</v>
      </c>
      <c r="E1769" s="1" t="s">
        <v>1810</v>
      </c>
      <c r="F1769" s="1" t="s">
        <v>3722</v>
      </c>
      <c r="G1769" s="1">
        <v>36253.0</v>
      </c>
      <c r="H1769" s="1">
        <v>92.0</v>
      </c>
      <c r="I1769" s="1" t="s">
        <v>16</v>
      </c>
      <c r="J1769" s="1">
        <v>2.5E7</v>
      </c>
      <c r="K1769" s="1">
        <v>1997.0</v>
      </c>
      <c r="L1769" s="1">
        <v>6.7</v>
      </c>
      <c r="O1769" s="3"/>
      <c r="S1769" s="4"/>
    </row>
    <row r="1770" ht="14.25" customHeight="1">
      <c r="A1770" s="1" t="s">
        <v>3723</v>
      </c>
      <c r="B1770" s="1">
        <v>219.0</v>
      </c>
      <c r="C1770" s="1">
        <v>4.398423E7</v>
      </c>
      <c r="D1770" s="1" t="s">
        <v>2369</v>
      </c>
      <c r="E1770" s="1" t="s">
        <v>710</v>
      </c>
      <c r="F1770" s="1" t="s">
        <v>3724</v>
      </c>
      <c r="G1770" s="1">
        <v>70274.0</v>
      </c>
      <c r="H1770" s="1">
        <v>133.0</v>
      </c>
      <c r="I1770" s="1" t="s">
        <v>16</v>
      </c>
      <c r="J1770" s="1">
        <v>2.3E7</v>
      </c>
      <c r="K1770" s="1">
        <v>1987.0</v>
      </c>
      <c r="L1770" s="1">
        <v>7.8</v>
      </c>
      <c r="O1770" s="3"/>
      <c r="S1770" s="4"/>
    </row>
    <row r="1771" ht="14.25" customHeight="1">
      <c r="A1771" s="1" t="s">
        <v>1558</v>
      </c>
      <c r="B1771" s="1">
        <v>109.0</v>
      </c>
      <c r="C1771" s="1">
        <v>6.6489425E7</v>
      </c>
      <c r="D1771" s="1" t="s">
        <v>197</v>
      </c>
      <c r="E1771" s="1" t="s">
        <v>35</v>
      </c>
      <c r="F1771" s="1" t="s">
        <v>3725</v>
      </c>
      <c r="G1771" s="1">
        <v>101977.0</v>
      </c>
      <c r="H1771" s="1">
        <v>161.0</v>
      </c>
      <c r="I1771" s="1" t="s">
        <v>16</v>
      </c>
      <c r="J1771" s="1">
        <v>2.5E7</v>
      </c>
      <c r="K1771" s="1">
        <v>2012.0</v>
      </c>
      <c r="L1771" s="1">
        <v>6.5</v>
      </c>
      <c r="O1771" s="3"/>
      <c r="S1771" s="4"/>
    </row>
    <row r="1772" ht="14.25" customHeight="1">
      <c r="A1772" s="1" t="s">
        <v>113</v>
      </c>
      <c r="B1772" s="1">
        <v>97.0</v>
      </c>
      <c r="C1772" s="1">
        <v>4.1067398E7</v>
      </c>
      <c r="D1772" s="1" t="s">
        <v>180</v>
      </c>
      <c r="E1772" s="1" t="s">
        <v>3726</v>
      </c>
      <c r="F1772" s="1" t="s">
        <v>3727</v>
      </c>
      <c r="G1772" s="1">
        <v>22748.0</v>
      </c>
      <c r="H1772" s="1">
        <v>41.0</v>
      </c>
      <c r="I1772" s="1" t="s">
        <v>16</v>
      </c>
      <c r="J1772" s="1">
        <v>2.5E7</v>
      </c>
      <c r="K1772" s="1">
        <v>1997.0</v>
      </c>
      <c r="L1772" s="1">
        <v>6.1</v>
      </c>
      <c r="O1772" s="3"/>
      <c r="S1772" s="4"/>
    </row>
    <row r="1773" ht="14.25" customHeight="1">
      <c r="A1773" s="1" t="s">
        <v>2820</v>
      </c>
      <c r="B1773" s="1">
        <v>158.0</v>
      </c>
      <c r="C1773" s="1">
        <v>4.0218903E7</v>
      </c>
      <c r="D1773" s="1" t="s">
        <v>1391</v>
      </c>
      <c r="E1773" s="1" t="s">
        <v>3728</v>
      </c>
      <c r="F1773" s="1" t="s">
        <v>3729</v>
      </c>
      <c r="G1773" s="1">
        <v>372990.0</v>
      </c>
      <c r="H1773" s="1">
        <v>1107.0</v>
      </c>
      <c r="I1773" s="1" t="s">
        <v>16</v>
      </c>
      <c r="J1773" s="1">
        <v>2.5E7</v>
      </c>
      <c r="K1773" s="1">
        <v>2007.0</v>
      </c>
      <c r="L1773" s="1">
        <v>8.1</v>
      </c>
      <c r="O1773" s="3"/>
      <c r="S1773" s="4"/>
    </row>
    <row r="1774" ht="14.25" customHeight="1">
      <c r="A1774" s="1" t="s">
        <v>3730</v>
      </c>
      <c r="B1774" s="1">
        <v>85.0</v>
      </c>
      <c r="C1774" s="1">
        <v>3.9880476E7</v>
      </c>
      <c r="D1774" s="1" t="s">
        <v>118</v>
      </c>
      <c r="E1774" s="1" t="s">
        <v>518</v>
      </c>
      <c r="F1774" s="1" t="s">
        <v>3731</v>
      </c>
      <c r="G1774" s="1">
        <v>12218.0</v>
      </c>
      <c r="H1774" s="1">
        <v>33.0</v>
      </c>
      <c r="I1774" s="1" t="s">
        <v>16</v>
      </c>
      <c r="J1774" s="1">
        <v>2.5E7</v>
      </c>
      <c r="K1774" s="1">
        <v>2002.0</v>
      </c>
      <c r="L1774" s="1">
        <v>5.2</v>
      </c>
      <c r="O1774" s="3"/>
      <c r="S1774" s="4"/>
    </row>
    <row r="1775" ht="14.25" customHeight="1">
      <c r="A1775" s="1" t="s">
        <v>3732</v>
      </c>
      <c r="B1775" s="1">
        <v>80.0</v>
      </c>
      <c r="C1775" s="1">
        <v>3.939975E7</v>
      </c>
      <c r="D1775" s="1" t="s">
        <v>353</v>
      </c>
      <c r="E1775" s="1" t="s">
        <v>3235</v>
      </c>
      <c r="F1775" s="1" t="s">
        <v>3733</v>
      </c>
      <c r="G1775" s="1">
        <v>5674.0</v>
      </c>
      <c r="H1775" s="1">
        <v>35.0</v>
      </c>
      <c r="I1775" s="1" t="s">
        <v>16</v>
      </c>
      <c r="J1775" s="1">
        <v>2.5E7</v>
      </c>
      <c r="K1775" s="1">
        <v>2003.0</v>
      </c>
      <c r="L1775" s="1">
        <v>5.6</v>
      </c>
      <c r="O1775" s="3"/>
      <c r="S1775" s="4"/>
    </row>
    <row r="1776" ht="14.25" customHeight="1">
      <c r="A1776" s="1" t="s">
        <v>3550</v>
      </c>
      <c r="B1776" s="1">
        <v>86.0</v>
      </c>
      <c r="C1776" s="1">
        <v>3.8230435E7</v>
      </c>
      <c r="D1776" s="1" t="s">
        <v>907</v>
      </c>
      <c r="E1776" s="1" t="s">
        <v>3734</v>
      </c>
      <c r="F1776" s="1" t="s">
        <v>3735</v>
      </c>
      <c r="G1776" s="1">
        <v>29661.0</v>
      </c>
      <c r="H1776" s="1">
        <v>179.0</v>
      </c>
      <c r="I1776" s="1" t="s">
        <v>16</v>
      </c>
      <c r="J1776" s="1">
        <v>2.5E7</v>
      </c>
      <c r="K1776" s="1">
        <v>2002.0</v>
      </c>
      <c r="L1776" s="1">
        <v>5.8</v>
      </c>
      <c r="O1776" s="3"/>
      <c r="S1776" s="4"/>
    </row>
    <row r="1777" ht="14.25" customHeight="1">
      <c r="A1777" s="1" t="s">
        <v>2506</v>
      </c>
      <c r="B1777" s="1">
        <v>119.0</v>
      </c>
      <c r="C1777" s="1">
        <v>3.9008741E7</v>
      </c>
      <c r="D1777" s="1" t="s">
        <v>3660</v>
      </c>
      <c r="E1777" s="1" t="s">
        <v>3679</v>
      </c>
      <c r="F1777" s="1" t="s">
        <v>3736</v>
      </c>
      <c r="G1777" s="1">
        <v>44838.0</v>
      </c>
      <c r="H1777" s="1">
        <v>223.0</v>
      </c>
      <c r="I1777" s="1" t="s">
        <v>16</v>
      </c>
      <c r="J1777" s="1">
        <v>2.5E7</v>
      </c>
      <c r="K1777" s="1">
        <v>2005.0</v>
      </c>
      <c r="L1777" s="1">
        <v>6.6</v>
      </c>
      <c r="O1777" s="3"/>
      <c r="S1777" s="4"/>
    </row>
    <row r="1778" ht="14.25" customHeight="1">
      <c r="A1778" s="1" t="s">
        <v>3737</v>
      </c>
      <c r="B1778" s="1">
        <v>98.0</v>
      </c>
      <c r="C1778" s="1">
        <v>3.6833473E7</v>
      </c>
      <c r="D1778" s="1" t="s">
        <v>197</v>
      </c>
      <c r="E1778" s="1" t="s">
        <v>216</v>
      </c>
      <c r="F1778" s="1" t="s">
        <v>3738</v>
      </c>
      <c r="G1778" s="1">
        <v>53126.0</v>
      </c>
      <c r="H1778" s="1">
        <v>254.0</v>
      </c>
      <c r="I1778" s="1" t="s">
        <v>16</v>
      </c>
      <c r="J1778" s="1">
        <v>2.5E7</v>
      </c>
      <c r="K1778" s="1">
        <v>2001.0</v>
      </c>
      <c r="L1778" s="1">
        <v>6.6</v>
      </c>
      <c r="O1778" s="3"/>
      <c r="S1778" s="4"/>
    </row>
    <row r="1779" ht="14.25" customHeight="1">
      <c r="A1779" s="1" t="s">
        <v>3739</v>
      </c>
      <c r="B1779" s="1">
        <v>97.0</v>
      </c>
      <c r="C1779" s="1">
        <v>4.8237389E7</v>
      </c>
      <c r="D1779" s="1" t="s">
        <v>699</v>
      </c>
      <c r="E1779" s="1" t="s">
        <v>78</v>
      </c>
      <c r="F1779" s="1" t="s">
        <v>3740</v>
      </c>
      <c r="G1779" s="1">
        <v>63969.0</v>
      </c>
      <c r="H1779" s="1">
        <v>126.0</v>
      </c>
      <c r="I1779" s="1" t="s">
        <v>16</v>
      </c>
      <c r="J1779" s="1">
        <v>2.5E7</v>
      </c>
      <c r="K1779" s="1">
        <v>2008.0</v>
      </c>
      <c r="L1779" s="1">
        <v>5.5</v>
      </c>
      <c r="O1779" s="3"/>
      <c r="S1779" s="4"/>
    </row>
    <row r="1780" ht="14.25" customHeight="1">
      <c r="A1780" s="1" t="s">
        <v>3394</v>
      </c>
      <c r="B1780" s="1">
        <v>124.0</v>
      </c>
      <c r="C1780" s="1">
        <v>3.6447959E7</v>
      </c>
      <c r="D1780" s="1" t="s">
        <v>681</v>
      </c>
      <c r="E1780" s="1" t="s">
        <v>256</v>
      </c>
      <c r="F1780" s="1" t="s">
        <v>3741</v>
      </c>
      <c r="G1780" s="1">
        <v>35833.0</v>
      </c>
      <c r="H1780" s="1">
        <v>96.0</v>
      </c>
      <c r="I1780" s="1" t="s">
        <v>16</v>
      </c>
      <c r="J1780" s="1">
        <v>2.5E7</v>
      </c>
      <c r="K1780" s="1">
        <v>2014.0</v>
      </c>
      <c r="L1780" s="1">
        <v>7.0</v>
      </c>
      <c r="O1780" s="3"/>
      <c r="S1780" s="4"/>
    </row>
    <row r="1781" ht="14.25" customHeight="1">
      <c r="A1781" s="1" t="s">
        <v>502</v>
      </c>
      <c r="B1781" s="1">
        <v>97.0</v>
      </c>
      <c r="C1781" s="1">
        <v>4.5089048E7</v>
      </c>
      <c r="D1781" s="1" t="s">
        <v>3742</v>
      </c>
      <c r="E1781" s="1" t="s">
        <v>130</v>
      </c>
      <c r="F1781" s="1" t="s">
        <v>3743</v>
      </c>
      <c r="G1781" s="1">
        <v>86251.0</v>
      </c>
      <c r="H1781" s="1">
        <v>260.0</v>
      </c>
      <c r="I1781" s="1" t="s">
        <v>16</v>
      </c>
      <c r="J1781" s="1">
        <v>2.5E7</v>
      </c>
      <c r="K1781" s="1">
        <v>2014.0</v>
      </c>
      <c r="L1781" s="1">
        <v>6.5</v>
      </c>
      <c r="O1781" s="3"/>
      <c r="S1781" s="4"/>
    </row>
    <row r="1782" ht="14.25" customHeight="1">
      <c r="A1782" s="1" t="s">
        <v>2695</v>
      </c>
      <c r="B1782" s="1">
        <v>105.0</v>
      </c>
      <c r="C1782" s="1">
        <v>3.5990505E7</v>
      </c>
      <c r="D1782" s="1" t="s">
        <v>3660</v>
      </c>
      <c r="E1782" s="1" t="s">
        <v>1475</v>
      </c>
      <c r="F1782" s="1" t="s">
        <v>3744</v>
      </c>
      <c r="G1782" s="1">
        <v>48095.0</v>
      </c>
      <c r="H1782" s="1">
        <v>194.0</v>
      </c>
      <c r="I1782" s="1" t="s">
        <v>16</v>
      </c>
      <c r="J1782" s="1">
        <v>2.0E7</v>
      </c>
      <c r="K1782" s="1">
        <v>2003.0</v>
      </c>
      <c r="L1782" s="1">
        <v>5.8</v>
      </c>
      <c r="O1782" s="3"/>
      <c r="S1782" s="4"/>
    </row>
    <row r="1783" ht="14.25" customHeight="1">
      <c r="A1783" s="1" t="s">
        <v>3745</v>
      </c>
      <c r="B1783" s="1">
        <v>104.0</v>
      </c>
      <c r="C1783" s="1">
        <v>3.5143332E7</v>
      </c>
      <c r="D1783" s="1" t="s">
        <v>2551</v>
      </c>
      <c r="E1783" s="1" t="s">
        <v>3746</v>
      </c>
      <c r="F1783" s="1" t="s">
        <v>3747</v>
      </c>
      <c r="G1783" s="1">
        <v>45102.0</v>
      </c>
      <c r="H1783" s="1">
        <v>316.0</v>
      </c>
      <c r="I1783" s="1" t="s">
        <v>16</v>
      </c>
      <c r="J1783" s="1">
        <v>1.7E7</v>
      </c>
      <c r="K1783" s="1">
        <v>2003.0</v>
      </c>
      <c r="L1783" s="1">
        <v>5.6</v>
      </c>
      <c r="O1783" s="3"/>
      <c r="S1783" s="4"/>
    </row>
    <row r="1784" ht="14.25" customHeight="1">
      <c r="A1784" s="1" t="s">
        <v>3748</v>
      </c>
      <c r="B1784" s="1">
        <v>101.0</v>
      </c>
      <c r="C1784" s="1">
        <v>3.5000629E7</v>
      </c>
      <c r="D1784" s="1" t="s">
        <v>699</v>
      </c>
      <c r="E1784" s="1" t="s">
        <v>2672</v>
      </c>
      <c r="F1784" s="1" t="s">
        <v>3749</v>
      </c>
      <c r="G1784" s="1">
        <v>74622.0</v>
      </c>
      <c r="H1784" s="1">
        <v>150.0</v>
      </c>
      <c r="I1784" s="1" t="s">
        <v>16</v>
      </c>
      <c r="J1784" s="1">
        <v>2.5E7</v>
      </c>
      <c r="K1784" s="1">
        <v>2007.0</v>
      </c>
      <c r="L1784" s="1">
        <v>5.6</v>
      </c>
      <c r="O1784" s="3"/>
      <c r="S1784" s="4"/>
    </row>
    <row r="1785" ht="14.25" customHeight="1">
      <c r="A1785" s="1" t="s">
        <v>1404</v>
      </c>
      <c r="B1785" s="1">
        <v>101.0</v>
      </c>
      <c r="C1785" s="1">
        <v>3.4604054E7</v>
      </c>
      <c r="D1785" s="1" t="s">
        <v>197</v>
      </c>
      <c r="E1785" s="1" t="s">
        <v>216</v>
      </c>
      <c r="F1785" s="1" t="s">
        <v>3750</v>
      </c>
      <c r="G1785" s="1">
        <v>34942.0</v>
      </c>
      <c r="H1785" s="1">
        <v>185.0</v>
      </c>
      <c r="I1785" s="1" t="s">
        <v>16</v>
      </c>
      <c r="J1785" s="1">
        <v>3.0E7</v>
      </c>
      <c r="K1785" s="1">
        <v>2003.0</v>
      </c>
      <c r="L1785" s="1">
        <v>5.8</v>
      </c>
      <c r="O1785" s="3"/>
      <c r="S1785" s="4"/>
    </row>
    <row r="1786" ht="14.25" customHeight="1">
      <c r="A1786" s="1" t="s">
        <v>2635</v>
      </c>
      <c r="B1786" s="1">
        <v>114.0</v>
      </c>
      <c r="C1786" s="1">
        <v>4.159783E7</v>
      </c>
      <c r="D1786" s="1" t="s">
        <v>92</v>
      </c>
      <c r="E1786" s="1" t="s">
        <v>1000</v>
      </c>
      <c r="F1786" s="1" t="s">
        <v>3751</v>
      </c>
      <c r="G1786" s="1">
        <v>102123.0</v>
      </c>
      <c r="H1786" s="1">
        <v>660.0</v>
      </c>
      <c r="I1786" s="1" t="s">
        <v>16</v>
      </c>
      <c r="J1786" s="1">
        <v>2.5E7</v>
      </c>
      <c r="K1786" s="1">
        <v>2002.0</v>
      </c>
      <c r="L1786" s="1">
        <v>7.6</v>
      </c>
      <c r="O1786" s="3"/>
      <c r="S1786" s="4"/>
    </row>
    <row r="1787" ht="14.25" customHeight="1">
      <c r="A1787" s="1" t="s">
        <v>2068</v>
      </c>
      <c r="B1787" s="1">
        <v>105.0</v>
      </c>
      <c r="C1787" s="1">
        <v>3.368763E7</v>
      </c>
      <c r="D1787" s="1" t="s">
        <v>699</v>
      </c>
      <c r="E1787" s="1" t="s">
        <v>191</v>
      </c>
      <c r="F1787" s="1" t="s">
        <v>3752</v>
      </c>
      <c r="G1787" s="1">
        <v>116762.0</v>
      </c>
      <c r="H1787" s="1">
        <v>261.0</v>
      </c>
      <c r="I1787" s="1" t="s">
        <v>16</v>
      </c>
      <c r="J1787" s="1">
        <v>2.0E7</v>
      </c>
      <c r="K1787" s="1">
        <v>2006.0</v>
      </c>
      <c r="L1787" s="1">
        <v>6.4</v>
      </c>
      <c r="O1787" s="3"/>
      <c r="S1787" s="4"/>
    </row>
    <row r="1788" ht="14.25" customHeight="1">
      <c r="A1788" s="1" t="s">
        <v>3753</v>
      </c>
      <c r="B1788" s="1">
        <v>90.0</v>
      </c>
      <c r="C1788" s="1">
        <v>3.255321E7</v>
      </c>
      <c r="D1788" s="1" t="s">
        <v>1247</v>
      </c>
      <c r="E1788" s="1" t="s">
        <v>3754</v>
      </c>
      <c r="F1788" s="1" t="s">
        <v>3755</v>
      </c>
      <c r="G1788" s="1">
        <v>88714.0</v>
      </c>
      <c r="H1788" s="1">
        <v>235.0</v>
      </c>
      <c r="I1788" s="1" t="s">
        <v>16</v>
      </c>
      <c r="J1788" s="1">
        <v>2.5E7</v>
      </c>
      <c r="K1788" s="1">
        <v>2007.0</v>
      </c>
      <c r="L1788" s="1">
        <v>6.3</v>
      </c>
      <c r="O1788" s="3"/>
      <c r="S1788" s="4"/>
    </row>
    <row r="1789" ht="14.25" customHeight="1">
      <c r="A1789" s="1" t="s">
        <v>3756</v>
      </c>
      <c r="B1789" s="1">
        <v>97.0</v>
      </c>
      <c r="C1789" s="1">
        <v>3.1526393E7</v>
      </c>
      <c r="D1789" s="1" t="s">
        <v>2302</v>
      </c>
      <c r="E1789" s="1" t="s">
        <v>3757</v>
      </c>
      <c r="F1789" s="1" t="s">
        <v>3758</v>
      </c>
      <c r="G1789" s="1">
        <v>22243.0</v>
      </c>
      <c r="H1789" s="1">
        <v>144.0</v>
      </c>
      <c r="I1789" s="1" t="s">
        <v>16</v>
      </c>
      <c r="J1789" s="1">
        <v>2.5E7</v>
      </c>
      <c r="K1789" s="1">
        <v>2004.0</v>
      </c>
      <c r="L1789" s="1">
        <v>4.6</v>
      </c>
      <c r="O1789" s="3"/>
      <c r="S1789" s="4"/>
    </row>
    <row r="1790" ht="14.25" customHeight="1">
      <c r="A1790" s="1" t="s">
        <v>3759</v>
      </c>
      <c r="B1790" s="1">
        <v>144.0</v>
      </c>
      <c r="C1790" s="1">
        <v>41229.0</v>
      </c>
      <c r="D1790" s="1" t="s">
        <v>901</v>
      </c>
      <c r="E1790" s="1" t="s">
        <v>1868</v>
      </c>
      <c r="F1790" s="1" t="s">
        <v>3760</v>
      </c>
      <c r="G1790" s="1">
        <v>14612.0</v>
      </c>
      <c r="H1790" s="1">
        <v>41.0</v>
      </c>
      <c r="I1790" s="1" t="s">
        <v>16</v>
      </c>
      <c r="J1790" s="1">
        <v>2.55E7</v>
      </c>
      <c r="K1790" s="1">
        <v>2013.0</v>
      </c>
      <c r="L1790" s="1">
        <v>6.5</v>
      </c>
      <c r="O1790" s="3"/>
      <c r="S1790" s="4"/>
    </row>
    <row r="1791" ht="14.25" customHeight="1">
      <c r="A1791" s="1" t="s">
        <v>3761</v>
      </c>
      <c r="B1791" s="1">
        <v>114.0</v>
      </c>
      <c r="C1791" s="1">
        <v>3.1655091E7</v>
      </c>
      <c r="D1791" s="1" t="s">
        <v>2466</v>
      </c>
      <c r="E1791" s="1" t="s">
        <v>346</v>
      </c>
      <c r="F1791" s="1" t="s">
        <v>3762</v>
      </c>
      <c r="G1791" s="1">
        <v>87331.0</v>
      </c>
      <c r="H1791" s="1">
        <v>364.0</v>
      </c>
      <c r="I1791" s="1" t="s">
        <v>16</v>
      </c>
      <c r="J1791" s="1">
        <v>3.0E7</v>
      </c>
      <c r="K1791" s="1">
        <v>2007.0</v>
      </c>
      <c r="L1791" s="1">
        <v>7.5</v>
      </c>
      <c r="O1791" s="3"/>
      <c r="S1791" s="4"/>
    </row>
    <row r="1792" ht="14.25" customHeight="1">
      <c r="A1792" s="1" t="s">
        <v>1928</v>
      </c>
      <c r="B1792" s="1">
        <v>124.0</v>
      </c>
      <c r="C1792" s="1">
        <v>3.001299E7</v>
      </c>
      <c r="D1792" s="1" t="s">
        <v>2369</v>
      </c>
      <c r="E1792" s="1" t="s">
        <v>3763</v>
      </c>
      <c r="F1792" s="1" t="s">
        <v>3764</v>
      </c>
      <c r="G1792" s="1">
        <v>75973.0</v>
      </c>
      <c r="H1792" s="1">
        <v>409.0</v>
      </c>
      <c r="I1792" s="1" t="s">
        <v>16</v>
      </c>
      <c r="J1792" s="1">
        <v>2.5E7</v>
      </c>
      <c r="K1792" s="1">
        <v>1998.0</v>
      </c>
      <c r="L1792" s="1">
        <v>7.5</v>
      </c>
      <c r="O1792" s="3"/>
      <c r="S1792" s="4"/>
    </row>
    <row r="1793" ht="14.25" customHeight="1">
      <c r="A1793" s="1" t="s">
        <v>3049</v>
      </c>
      <c r="B1793" s="1">
        <v>89.0</v>
      </c>
      <c r="C1793" s="1">
        <v>3.236896E7</v>
      </c>
      <c r="D1793" s="1" t="s">
        <v>3765</v>
      </c>
      <c r="E1793" s="1" t="s">
        <v>3766</v>
      </c>
      <c r="F1793" s="1" t="s">
        <v>3767</v>
      </c>
      <c r="G1793" s="1">
        <v>39768.0</v>
      </c>
      <c r="H1793" s="1">
        <v>292.0</v>
      </c>
      <c r="I1793" s="1" t="s">
        <v>16</v>
      </c>
      <c r="J1793" s="1">
        <v>2.5E7</v>
      </c>
      <c r="K1793" s="1">
        <v>1998.0</v>
      </c>
      <c r="L1793" s="1">
        <v>5.3</v>
      </c>
      <c r="O1793" s="3"/>
      <c r="S1793" s="4"/>
    </row>
    <row r="1794" ht="14.25" customHeight="1">
      <c r="A1794" s="1" t="s">
        <v>3768</v>
      </c>
      <c r="B1794" s="1">
        <v>160.0</v>
      </c>
      <c r="C1794" s="1">
        <v>1.45E7</v>
      </c>
      <c r="D1794" s="1" t="s">
        <v>431</v>
      </c>
      <c r="E1794" s="1" t="s">
        <v>3769</v>
      </c>
      <c r="F1794" s="1" t="s">
        <v>3770</v>
      </c>
      <c r="G1794" s="1">
        <v>25019.0</v>
      </c>
      <c r="H1794" s="1">
        <v>159.0</v>
      </c>
      <c r="I1794" s="1" t="s">
        <v>16</v>
      </c>
      <c r="J1794" s="1">
        <v>2.5E7</v>
      </c>
      <c r="K1794" s="1">
        <v>1970.0</v>
      </c>
      <c r="L1794" s="1">
        <v>7.5</v>
      </c>
      <c r="O1794" s="3"/>
      <c r="S1794" s="4"/>
    </row>
    <row r="1795" ht="14.25" customHeight="1">
      <c r="A1795" s="1" t="s">
        <v>3771</v>
      </c>
      <c r="B1795" s="1">
        <v>93.0</v>
      </c>
      <c r="C1795" s="1">
        <v>2.9247405E7</v>
      </c>
      <c r="D1795" s="1" t="s">
        <v>3772</v>
      </c>
      <c r="E1795" s="1" t="s">
        <v>1219</v>
      </c>
      <c r="F1795" s="1" t="s">
        <v>3773</v>
      </c>
      <c r="G1795" s="1">
        <v>28377.0</v>
      </c>
      <c r="H1795" s="1">
        <v>261.0</v>
      </c>
      <c r="I1795" s="1" t="s">
        <v>16</v>
      </c>
      <c r="J1795" s="1">
        <v>2.5E7</v>
      </c>
      <c r="K1795" s="1">
        <v>1997.0</v>
      </c>
      <c r="L1795" s="1">
        <v>3.3</v>
      </c>
      <c r="O1795" s="3"/>
      <c r="S1795" s="4"/>
    </row>
    <row r="1796" ht="14.25" customHeight="1">
      <c r="A1796" s="1" t="s">
        <v>3774</v>
      </c>
      <c r="B1796" s="1">
        <v>88.0</v>
      </c>
      <c r="C1796" s="1">
        <v>2.5615792E7</v>
      </c>
      <c r="D1796" s="1" t="s">
        <v>3775</v>
      </c>
      <c r="E1796" s="1" t="s">
        <v>264</v>
      </c>
      <c r="F1796" s="1" t="s">
        <v>3776</v>
      </c>
      <c r="G1796" s="1">
        <v>10161.0</v>
      </c>
      <c r="H1796" s="1">
        <v>50.0</v>
      </c>
      <c r="I1796" s="1" t="s">
        <v>16</v>
      </c>
      <c r="J1796" s="1">
        <v>2.5E7</v>
      </c>
      <c r="K1796" s="1">
        <v>2009.0</v>
      </c>
      <c r="L1796" s="1">
        <v>3.5</v>
      </c>
      <c r="O1796" s="3"/>
      <c r="S1796" s="4"/>
    </row>
    <row r="1797" ht="14.25" customHeight="1">
      <c r="A1797" s="1" t="s">
        <v>1331</v>
      </c>
      <c r="B1797" s="1">
        <v>142.0</v>
      </c>
      <c r="C1797" s="1">
        <v>2.8341469E7</v>
      </c>
      <c r="D1797" s="1" t="s">
        <v>811</v>
      </c>
      <c r="E1797" s="1" t="s">
        <v>600</v>
      </c>
      <c r="F1797" s="1" t="s">
        <v>3777</v>
      </c>
      <c r="G1797" s="1">
        <v>1689764.0</v>
      </c>
      <c r="H1797" s="1">
        <v>4144.0</v>
      </c>
      <c r="I1797" s="1" t="s">
        <v>16</v>
      </c>
      <c r="J1797" s="1">
        <v>2.5E7</v>
      </c>
      <c r="K1797" s="1">
        <v>1994.0</v>
      </c>
      <c r="L1797" s="1">
        <v>9.3</v>
      </c>
      <c r="O1797" s="3"/>
      <c r="S1797" s="4"/>
    </row>
    <row r="1798" ht="14.25" customHeight="1">
      <c r="A1798" s="1" t="s">
        <v>2365</v>
      </c>
      <c r="B1798" s="1">
        <v>92.0</v>
      </c>
      <c r="C1798" s="1">
        <v>2.5590119E7</v>
      </c>
      <c r="D1798" s="1" t="s">
        <v>3778</v>
      </c>
      <c r="E1798" s="1" t="s">
        <v>3779</v>
      </c>
      <c r="F1798" s="1" t="s">
        <v>3780</v>
      </c>
      <c r="G1798" s="1">
        <v>19699.0</v>
      </c>
      <c r="H1798" s="1">
        <v>119.0</v>
      </c>
      <c r="I1798" s="1" t="s">
        <v>16</v>
      </c>
      <c r="J1798" s="1">
        <v>2.115E7</v>
      </c>
      <c r="K1798" s="1">
        <v>2001.0</v>
      </c>
      <c r="L1798" s="1">
        <v>4.8</v>
      </c>
      <c r="O1798" s="3"/>
      <c r="S1798" s="4"/>
    </row>
    <row r="1799" ht="14.25" customHeight="1">
      <c r="A1799" s="1" t="s">
        <v>1428</v>
      </c>
      <c r="B1799" s="1">
        <v>117.0</v>
      </c>
      <c r="C1799" s="1">
        <v>2.4944213E7</v>
      </c>
      <c r="D1799" s="1" t="s">
        <v>1592</v>
      </c>
      <c r="E1799" s="1" t="s">
        <v>899</v>
      </c>
      <c r="F1799" s="1" t="s">
        <v>3781</v>
      </c>
      <c r="G1799" s="1">
        <v>63459.0</v>
      </c>
      <c r="H1799" s="1">
        <v>185.0</v>
      </c>
      <c r="I1799" s="1" t="s">
        <v>16</v>
      </c>
      <c r="J1799" s="1">
        <v>2.7E7</v>
      </c>
      <c r="K1799" s="1">
        <v>1996.0</v>
      </c>
      <c r="L1799" s="1">
        <v>6.9</v>
      </c>
      <c r="O1799" s="3"/>
      <c r="S1799" s="4"/>
    </row>
    <row r="1800" ht="14.25" customHeight="1">
      <c r="A1800" s="1" t="s">
        <v>860</v>
      </c>
      <c r="B1800" s="1">
        <v>111.0</v>
      </c>
      <c r="C1800" s="1">
        <v>3.3631221E7</v>
      </c>
      <c r="D1800" s="1" t="s">
        <v>901</v>
      </c>
      <c r="E1800" s="1" t="s">
        <v>3171</v>
      </c>
      <c r="F1800" s="1" t="s">
        <v>3782</v>
      </c>
      <c r="G1800" s="1">
        <v>48559.0</v>
      </c>
      <c r="H1800" s="1">
        <v>145.0</v>
      </c>
      <c r="I1800" s="1" t="s">
        <v>16</v>
      </c>
      <c r="J1800" s="1">
        <v>2.5E7</v>
      </c>
      <c r="K1800" s="1">
        <v>2014.0</v>
      </c>
      <c r="L1800" s="1">
        <v>6.0</v>
      </c>
      <c r="O1800" s="3"/>
      <c r="S1800" s="4"/>
    </row>
    <row r="1801" ht="14.25" customHeight="1">
      <c r="A1801" s="1" t="s">
        <v>3783</v>
      </c>
      <c r="B1801" s="1">
        <v>121.0</v>
      </c>
      <c r="C1801" s="1">
        <v>3.77384E7</v>
      </c>
      <c r="D1801" s="1" t="s">
        <v>1391</v>
      </c>
      <c r="E1801" s="1" t="s">
        <v>155</v>
      </c>
      <c r="F1801" s="1" t="s">
        <v>3784</v>
      </c>
      <c r="G1801" s="1">
        <v>67797.0</v>
      </c>
      <c r="H1801" s="1">
        <v>285.0</v>
      </c>
      <c r="I1801" s="1" t="s">
        <v>16</v>
      </c>
      <c r="J1801" s="1">
        <v>2.5E7</v>
      </c>
      <c r="K1801" s="1">
        <v>2013.0</v>
      </c>
      <c r="L1801" s="1">
        <v>7.3</v>
      </c>
      <c r="O1801" s="3"/>
      <c r="S1801" s="4"/>
    </row>
    <row r="1802" ht="14.25" customHeight="1">
      <c r="A1802" s="1" t="s">
        <v>3785</v>
      </c>
      <c r="B1802" s="1">
        <v>107.0</v>
      </c>
      <c r="C1802" s="1">
        <v>2.1835784E7</v>
      </c>
      <c r="D1802" s="1" t="s">
        <v>593</v>
      </c>
      <c r="E1802" s="1" t="s">
        <v>3786</v>
      </c>
      <c r="F1802" s="1" t="s">
        <v>3787</v>
      </c>
      <c r="G1802" s="1">
        <v>58297.0</v>
      </c>
      <c r="H1802" s="1">
        <v>161.0</v>
      </c>
      <c r="I1802" s="1" t="s">
        <v>16</v>
      </c>
      <c r="J1802" s="1">
        <v>3.0E7</v>
      </c>
      <c r="K1802" s="1">
        <v>2005.0</v>
      </c>
      <c r="L1802" s="1">
        <v>6.6</v>
      </c>
      <c r="O1802" s="3"/>
      <c r="S1802" s="4"/>
    </row>
    <row r="1803" ht="14.25" customHeight="1">
      <c r="A1803" s="1" t="s">
        <v>3788</v>
      </c>
      <c r="B1803" s="1">
        <v>106.0</v>
      </c>
      <c r="C1803" s="1">
        <v>1.5785632E7</v>
      </c>
      <c r="D1803" s="1" t="s">
        <v>3789</v>
      </c>
      <c r="E1803" s="1" t="s">
        <v>115</v>
      </c>
      <c r="F1803" s="1" t="s">
        <v>3790</v>
      </c>
      <c r="G1803" s="1">
        <v>32507.0</v>
      </c>
      <c r="H1803" s="1">
        <v>119.0</v>
      </c>
      <c r="I1803" s="1" t="s">
        <v>16</v>
      </c>
      <c r="J1803" s="1">
        <v>2.3E7</v>
      </c>
      <c r="K1803" s="1">
        <v>2016.0</v>
      </c>
      <c r="L1803" s="1">
        <v>7.5</v>
      </c>
      <c r="O1803" s="3"/>
      <c r="S1803" s="4"/>
    </row>
    <row r="1804" ht="14.25" customHeight="1">
      <c r="A1804" s="1" t="s">
        <v>2048</v>
      </c>
      <c r="B1804" s="1">
        <v>136.0</v>
      </c>
      <c r="C1804" s="1">
        <v>2.1554585E7</v>
      </c>
      <c r="D1804" s="1" t="s">
        <v>1540</v>
      </c>
      <c r="E1804" s="1" t="s">
        <v>717</v>
      </c>
      <c r="F1804" s="1" t="s">
        <v>3791</v>
      </c>
      <c r="G1804" s="1">
        <v>36108.0</v>
      </c>
      <c r="H1804" s="1">
        <v>109.0</v>
      </c>
      <c r="I1804" s="1" t="s">
        <v>16</v>
      </c>
      <c r="J1804" s="1">
        <v>2.5E7</v>
      </c>
      <c r="K1804" s="1">
        <v>1998.0</v>
      </c>
      <c r="L1804" s="1">
        <v>6.9</v>
      </c>
      <c r="O1804" s="3"/>
      <c r="S1804" s="4"/>
    </row>
    <row r="1805" ht="14.25" customHeight="1">
      <c r="A1805" s="1" t="s">
        <v>3792</v>
      </c>
      <c r="B1805" s="1">
        <v>97.0</v>
      </c>
      <c r="C1805" s="1">
        <v>2.22E7</v>
      </c>
      <c r="D1805" s="1" t="s">
        <v>593</v>
      </c>
      <c r="E1805" s="1" t="s">
        <v>19</v>
      </c>
      <c r="F1805" s="1" t="s">
        <v>3793</v>
      </c>
      <c r="G1805" s="1">
        <v>41310.0</v>
      </c>
      <c r="H1805" s="1">
        <v>117.0</v>
      </c>
      <c r="I1805" s="1" t="s">
        <v>16</v>
      </c>
      <c r="J1805" s="1">
        <v>2.5E7</v>
      </c>
      <c r="K1805" s="1">
        <v>1994.0</v>
      </c>
      <c r="L1805" s="1">
        <v>6.8</v>
      </c>
      <c r="O1805" s="3"/>
      <c r="S1805" s="4"/>
    </row>
    <row r="1806" ht="14.25" customHeight="1">
      <c r="A1806" s="1" t="s">
        <v>3025</v>
      </c>
      <c r="B1806" s="1">
        <v>108.0</v>
      </c>
      <c r="C1806" s="1">
        <v>8.0014842E7</v>
      </c>
      <c r="D1806" s="1" t="s">
        <v>2906</v>
      </c>
      <c r="E1806" s="1" t="s">
        <v>191</v>
      </c>
      <c r="F1806" s="1" t="s">
        <v>3794</v>
      </c>
      <c r="G1806" s="1">
        <v>104356.0</v>
      </c>
      <c r="H1806" s="1">
        <v>186.0</v>
      </c>
      <c r="I1806" s="1" t="s">
        <v>16</v>
      </c>
      <c r="J1806" s="1">
        <v>2.5E7</v>
      </c>
      <c r="K1806" s="1">
        <v>2010.0</v>
      </c>
      <c r="L1806" s="1">
        <v>6.3</v>
      </c>
      <c r="O1806" s="3"/>
      <c r="S1806" s="4"/>
    </row>
    <row r="1807" ht="14.25" customHeight="1">
      <c r="A1807" s="1" t="s">
        <v>3795</v>
      </c>
      <c r="B1807" s="1">
        <v>97.0</v>
      </c>
      <c r="C1807" s="1">
        <v>2.3527955E7</v>
      </c>
      <c r="D1807" s="1" t="s">
        <v>998</v>
      </c>
      <c r="E1807" s="1" t="s">
        <v>459</v>
      </c>
      <c r="F1807" s="1" t="s">
        <v>3796</v>
      </c>
      <c r="G1807" s="1">
        <v>74691.0</v>
      </c>
      <c r="H1807" s="1">
        <v>165.0</v>
      </c>
      <c r="I1807" s="1" t="s">
        <v>16</v>
      </c>
      <c r="J1807" s="1">
        <v>2.5E7</v>
      </c>
      <c r="K1807" s="1">
        <v>2010.0</v>
      </c>
      <c r="L1807" s="1">
        <v>6.4</v>
      </c>
      <c r="O1807" s="3"/>
      <c r="S1807" s="4"/>
    </row>
    <row r="1808" ht="14.25" customHeight="1">
      <c r="A1808" s="1" t="s">
        <v>3797</v>
      </c>
      <c r="B1808" s="1">
        <v>99.0</v>
      </c>
      <c r="C1808" s="1">
        <v>2.404249E7</v>
      </c>
      <c r="D1808" s="1" t="s">
        <v>3798</v>
      </c>
      <c r="E1808" s="1" t="s">
        <v>3695</v>
      </c>
      <c r="F1808" s="1" t="s">
        <v>3799</v>
      </c>
      <c r="G1808" s="1">
        <v>40776.0</v>
      </c>
      <c r="H1808" s="1">
        <v>250.0</v>
      </c>
      <c r="I1808" s="1" t="s">
        <v>16</v>
      </c>
      <c r="J1808" s="1">
        <v>2.5E7</v>
      </c>
      <c r="K1808" s="1">
        <v>2010.0</v>
      </c>
      <c r="L1808" s="1">
        <v>5.6</v>
      </c>
      <c r="O1808" s="3"/>
      <c r="S1808" s="4"/>
    </row>
    <row r="1809" ht="14.25" customHeight="1">
      <c r="A1809" s="1" t="s">
        <v>3800</v>
      </c>
      <c r="B1809" s="1">
        <v>103.0</v>
      </c>
      <c r="C1809" s="1">
        <v>2.2466994E7</v>
      </c>
      <c r="D1809" s="1" t="s">
        <v>146</v>
      </c>
      <c r="E1809" s="1" t="s">
        <v>147</v>
      </c>
      <c r="F1809" s="1" t="s">
        <v>3801</v>
      </c>
      <c r="G1809" s="1">
        <v>72673.0</v>
      </c>
      <c r="H1809" s="1">
        <v>166.0</v>
      </c>
      <c r="I1809" s="1" t="s">
        <v>16</v>
      </c>
      <c r="J1809" s="1">
        <v>2.5E7</v>
      </c>
      <c r="K1809" s="1">
        <v>2007.0</v>
      </c>
      <c r="L1809" s="1">
        <v>6.3</v>
      </c>
      <c r="O1809" s="3"/>
      <c r="S1809" s="4"/>
    </row>
    <row r="1810" ht="14.25" customHeight="1">
      <c r="A1810" s="1" t="s">
        <v>2820</v>
      </c>
      <c r="B1810" s="1">
        <v>95.0</v>
      </c>
      <c r="C1810" s="1">
        <v>1.7791031E7</v>
      </c>
      <c r="D1810" s="1" t="s">
        <v>3802</v>
      </c>
      <c r="E1810" s="1" t="s">
        <v>923</v>
      </c>
      <c r="F1810" s="1" t="s">
        <v>3803</v>
      </c>
      <c r="G1810" s="1">
        <v>109855.0</v>
      </c>
      <c r="H1810" s="1">
        <v>888.0</v>
      </c>
      <c r="I1810" s="1" t="s">
        <v>16</v>
      </c>
      <c r="J1810" s="1">
        <v>2.5E7</v>
      </c>
      <c r="K1810" s="1">
        <v>2002.0</v>
      </c>
      <c r="L1810" s="1">
        <v>7.3</v>
      </c>
      <c r="O1810" s="3"/>
      <c r="S1810" s="4"/>
    </row>
    <row r="1811" ht="14.25" customHeight="1">
      <c r="A1811" s="1" t="s">
        <v>3804</v>
      </c>
      <c r="B1811" s="1">
        <v>93.0</v>
      </c>
      <c r="C1811" s="1">
        <v>1.7718223E7</v>
      </c>
      <c r="D1811" s="1" t="s">
        <v>828</v>
      </c>
      <c r="E1811" s="1" t="s">
        <v>486</v>
      </c>
      <c r="F1811" s="1" t="s">
        <v>3805</v>
      </c>
      <c r="G1811" s="1">
        <v>162067.0</v>
      </c>
      <c r="H1811" s="1">
        <v>316.0</v>
      </c>
      <c r="I1811" s="1" t="s">
        <v>16</v>
      </c>
      <c r="J1811" s="1">
        <v>2.5E7</v>
      </c>
      <c r="K1811" s="1">
        <v>2004.0</v>
      </c>
      <c r="L1811" s="1">
        <v>6.6</v>
      </c>
      <c r="O1811" s="3"/>
      <c r="S1811" s="4"/>
    </row>
    <row r="1812" ht="14.25" customHeight="1">
      <c r="A1812" s="1" t="s">
        <v>3806</v>
      </c>
      <c r="B1812" s="1">
        <v>98.0</v>
      </c>
      <c r="C1812" s="1">
        <v>1.5361537E7</v>
      </c>
      <c r="D1812" s="1" t="s">
        <v>146</v>
      </c>
      <c r="E1812" s="1" t="s">
        <v>3807</v>
      </c>
      <c r="F1812" s="1" t="s">
        <v>3808</v>
      </c>
      <c r="G1812" s="1">
        <v>12263.0</v>
      </c>
      <c r="H1812" s="1">
        <v>132.0</v>
      </c>
      <c r="I1812" s="1" t="s">
        <v>16</v>
      </c>
      <c r="J1812" s="1">
        <v>1.3E7</v>
      </c>
      <c r="K1812" s="1">
        <v>2002.0</v>
      </c>
      <c r="L1812" s="1">
        <v>4.6</v>
      </c>
      <c r="O1812" s="3"/>
      <c r="S1812" s="4"/>
    </row>
    <row r="1813" ht="14.25" customHeight="1">
      <c r="A1813" s="1" t="s">
        <v>411</v>
      </c>
      <c r="B1813" s="1">
        <v>90.0</v>
      </c>
      <c r="C1813" s="1">
        <v>1.6647384E7</v>
      </c>
      <c r="D1813" s="1" t="s">
        <v>3809</v>
      </c>
      <c r="E1813" s="1" t="s">
        <v>3810</v>
      </c>
      <c r="F1813" s="1" t="s">
        <v>3811</v>
      </c>
      <c r="G1813" s="1">
        <v>8398.0</v>
      </c>
      <c r="H1813" s="1">
        <v>56.0</v>
      </c>
      <c r="I1813" s="1" t="s">
        <v>16</v>
      </c>
      <c r="J1813" s="1">
        <v>2.6E7</v>
      </c>
      <c r="K1813" s="1">
        <v>2006.0</v>
      </c>
      <c r="L1813" s="1">
        <v>5.1</v>
      </c>
      <c r="O1813" s="3"/>
      <c r="S1813" s="4"/>
    </row>
    <row r="1814" ht="14.25" customHeight="1">
      <c r="A1814" s="1" t="s">
        <v>3812</v>
      </c>
      <c r="B1814" s="1">
        <v>107.0</v>
      </c>
      <c r="C1814" s="1">
        <v>1.6118077E7</v>
      </c>
      <c r="D1814" s="1" t="s">
        <v>1391</v>
      </c>
      <c r="E1814" s="1" t="s">
        <v>3813</v>
      </c>
      <c r="F1814" s="1" t="s">
        <v>3814</v>
      </c>
      <c r="G1814" s="1">
        <v>5817.0</v>
      </c>
      <c r="H1814" s="1">
        <v>37.0</v>
      </c>
      <c r="I1814" s="1" t="s">
        <v>16</v>
      </c>
      <c r="J1814" s="1">
        <v>2.5E7</v>
      </c>
      <c r="K1814" s="1">
        <v>1988.0</v>
      </c>
      <c r="L1814" s="1">
        <v>5.6</v>
      </c>
      <c r="O1814" s="3"/>
      <c r="S1814" s="4"/>
    </row>
    <row r="1815" ht="14.25" customHeight="1">
      <c r="A1815" s="1" t="s">
        <v>3815</v>
      </c>
      <c r="B1815" s="1">
        <v>90.0</v>
      </c>
      <c r="C1815" s="1">
        <v>1.5091542E7</v>
      </c>
      <c r="D1815" s="1" t="s">
        <v>3816</v>
      </c>
      <c r="E1815" s="1" t="s">
        <v>1332</v>
      </c>
      <c r="F1815" s="1" t="s">
        <v>3817</v>
      </c>
      <c r="G1815" s="1">
        <v>4086.0</v>
      </c>
      <c r="H1815" s="1">
        <v>22.0</v>
      </c>
      <c r="I1815" s="1" t="s">
        <v>3818</v>
      </c>
      <c r="J1815" s="1">
        <v>2.5E7</v>
      </c>
      <c r="K1815" s="1">
        <v>1996.0</v>
      </c>
      <c r="L1815" s="1">
        <v>5.3</v>
      </c>
      <c r="O1815" s="3"/>
      <c r="S1815" s="4"/>
    </row>
    <row r="1816" ht="14.25" customHeight="1">
      <c r="A1816" s="1" t="s">
        <v>3819</v>
      </c>
      <c r="B1816" s="1">
        <v>115.0</v>
      </c>
      <c r="C1816" s="1">
        <v>1.5045676E7</v>
      </c>
      <c r="D1816" s="1" t="s">
        <v>1367</v>
      </c>
      <c r="E1816" s="1" t="s">
        <v>1392</v>
      </c>
      <c r="F1816" s="1" t="s">
        <v>3820</v>
      </c>
      <c r="G1816" s="1">
        <v>76303.0</v>
      </c>
      <c r="H1816" s="1">
        <v>376.0</v>
      </c>
      <c r="I1816" s="1" t="s">
        <v>16</v>
      </c>
      <c r="J1816" s="1">
        <v>1.6E7</v>
      </c>
      <c r="K1816" s="1">
        <v>2009.0</v>
      </c>
      <c r="L1816" s="1">
        <v>5.6</v>
      </c>
      <c r="O1816" s="3"/>
      <c r="S1816" s="4"/>
    </row>
    <row r="1817" ht="14.25" customHeight="1">
      <c r="A1817" s="1" t="s">
        <v>3821</v>
      </c>
      <c r="B1817" s="1">
        <v>93.0</v>
      </c>
      <c r="C1817" s="1">
        <v>1.7427926E7</v>
      </c>
      <c r="D1817" s="1" t="s">
        <v>2551</v>
      </c>
      <c r="E1817" s="1" t="s">
        <v>3822</v>
      </c>
      <c r="F1817" s="1" t="s">
        <v>3823</v>
      </c>
      <c r="G1817" s="1">
        <v>60062.0</v>
      </c>
      <c r="H1817" s="1">
        <v>351.0</v>
      </c>
      <c r="I1817" s="1" t="s">
        <v>16</v>
      </c>
      <c r="J1817" s="1">
        <v>8000000.0</v>
      </c>
      <c r="K1817" s="1">
        <v>2008.0</v>
      </c>
      <c r="L1817" s="1">
        <v>5.9</v>
      </c>
      <c r="O1817" s="3"/>
      <c r="S1817" s="4"/>
    </row>
    <row r="1818" ht="14.25" customHeight="1">
      <c r="A1818" s="1" t="s">
        <v>3824</v>
      </c>
      <c r="B1818" s="1">
        <v>99.0</v>
      </c>
      <c r="C1818" s="1">
        <v>1.4983572E7</v>
      </c>
      <c r="D1818" s="1" t="s">
        <v>593</v>
      </c>
      <c r="E1818" s="1" t="s">
        <v>3825</v>
      </c>
      <c r="F1818" s="1" t="s">
        <v>3826</v>
      </c>
      <c r="G1818" s="1">
        <v>9361.0</v>
      </c>
      <c r="H1818" s="1">
        <v>162.0</v>
      </c>
      <c r="I1818" s="1" t="s">
        <v>16</v>
      </c>
      <c r="J1818" s="1">
        <v>2.5E7</v>
      </c>
      <c r="K1818" s="1">
        <v>2000.0</v>
      </c>
      <c r="L1818" s="1">
        <v>4.7</v>
      </c>
      <c r="O1818" s="3"/>
      <c r="S1818" s="4"/>
    </row>
    <row r="1819" ht="14.25" customHeight="1">
      <c r="A1819" s="1" t="s">
        <v>2511</v>
      </c>
      <c r="B1819" s="1">
        <v>107.0</v>
      </c>
      <c r="C1819" s="1">
        <v>1.463749E7</v>
      </c>
      <c r="D1819" s="1" t="s">
        <v>1239</v>
      </c>
      <c r="E1819" s="1" t="s">
        <v>3827</v>
      </c>
      <c r="F1819" s="1" t="s">
        <v>3828</v>
      </c>
      <c r="G1819" s="1">
        <v>16411.0</v>
      </c>
      <c r="H1819" s="1">
        <v>136.0</v>
      </c>
      <c r="I1819" s="1" t="s">
        <v>16</v>
      </c>
      <c r="J1819" s="1">
        <v>2.5E7</v>
      </c>
      <c r="K1819" s="1">
        <v>2010.0</v>
      </c>
      <c r="L1819" s="1">
        <v>4.8</v>
      </c>
      <c r="O1819" s="3"/>
      <c r="S1819" s="4"/>
    </row>
    <row r="1820" ht="14.25" customHeight="1">
      <c r="A1820" s="1" t="s">
        <v>2954</v>
      </c>
      <c r="B1820" s="1">
        <v>110.0</v>
      </c>
      <c r="C1820" s="1">
        <v>1.4589444E7</v>
      </c>
      <c r="D1820" s="1" t="s">
        <v>593</v>
      </c>
      <c r="E1820" s="1" t="s">
        <v>3829</v>
      </c>
      <c r="F1820" s="1" t="s">
        <v>3830</v>
      </c>
      <c r="G1820" s="1">
        <v>171151.0</v>
      </c>
      <c r="H1820" s="1">
        <v>513.0</v>
      </c>
      <c r="I1820" s="1" t="s">
        <v>16</v>
      </c>
      <c r="J1820" s="1">
        <v>2.5E7</v>
      </c>
      <c r="K1820" s="1">
        <v>2004.0</v>
      </c>
      <c r="L1820" s="1">
        <v>6.8</v>
      </c>
      <c r="O1820" s="3"/>
      <c r="S1820" s="4"/>
    </row>
    <row r="1821" ht="14.25" customHeight="1">
      <c r="A1821" s="1" t="s">
        <v>3831</v>
      </c>
      <c r="B1821" s="1">
        <v>101.0</v>
      </c>
      <c r="C1821" s="1">
        <v>1.4095303E7</v>
      </c>
      <c r="D1821" s="1" t="s">
        <v>1114</v>
      </c>
      <c r="E1821" s="1" t="s">
        <v>2913</v>
      </c>
      <c r="F1821" s="1" t="s">
        <v>3832</v>
      </c>
      <c r="G1821" s="1">
        <v>15814.0</v>
      </c>
      <c r="H1821" s="1">
        <v>68.0</v>
      </c>
      <c r="I1821" s="1" t="s">
        <v>16</v>
      </c>
      <c r="J1821" s="1">
        <v>2.5E7</v>
      </c>
      <c r="K1821" s="1">
        <v>1996.0</v>
      </c>
      <c r="L1821" s="1">
        <v>5.4</v>
      </c>
      <c r="O1821" s="3"/>
      <c r="S1821" s="4"/>
    </row>
    <row r="1822" ht="14.25" customHeight="1">
      <c r="A1822" s="1" t="s">
        <v>3833</v>
      </c>
      <c r="B1822" s="1">
        <v>85.0</v>
      </c>
      <c r="C1822" s="1">
        <v>1.3973532E7</v>
      </c>
      <c r="D1822" s="1" t="s">
        <v>427</v>
      </c>
      <c r="E1822" s="1" t="s">
        <v>3834</v>
      </c>
      <c r="F1822" s="1" t="s">
        <v>3835</v>
      </c>
      <c r="G1822" s="1">
        <v>11211.0</v>
      </c>
      <c r="H1822" s="1">
        <v>92.0</v>
      </c>
      <c r="I1822" s="1" t="s">
        <v>16</v>
      </c>
      <c r="J1822" s="1">
        <v>2.5E7</v>
      </c>
      <c r="K1822" s="1">
        <v>2002.0</v>
      </c>
      <c r="L1822" s="1">
        <v>5.1</v>
      </c>
      <c r="O1822" s="3"/>
      <c r="S1822" s="4"/>
    </row>
    <row r="1823" ht="14.25" customHeight="1">
      <c r="A1823" s="1" t="s">
        <v>2050</v>
      </c>
      <c r="B1823" s="1">
        <v>132.0</v>
      </c>
      <c r="C1823" s="1">
        <v>1865774.0</v>
      </c>
      <c r="D1823" s="1" t="s">
        <v>3836</v>
      </c>
      <c r="E1823" s="1" t="s">
        <v>27</v>
      </c>
      <c r="F1823" s="1" t="s">
        <v>3837</v>
      </c>
      <c r="G1823" s="1">
        <v>87682.0</v>
      </c>
      <c r="H1823" s="1">
        <v>174.0</v>
      </c>
      <c r="I1823" s="1" t="s">
        <v>16</v>
      </c>
      <c r="J1823" s="1">
        <v>3.0E7</v>
      </c>
      <c r="K1823" s="1">
        <v>2015.0</v>
      </c>
      <c r="L1823" s="1">
        <v>7.0</v>
      </c>
      <c r="O1823" s="3"/>
      <c r="S1823" s="4"/>
    </row>
    <row r="1824" ht="14.25" customHeight="1">
      <c r="A1824" s="1" t="s">
        <v>2331</v>
      </c>
      <c r="B1824" s="1">
        <v>90.0</v>
      </c>
      <c r="C1824" s="1">
        <v>1.8860403E7</v>
      </c>
      <c r="D1824" s="1" t="s">
        <v>2657</v>
      </c>
      <c r="E1824" s="1" t="s">
        <v>3838</v>
      </c>
      <c r="F1824" s="1" t="s">
        <v>3839</v>
      </c>
      <c r="G1824" s="1">
        <v>20823.0</v>
      </c>
      <c r="H1824" s="1">
        <v>130.0</v>
      </c>
      <c r="I1824" s="1" t="s">
        <v>16</v>
      </c>
      <c r="J1824" s="1">
        <v>2.5E7</v>
      </c>
      <c r="K1824" s="1">
        <v>2011.0</v>
      </c>
      <c r="L1824" s="1">
        <v>4.0</v>
      </c>
      <c r="O1824" s="3"/>
      <c r="S1824" s="4"/>
    </row>
    <row r="1825" ht="14.25" customHeight="1">
      <c r="A1825" s="1" t="s">
        <v>1900</v>
      </c>
      <c r="B1825" s="1">
        <v>145.0</v>
      </c>
      <c r="C1825" s="1">
        <v>1.303866E7</v>
      </c>
      <c r="D1825" s="1" t="s">
        <v>1391</v>
      </c>
      <c r="E1825" s="1" t="s">
        <v>3429</v>
      </c>
      <c r="F1825" s="1" t="s">
        <v>3840</v>
      </c>
      <c r="G1825" s="1">
        <v>16995.0</v>
      </c>
      <c r="H1825" s="1">
        <v>163.0</v>
      </c>
      <c r="I1825" s="1" t="s">
        <v>16</v>
      </c>
      <c r="J1825" s="1">
        <v>2.5E7</v>
      </c>
      <c r="K1825" s="1">
        <v>1999.0</v>
      </c>
      <c r="L1825" s="1">
        <v>7.3</v>
      </c>
      <c r="O1825" s="3"/>
      <c r="S1825" s="4"/>
    </row>
    <row r="1826" ht="14.25" customHeight="1">
      <c r="A1826" s="1" t="s">
        <v>1117</v>
      </c>
      <c r="B1826" s="1">
        <v>110.0</v>
      </c>
      <c r="C1826" s="1">
        <v>2.8831145E7</v>
      </c>
      <c r="D1826" s="1" t="s">
        <v>1540</v>
      </c>
      <c r="E1826" s="1" t="s">
        <v>320</v>
      </c>
      <c r="F1826" s="1" t="s">
        <v>3841</v>
      </c>
      <c r="G1826" s="1">
        <v>39357.0</v>
      </c>
      <c r="H1826" s="1">
        <v>113.0</v>
      </c>
      <c r="I1826" s="1" t="s">
        <v>16</v>
      </c>
      <c r="J1826" s="1">
        <v>2.5E7</v>
      </c>
      <c r="K1826" s="1">
        <v>2014.0</v>
      </c>
      <c r="L1826" s="1">
        <v>6.8</v>
      </c>
      <c r="O1826" s="3"/>
      <c r="S1826" s="4"/>
    </row>
    <row r="1827" ht="14.25" customHeight="1">
      <c r="A1827" s="1" t="s">
        <v>1640</v>
      </c>
      <c r="B1827" s="1">
        <v>122.0</v>
      </c>
      <c r="C1827" s="1">
        <v>1.1538204E7</v>
      </c>
      <c r="D1827" s="1" t="s">
        <v>3842</v>
      </c>
      <c r="E1827" s="1" t="s">
        <v>188</v>
      </c>
      <c r="F1827" s="1" t="s">
        <v>3843</v>
      </c>
      <c r="G1827" s="1">
        <v>23696.0</v>
      </c>
      <c r="H1827" s="1">
        <v>135.0</v>
      </c>
      <c r="I1827" s="1" t="s">
        <v>16</v>
      </c>
      <c r="J1827" s="1">
        <v>2.5E7</v>
      </c>
      <c r="K1827" s="1">
        <v>2010.0</v>
      </c>
      <c r="L1827" s="1">
        <v>7.0</v>
      </c>
      <c r="O1827" s="3"/>
      <c r="S1827" s="4"/>
    </row>
    <row r="1828" ht="14.25" customHeight="1">
      <c r="A1828" s="1" t="s">
        <v>2447</v>
      </c>
      <c r="B1828" s="1">
        <v>107.0</v>
      </c>
      <c r="C1828" s="1">
        <v>1.1008432E7</v>
      </c>
      <c r="D1828" s="1" t="s">
        <v>681</v>
      </c>
      <c r="E1828" s="1" t="s">
        <v>637</v>
      </c>
      <c r="F1828" s="1" t="s">
        <v>3844</v>
      </c>
      <c r="G1828" s="1">
        <v>43903.0</v>
      </c>
      <c r="H1828" s="1">
        <v>194.0</v>
      </c>
      <c r="I1828" s="1" t="s">
        <v>16</v>
      </c>
      <c r="J1828" s="1">
        <v>2.5E7</v>
      </c>
      <c r="K1828" s="1">
        <v>2005.0</v>
      </c>
      <c r="L1828" s="1">
        <v>7.1</v>
      </c>
      <c r="O1828" s="3"/>
      <c r="S1828" s="4"/>
    </row>
    <row r="1829" ht="14.25" customHeight="1">
      <c r="A1829" s="1" t="s">
        <v>3845</v>
      </c>
      <c r="B1829" s="1">
        <v>127.0</v>
      </c>
      <c r="C1829" s="1">
        <v>1.2188642E7</v>
      </c>
      <c r="D1829" s="1" t="s">
        <v>2369</v>
      </c>
      <c r="E1829" s="1" t="s">
        <v>3846</v>
      </c>
      <c r="F1829" s="1" t="s">
        <v>3847</v>
      </c>
      <c r="G1829" s="1">
        <v>21098.0</v>
      </c>
      <c r="H1829" s="1">
        <v>56.0</v>
      </c>
      <c r="I1829" s="1" t="s">
        <v>16</v>
      </c>
      <c r="J1829" s="1">
        <v>2.6E7</v>
      </c>
      <c r="K1829" s="1">
        <v>2015.0</v>
      </c>
      <c r="L1829" s="1">
        <v>6.9</v>
      </c>
      <c r="O1829" s="3"/>
      <c r="S1829" s="4"/>
    </row>
    <row r="1830" ht="14.25" customHeight="1">
      <c r="A1830" s="1" t="s">
        <v>2158</v>
      </c>
      <c r="B1830" s="1">
        <v>99.0</v>
      </c>
      <c r="C1830" s="1">
        <v>1.11E7</v>
      </c>
      <c r="D1830" s="1" t="s">
        <v>1012</v>
      </c>
      <c r="E1830" s="1" t="s">
        <v>3848</v>
      </c>
      <c r="F1830" s="1" t="s">
        <v>3849</v>
      </c>
      <c r="G1830" s="1">
        <v>92464.0</v>
      </c>
      <c r="H1830" s="1">
        <v>331.0</v>
      </c>
      <c r="I1830" s="1" t="s">
        <v>16</v>
      </c>
      <c r="J1830" s="1">
        <v>2.5E7</v>
      </c>
      <c r="K1830" s="1">
        <v>1986.0</v>
      </c>
      <c r="L1830" s="1">
        <v>7.3</v>
      </c>
      <c r="O1830" s="3"/>
      <c r="S1830" s="4"/>
    </row>
    <row r="1831" ht="14.25" customHeight="1">
      <c r="A1831" s="1" t="s">
        <v>3385</v>
      </c>
      <c r="B1831" s="1">
        <v>140.0</v>
      </c>
      <c r="C1831" s="1">
        <v>1.3651662E7</v>
      </c>
      <c r="D1831" s="1" t="s">
        <v>1540</v>
      </c>
      <c r="E1831" s="1" t="s">
        <v>27</v>
      </c>
      <c r="F1831" s="1" t="s">
        <v>3850</v>
      </c>
      <c r="G1831" s="1">
        <v>332276.0</v>
      </c>
      <c r="H1831" s="1">
        <v>514.0</v>
      </c>
      <c r="I1831" s="1" t="s">
        <v>16</v>
      </c>
      <c r="J1831" s="1">
        <v>2.5E7</v>
      </c>
      <c r="K1831" s="1">
        <v>2011.0</v>
      </c>
      <c r="L1831" s="1">
        <v>8.2</v>
      </c>
      <c r="O1831" s="3"/>
      <c r="S1831" s="4"/>
    </row>
    <row r="1832" ht="14.25" customHeight="1">
      <c r="A1832" s="1" t="s">
        <v>2038</v>
      </c>
      <c r="B1832" s="1">
        <v>133.0</v>
      </c>
      <c r="C1832" s="1">
        <v>1.1030963E7</v>
      </c>
      <c r="D1832" s="1" t="s">
        <v>3851</v>
      </c>
      <c r="E1832" s="1" t="s">
        <v>46</v>
      </c>
      <c r="F1832" s="1" t="s">
        <v>3852</v>
      </c>
      <c r="G1832" s="1">
        <v>24145.0</v>
      </c>
      <c r="H1832" s="1">
        <v>93.0</v>
      </c>
      <c r="I1832" s="1" t="s">
        <v>16</v>
      </c>
      <c r="J1832" s="1">
        <v>2.8E7</v>
      </c>
      <c r="K1832" s="1">
        <v>1996.0</v>
      </c>
      <c r="L1832" s="1">
        <v>7.1</v>
      </c>
      <c r="O1832" s="3"/>
      <c r="S1832" s="4"/>
    </row>
    <row r="1833" ht="14.25" customHeight="1">
      <c r="A1833" s="1" t="s">
        <v>1933</v>
      </c>
      <c r="B1833" s="1">
        <v>271.0</v>
      </c>
      <c r="C1833" s="1">
        <v>1.076996E7</v>
      </c>
      <c r="D1833" s="1" t="s">
        <v>824</v>
      </c>
      <c r="E1833" s="1" t="s">
        <v>3853</v>
      </c>
      <c r="F1833" s="1" t="s">
        <v>3854</v>
      </c>
      <c r="G1833" s="1">
        <v>21940.0</v>
      </c>
      <c r="H1833" s="1">
        <v>256.0</v>
      </c>
      <c r="I1833" s="1" t="s">
        <v>16</v>
      </c>
      <c r="J1833" s="1">
        <v>2.5E7</v>
      </c>
      <c r="K1833" s="1">
        <v>1993.0</v>
      </c>
      <c r="L1833" s="1">
        <v>7.7</v>
      </c>
      <c r="O1833" s="3"/>
      <c r="S1833" s="4"/>
    </row>
    <row r="1834" ht="14.25" customHeight="1">
      <c r="A1834" s="1" t="s">
        <v>3327</v>
      </c>
      <c r="B1834" s="1">
        <v>112.0</v>
      </c>
      <c r="C1834" s="1">
        <v>1.091175E7</v>
      </c>
      <c r="D1834" s="1" t="s">
        <v>1384</v>
      </c>
      <c r="E1834" s="1" t="s">
        <v>232</v>
      </c>
      <c r="F1834" s="1" t="s">
        <v>3855</v>
      </c>
      <c r="G1834" s="1">
        <v>17757.0</v>
      </c>
      <c r="H1834" s="1">
        <v>99.0</v>
      </c>
      <c r="I1834" s="1" t="s">
        <v>16</v>
      </c>
      <c r="J1834" s="1">
        <v>2.5E7</v>
      </c>
      <c r="K1834" s="1">
        <v>2008.0</v>
      </c>
      <c r="L1834" s="1">
        <v>6.5</v>
      </c>
      <c r="O1834" s="3"/>
      <c r="S1834" s="4"/>
    </row>
    <row r="1835" ht="14.25" customHeight="1">
      <c r="A1835" s="1" t="s">
        <v>2090</v>
      </c>
      <c r="B1835" s="1">
        <v>99.0</v>
      </c>
      <c r="C1835" s="1">
        <v>1.0719367E7</v>
      </c>
      <c r="D1835" s="1" t="s">
        <v>3856</v>
      </c>
      <c r="E1835" s="1" t="s">
        <v>165</v>
      </c>
      <c r="F1835" s="1" t="s">
        <v>3857</v>
      </c>
      <c r="G1835" s="1">
        <v>7909.0</v>
      </c>
      <c r="H1835" s="1">
        <v>157.0</v>
      </c>
      <c r="I1835" s="1" t="s">
        <v>16</v>
      </c>
      <c r="J1835" s="1">
        <v>2.5E7</v>
      </c>
      <c r="K1835" s="1">
        <v>2002.0</v>
      </c>
      <c r="L1835" s="1">
        <v>4.9</v>
      </c>
      <c r="O1835" s="3"/>
      <c r="S1835" s="4"/>
    </row>
    <row r="1836" ht="14.25" customHeight="1">
      <c r="A1836" s="1" t="s">
        <v>3858</v>
      </c>
      <c r="B1836" s="1">
        <v>100.0</v>
      </c>
      <c r="C1836" s="1">
        <v>1.0114315E7</v>
      </c>
      <c r="D1836" s="1" t="s">
        <v>806</v>
      </c>
      <c r="E1836" s="1" t="s">
        <v>3859</v>
      </c>
      <c r="F1836" s="1" t="s">
        <v>3860</v>
      </c>
      <c r="G1836" s="1">
        <v>18693.0</v>
      </c>
      <c r="H1836" s="1">
        <v>187.0</v>
      </c>
      <c r="I1836" s="1" t="s">
        <v>16</v>
      </c>
      <c r="J1836" s="1">
        <v>2.5E7</v>
      </c>
      <c r="K1836" s="1">
        <v>1999.0</v>
      </c>
      <c r="L1836" s="1">
        <v>6.4</v>
      </c>
      <c r="O1836" s="3"/>
      <c r="S1836" s="4"/>
    </row>
    <row r="1837" ht="14.25" customHeight="1">
      <c r="A1837" s="1" t="s">
        <v>3861</v>
      </c>
      <c r="B1837" s="1">
        <v>92.0</v>
      </c>
      <c r="C1837" s="1">
        <v>4.9122319E7</v>
      </c>
      <c r="D1837" s="1" t="s">
        <v>2657</v>
      </c>
      <c r="E1837" s="1" t="s">
        <v>3862</v>
      </c>
      <c r="F1837" s="1" t="s">
        <v>3863</v>
      </c>
      <c r="G1837" s="1">
        <v>47169.0</v>
      </c>
      <c r="H1837" s="1">
        <v>162.0</v>
      </c>
      <c r="I1837" s="1" t="s">
        <v>16</v>
      </c>
      <c r="J1837" s="1">
        <v>1.4E7</v>
      </c>
      <c r="K1837" s="1">
        <v>2012.0</v>
      </c>
      <c r="L1837" s="1">
        <v>5.9</v>
      </c>
      <c r="O1837" s="3"/>
      <c r="S1837" s="4"/>
    </row>
    <row r="1838" ht="14.25" customHeight="1">
      <c r="A1838" s="1" t="s">
        <v>3864</v>
      </c>
      <c r="B1838" s="1">
        <v>105.0</v>
      </c>
      <c r="C1838" s="1">
        <v>1.007E7</v>
      </c>
      <c r="D1838" s="1" t="s">
        <v>593</v>
      </c>
      <c r="E1838" s="1" t="s">
        <v>1168</v>
      </c>
      <c r="F1838" s="1" t="s">
        <v>3865</v>
      </c>
      <c r="G1838" s="1">
        <v>5668.0</v>
      </c>
      <c r="H1838" s="1">
        <v>50.0</v>
      </c>
      <c r="I1838" s="1" t="s">
        <v>16</v>
      </c>
      <c r="J1838" s="1">
        <v>2.5E7</v>
      </c>
      <c r="K1838" s="1">
        <v>1996.0</v>
      </c>
      <c r="L1838" s="1">
        <v>6.2</v>
      </c>
      <c r="O1838" s="3"/>
      <c r="S1838" s="4"/>
    </row>
    <row r="1839" ht="14.25" customHeight="1">
      <c r="A1839" s="1" t="s">
        <v>1773</v>
      </c>
      <c r="B1839" s="1">
        <v>110.0</v>
      </c>
      <c r="C1839" s="1">
        <v>1.0324441E7</v>
      </c>
      <c r="D1839" s="1" t="s">
        <v>392</v>
      </c>
      <c r="E1839" s="1" t="s">
        <v>3866</v>
      </c>
      <c r="F1839" s="1" t="s">
        <v>3867</v>
      </c>
      <c r="G1839" s="1">
        <v>27117.0</v>
      </c>
      <c r="H1839" s="1">
        <v>140.0</v>
      </c>
      <c r="I1839" s="1" t="s">
        <v>16</v>
      </c>
      <c r="J1839" s="1">
        <v>2.5E7</v>
      </c>
      <c r="K1839" s="1">
        <v>2011.0</v>
      </c>
      <c r="L1839" s="1">
        <v>5.8</v>
      </c>
      <c r="O1839" s="3"/>
      <c r="S1839" s="4"/>
    </row>
    <row r="1840" ht="14.25" customHeight="1">
      <c r="A1840" s="1" t="s">
        <v>3025</v>
      </c>
      <c r="B1840" s="1">
        <v>116.0</v>
      </c>
      <c r="C1840" s="1">
        <v>7156933.0</v>
      </c>
      <c r="D1840" s="1" t="s">
        <v>1059</v>
      </c>
      <c r="E1840" s="1" t="s">
        <v>3243</v>
      </c>
      <c r="F1840" s="1" t="s">
        <v>3868</v>
      </c>
      <c r="G1840" s="1">
        <v>14581.0</v>
      </c>
      <c r="H1840" s="1">
        <v>74.0</v>
      </c>
      <c r="I1840" s="1" t="s">
        <v>16</v>
      </c>
      <c r="J1840" s="1">
        <v>2.5E7</v>
      </c>
      <c r="K1840" s="1">
        <v>2006.0</v>
      </c>
      <c r="L1840" s="1">
        <v>6.7</v>
      </c>
      <c r="O1840" s="3"/>
      <c r="S1840" s="4"/>
    </row>
    <row r="1841" ht="14.25" customHeight="1">
      <c r="A1841" s="1" t="s">
        <v>3869</v>
      </c>
      <c r="B1841" s="1">
        <v>88.0</v>
      </c>
      <c r="C1841" s="1">
        <v>9286314.0</v>
      </c>
      <c r="D1841" s="1" t="s">
        <v>197</v>
      </c>
      <c r="E1841" s="1" t="s">
        <v>3870</v>
      </c>
      <c r="F1841" s="1" t="s">
        <v>3871</v>
      </c>
      <c r="G1841" s="1">
        <v>4972.0</v>
      </c>
      <c r="H1841" s="1">
        <v>62.0</v>
      </c>
      <c r="I1841" s="1" t="s">
        <v>16</v>
      </c>
      <c r="J1841" s="1">
        <v>1.7E7</v>
      </c>
      <c r="K1841" s="1">
        <v>1991.0</v>
      </c>
      <c r="L1841" s="1">
        <v>5.9</v>
      </c>
      <c r="O1841" s="3"/>
      <c r="S1841" s="4"/>
    </row>
    <row r="1842" ht="14.25" customHeight="1">
      <c r="A1842" s="1" t="s">
        <v>3872</v>
      </c>
      <c r="B1842" s="1">
        <v>111.0</v>
      </c>
      <c r="C1842" s="1">
        <v>56692.0</v>
      </c>
      <c r="D1842" s="1" t="s">
        <v>2805</v>
      </c>
      <c r="E1842" s="1" t="s">
        <v>2098</v>
      </c>
      <c r="F1842" s="1" t="s">
        <v>3873</v>
      </c>
      <c r="G1842" s="1">
        <v>177401.0</v>
      </c>
      <c r="H1842" s="1">
        <v>504.0</v>
      </c>
      <c r="I1842" s="1" t="s">
        <v>16</v>
      </c>
      <c r="J1842" s="1">
        <v>2.5E7</v>
      </c>
      <c r="K1842" s="1">
        <v>2009.0</v>
      </c>
      <c r="L1842" s="1">
        <v>7.3</v>
      </c>
      <c r="O1842" s="3"/>
      <c r="S1842" s="4"/>
    </row>
    <row r="1843" ht="14.25" customHeight="1">
      <c r="A1843" s="1" t="s">
        <v>3874</v>
      </c>
      <c r="B1843" s="1">
        <v>95.0</v>
      </c>
      <c r="C1843" s="1">
        <v>5654777.0</v>
      </c>
      <c r="D1843" s="1" t="s">
        <v>1452</v>
      </c>
      <c r="E1843" s="1" t="s">
        <v>3875</v>
      </c>
      <c r="F1843" s="1" t="s">
        <v>3876</v>
      </c>
      <c r="G1843" s="1">
        <v>4875.0</v>
      </c>
      <c r="H1843" s="1">
        <v>26.0</v>
      </c>
      <c r="I1843" s="1" t="s">
        <v>16</v>
      </c>
      <c r="J1843" s="1">
        <v>2.5E7</v>
      </c>
      <c r="K1843" s="1">
        <v>2005.0</v>
      </c>
      <c r="L1843" s="1">
        <v>4.1</v>
      </c>
      <c r="O1843" s="3"/>
      <c r="S1843" s="4"/>
    </row>
    <row r="1844" ht="14.25" customHeight="1">
      <c r="A1844" s="1" t="s">
        <v>3204</v>
      </c>
      <c r="B1844" s="1">
        <v>95.0</v>
      </c>
      <c r="C1844" s="1">
        <v>5516708.0</v>
      </c>
      <c r="D1844" s="1" t="s">
        <v>699</v>
      </c>
      <c r="E1844" s="1" t="s">
        <v>3389</v>
      </c>
      <c r="F1844" s="1" t="s">
        <v>3877</v>
      </c>
      <c r="G1844" s="1">
        <v>11375.0</v>
      </c>
      <c r="H1844" s="1">
        <v>91.0</v>
      </c>
      <c r="I1844" s="1" t="s">
        <v>16</v>
      </c>
      <c r="J1844" s="1">
        <v>2.5E7</v>
      </c>
      <c r="K1844" s="1">
        <v>2001.0</v>
      </c>
      <c r="L1844" s="1">
        <v>4.9</v>
      </c>
      <c r="O1844" s="3"/>
      <c r="S1844" s="4"/>
    </row>
    <row r="1845" ht="14.25" customHeight="1">
      <c r="A1845" s="1" t="s">
        <v>620</v>
      </c>
      <c r="B1845" s="1">
        <v>127.0</v>
      </c>
      <c r="C1845" s="1">
        <v>5128124.0</v>
      </c>
      <c r="D1845" s="1" t="s">
        <v>681</v>
      </c>
      <c r="E1845" s="1" t="s">
        <v>326</v>
      </c>
      <c r="F1845" s="1" t="s">
        <v>3878</v>
      </c>
      <c r="G1845" s="1">
        <v>44198.0</v>
      </c>
      <c r="H1845" s="1">
        <v>251.0</v>
      </c>
      <c r="I1845" s="1" t="s">
        <v>16</v>
      </c>
      <c r="J1845" s="1">
        <v>2.5E7</v>
      </c>
      <c r="K1845" s="1">
        <v>2005.0</v>
      </c>
      <c r="L1845" s="1">
        <v>7.9</v>
      </c>
      <c r="O1845" s="3"/>
      <c r="S1845" s="4"/>
    </row>
    <row r="1846" ht="14.25" customHeight="1">
      <c r="A1846" s="1" t="s">
        <v>2331</v>
      </c>
      <c r="B1846" s="1">
        <v>105.0</v>
      </c>
      <c r="C1846" s="1">
        <v>3.4014398E7</v>
      </c>
      <c r="D1846" s="1" t="s">
        <v>3101</v>
      </c>
      <c r="E1846" s="1" t="s">
        <v>3102</v>
      </c>
      <c r="F1846" s="1" t="s">
        <v>3103</v>
      </c>
      <c r="G1846" s="1">
        <v>115650.0</v>
      </c>
      <c r="H1846" s="1">
        <v>1033.0</v>
      </c>
      <c r="I1846" s="1" t="s">
        <v>16</v>
      </c>
      <c r="J1846" s="1">
        <v>3.3E7</v>
      </c>
      <c r="K1846" s="1">
        <v>2006.0</v>
      </c>
      <c r="L1846" s="1">
        <v>5.6</v>
      </c>
      <c r="O1846" s="3"/>
      <c r="S1846" s="4"/>
    </row>
    <row r="1847" ht="14.25" customHeight="1">
      <c r="A1847" s="1" t="s">
        <v>3879</v>
      </c>
      <c r="B1847" s="1">
        <v>104.0</v>
      </c>
      <c r="C1847" s="1">
        <v>4064333.0</v>
      </c>
      <c r="D1847" s="1" t="s">
        <v>797</v>
      </c>
      <c r="E1847" s="1" t="s">
        <v>90</v>
      </c>
      <c r="F1847" s="1" t="s">
        <v>3880</v>
      </c>
      <c r="G1847" s="1">
        <v>24790.0</v>
      </c>
      <c r="H1847" s="1">
        <v>173.0</v>
      </c>
      <c r="I1847" s="1" t="s">
        <v>16</v>
      </c>
      <c r="J1847" s="1">
        <v>2.5E7</v>
      </c>
      <c r="K1847" s="1">
        <v>1995.0</v>
      </c>
      <c r="L1847" s="1">
        <v>5.2</v>
      </c>
      <c r="O1847" s="3"/>
      <c r="S1847" s="4"/>
    </row>
    <row r="1848" ht="14.25" customHeight="1">
      <c r="A1848" s="1" t="s">
        <v>3881</v>
      </c>
      <c r="B1848" s="1">
        <v>95.0</v>
      </c>
      <c r="C1848" s="1">
        <v>4006906.0</v>
      </c>
      <c r="D1848" s="1" t="s">
        <v>427</v>
      </c>
      <c r="E1848" s="1" t="s">
        <v>3882</v>
      </c>
      <c r="F1848" s="1" t="s">
        <v>3883</v>
      </c>
      <c r="G1848" s="1">
        <v>3229.0</v>
      </c>
      <c r="H1848" s="1">
        <v>20.0</v>
      </c>
      <c r="I1848" s="1" t="s">
        <v>16</v>
      </c>
      <c r="J1848" s="1">
        <v>1.5E7</v>
      </c>
      <c r="K1848" s="1">
        <v>2005.0</v>
      </c>
      <c r="L1848" s="1">
        <v>4.1</v>
      </c>
      <c r="O1848" s="3"/>
      <c r="S1848" s="4"/>
    </row>
    <row r="1849" ht="14.25" customHeight="1">
      <c r="A1849" s="1" t="s">
        <v>3655</v>
      </c>
      <c r="B1849" s="1">
        <v>121.0</v>
      </c>
      <c r="C1849" s="1">
        <v>3073392.0</v>
      </c>
      <c r="D1849" s="1" t="s">
        <v>932</v>
      </c>
      <c r="E1849" s="1" t="s">
        <v>3884</v>
      </c>
      <c r="F1849" s="1" t="s">
        <v>3885</v>
      </c>
      <c r="G1849" s="1">
        <v>59462.0</v>
      </c>
      <c r="H1849" s="1">
        <v>300.0</v>
      </c>
      <c r="I1849" s="1" t="s">
        <v>16</v>
      </c>
      <c r="J1849" s="1">
        <v>2.5E7</v>
      </c>
      <c r="K1849" s="1">
        <v>2008.0</v>
      </c>
      <c r="L1849" s="1">
        <v>6.6</v>
      </c>
      <c r="O1849" s="3"/>
      <c r="S1849" s="4"/>
    </row>
    <row r="1850" ht="14.25" customHeight="1">
      <c r="A1850" s="1" t="s">
        <v>1800</v>
      </c>
      <c r="B1850" s="1">
        <v>92.0</v>
      </c>
      <c r="C1850" s="1">
        <v>1550000.0</v>
      </c>
      <c r="D1850" s="1" t="s">
        <v>3886</v>
      </c>
      <c r="E1850" s="1" t="s">
        <v>3594</v>
      </c>
      <c r="F1850" s="1" t="s">
        <v>3887</v>
      </c>
      <c r="G1850" s="1">
        <v>30628.0</v>
      </c>
      <c r="H1850" s="1">
        <v>471.0</v>
      </c>
      <c r="I1850" s="1" t="s">
        <v>16</v>
      </c>
      <c r="J1850" s="1">
        <v>2.5E7</v>
      </c>
      <c r="K1850" s="1">
        <v>2005.0</v>
      </c>
      <c r="L1850" s="1">
        <v>2.9</v>
      </c>
      <c r="O1850" s="3"/>
      <c r="S1850" s="4"/>
    </row>
    <row r="1851" ht="14.25" customHeight="1">
      <c r="A1851" s="1" t="s">
        <v>3888</v>
      </c>
      <c r="B1851" s="1">
        <v>107.0</v>
      </c>
      <c r="C1851" s="1">
        <v>871527.0</v>
      </c>
      <c r="D1851" s="1" t="s">
        <v>909</v>
      </c>
      <c r="E1851" s="1" t="s">
        <v>1475</v>
      </c>
      <c r="F1851" s="1" t="s">
        <v>3889</v>
      </c>
      <c r="G1851" s="1">
        <v>14982.0</v>
      </c>
      <c r="H1851" s="1">
        <v>128.0</v>
      </c>
      <c r="I1851" s="1" t="s">
        <v>16</v>
      </c>
      <c r="J1851" s="1">
        <v>2.5E7</v>
      </c>
      <c r="K1851" s="1">
        <v>2005.0</v>
      </c>
      <c r="L1851" s="1">
        <v>6.5</v>
      </c>
      <c r="O1851" s="3"/>
      <c r="S1851" s="4"/>
    </row>
    <row r="1852" ht="14.25" customHeight="1">
      <c r="A1852" s="1" t="s">
        <v>3890</v>
      </c>
      <c r="B1852" s="1">
        <v>117.0</v>
      </c>
      <c r="C1852" s="1">
        <v>777423.0</v>
      </c>
      <c r="D1852" s="1" t="s">
        <v>681</v>
      </c>
      <c r="E1852" s="1" t="s">
        <v>1646</v>
      </c>
      <c r="F1852" s="1" t="s">
        <v>3891</v>
      </c>
      <c r="G1852" s="1">
        <v>5841.0</v>
      </c>
      <c r="H1852" s="1">
        <v>57.0</v>
      </c>
      <c r="I1852" s="1" t="s">
        <v>16</v>
      </c>
      <c r="J1852" s="1">
        <v>2.5E7</v>
      </c>
      <c r="K1852" s="1">
        <v>1998.0</v>
      </c>
      <c r="L1852" s="1">
        <v>7.2</v>
      </c>
      <c r="O1852" s="3"/>
      <c r="S1852" s="4"/>
    </row>
    <row r="1853" ht="14.25" customHeight="1">
      <c r="A1853" s="1" t="s">
        <v>3582</v>
      </c>
      <c r="B1853" s="1">
        <v>107.0</v>
      </c>
      <c r="C1853" s="1">
        <v>1186957.0</v>
      </c>
      <c r="D1853" s="1" t="s">
        <v>1391</v>
      </c>
      <c r="E1853" s="1" t="s">
        <v>3892</v>
      </c>
      <c r="F1853" s="1" t="s">
        <v>3893</v>
      </c>
      <c r="G1853" s="1">
        <v>9264.0</v>
      </c>
      <c r="H1853" s="1">
        <v>69.0</v>
      </c>
      <c r="I1853" s="1" t="s">
        <v>16</v>
      </c>
      <c r="J1853" s="1">
        <v>2.5E7</v>
      </c>
      <c r="K1853" s="1">
        <v>2008.0</v>
      </c>
      <c r="L1853" s="1">
        <v>6.8</v>
      </c>
      <c r="O1853" s="3"/>
      <c r="S1853" s="4"/>
    </row>
    <row r="1854" ht="14.25" customHeight="1">
      <c r="A1854" s="1" t="s">
        <v>3894</v>
      </c>
      <c r="B1854" s="1">
        <v>131.0</v>
      </c>
      <c r="C1854" s="1">
        <v>85433.0</v>
      </c>
      <c r="D1854" s="1" t="s">
        <v>3895</v>
      </c>
      <c r="E1854" s="1" t="s">
        <v>2344</v>
      </c>
      <c r="F1854" s="1" t="s">
        <v>3896</v>
      </c>
      <c r="G1854" s="1">
        <v>69676.0</v>
      </c>
      <c r="H1854" s="1">
        <v>131.0</v>
      </c>
      <c r="I1854" s="1" t="s">
        <v>16</v>
      </c>
      <c r="J1854" s="1">
        <v>1.35E7</v>
      </c>
      <c r="K1854" s="1">
        <v>2013.0</v>
      </c>
      <c r="L1854" s="1">
        <v>7.8</v>
      </c>
      <c r="O1854" s="3"/>
      <c r="S1854" s="4"/>
    </row>
    <row r="1855" ht="14.25" customHeight="1">
      <c r="A1855" s="1" t="s">
        <v>3897</v>
      </c>
      <c r="B1855" s="1">
        <v>122.0</v>
      </c>
      <c r="C1855" s="1">
        <v>1697956.0</v>
      </c>
      <c r="D1855" s="1" t="s">
        <v>811</v>
      </c>
      <c r="E1855" s="1" t="s">
        <v>301</v>
      </c>
      <c r="F1855" s="1" t="s">
        <v>3898</v>
      </c>
      <c r="G1855" s="1">
        <v>64944.0</v>
      </c>
      <c r="H1855" s="1">
        <v>212.0</v>
      </c>
      <c r="I1855" s="1" t="s">
        <v>16</v>
      </c>
      <c r="J1855" s="1">
        <v>2.0E7</v>
      </c>
      <c r="K1855" s="1">
        <v>2009.0</v>
      </c>
      <c r="L1855" s="1">
        <v>6.7</v>
      </c>
      <c r="O1855" s="3"/>
      <c r="S1855" s="4"/>
    </row>
    <row r="1856" ht="14.25" customHeight="1">
      <c r="A1856" s="1" t="s">
        <v>3759</v>
      </c>
      <c r="B1856" s="1">
        <v>134.0</v>
      </c>
      <c r="C1856" s="1">
        <v>183662.0</v>
      </c>
      <c r="D1856" s="1" t="s">
        <v>1059</v>
      </c>
      <c r="E1856" s="1" t="s">
        <v>3899</v>
      </c>
      <c r="F1856" s="1" t="s">
        <v>3900</v>
      </c>
      <c r="G1856" s="1">
        <v>18395.0</v>
      </c>
      <c r="H1856" s="1">
        <v>48.0</v>
      </c>
      <c r="I1856" s="1" t="s">
        <v>1189</v>
      </c>
      <c r="J1856" s="1">
        <v>2.5E7</v>
      </c>
      <c r="K1856" s="1">
        <v>2010.0</v>
      </c>
      <c r="L1856" s="1">
        <v>7.1</v>
      </c>
      <c r="O1856" s="3"/>
      <c r="S1856" s="4"/>
    </row>
    <row r="1857" ht="14.25" customHeight="1">
      <c r="A1857" s="1" t="s">
        <v>1535</v>
      </c>
      <c r="B1857" s="1">
        <v>117.0</v>
      </c>
      <c r="C1857" s="1">
        <v>134904.0</v>
      </c>
      <c r="D1857" s="1" t="s">
        <v>1825</v>
      </c>
      <c r="E1857" s="1" t="s">
        <v>3901</v>
      </c>
      <c r="F1857" s="1" t="s">
        <v>3902</v>
      </c>
      <c r="G1857" s="1">
        <v>2395.0</v>
      </c>
      <c r="H1857" s="1">
        <v>17.0</v>
      </c>
      <c r="I1857" s="1" t="s">
        <v>16</v>
      </c>
      <c r="J1857" s="1">
        <v>2.5E7</v>
      </c>
      <c r="K1857" s="1">
        <v>2010.0</v>
      </c>
      <c r="L1857" s="1">
        <v>5.7</v>
      </c>
      <c r="O1857" s="3"/>
      <c r="S1857" s="4"/>
    </row>
    <row r="1858" ht="14.25" customHeight="1">
      <c r="A1858" s="1" t="s">
        <v>80</v>
      </c>
      <c r="B1858" s="1">
        <v>138.0</v>
      </c>
      <c r="C1858" s="1">
        <v>1.696939E7</v>
      </c>
      <c r="D1858" s="1" t="s">
        <v>901</v>
      </c>
      <c r="E1858" s="1" t="s">
        <v>576</v>
      </c>
      <c r="F1858" s="1" t="s">
        <v>3903</v>
      </c>
      <c r="G1858" s="1">
        <v>80861.0</v>
      </c>
      <c r="H1858" s="1">
        <v>431.0</v>
      </c>
      <c r="I1858" s="1" t="s">
        <v>16</v>
      </c>
      <c r="J1858" s="1">
        <v>2.5E7</v>
      </c>
      <c r="K1858" s="1">
        <v>2013.0</v>
      </c>
      <c r="L1858" s="1">
        <v>5.3</v>
      </c>
      <c r="O1858" s="3"/>
      <c r="S1858" s="4"/>
    </row>
    <row r="1859" ht="14.25" customHeight="1">
      <c r="A1859" s="1" t="s">
        <v>3904</v>
      </c>
      <c r="B1859" s="1">
        <v>100.0</v>
      </c>
      <c r="C1859" s="1">
        <v>129115.0</v>
      </c>
      <c r="D1859" s="1" t="s">
        <v>331</v>
      </c>
      <c r="E1859" s="1" t="s">
        <v>3905</v>
      </c>
      <c r="F1859" s="1" t="s">
        <v>3906</v>
      </c>
      <c r="G1859" s="1">
        <v>5900.0</v>
      </c>
      <c r="H1859" s="1">
        <v>26.0</v>
      </c>
      <c r="I1859" s="1" t="s">
        <v>2884</v>
      </c>
      <c r="J1859" s="1">
        <v>2.5E7</v>
      </c>
      <c r="K1859" s="1">
        <v>2014.0</v>
      </c>
      <c r="L1859" s="1">
        <v>6.5</v>
      </c>
      <c r="O1859" s="3"/>
      <c r="S1859" s="4"/>
    </row>
    <row r="1860" ht="14.25" customHeight="1">
      <c r="A1860" s="1" t="s">
        <v>2251</v>
      </c>
      <c r="B1860" s="1">
        <v>119.0</v>
      </c>
      <c r="C1860" s="1">
        <v>3.47E7</v>
      </c>
      <c r="D1860" s="1" t="s">
        <v>92</v>
      </c>
      <c r="E1860" s="1" t="s">
        <v>252</v>
      </c>
      <c r="F1860" s="1" t="s">
        <v>3907</v>
      </c>
      <c r="G1860" s="1">
        <v>52846.0</v>
      </c>
      <c r="H1860" s="1">
        <v>143.0</v>
      </c>
      <c r="I1860" s="1" t="s">
        <v>16</v>
      </c>
      <c r="J1860" s="1">
        <v>1.4E7</v>
      </c>
      <c r="K1860" s="1">
        <v>1988.0</v>
      </c>
      <c r="L1860" s="1">
        <v>7.7</v>
      </c>
      <c r="O1860" s="3"/>
      <c r="S1860" s="4"/>
    </row>
    <row r="1861" ht="14.25" customHeight="1">
      <c r="A1861" s="1" t="s">
        <v>1789</v>
      </c>
      <c r="B1861" s="1">
        <v>137.0</v>
      </c>
      <c r="C1861" s="1">
        <v>717753.0</v>
      </c>
      <c r="D1861" s="1" t="s">
        <v>2805</v>
      </c>
      <c r="E1861" s="1" t="s">
        <v>1050</v>
      </c>
      <c r="F1861" s="1" t="s">
        <v>3908</v>
      </c>
      <c r="G1861" s="1">
        <v>33107.0</v>
      </c>
      <c r="H1861" s="1">
        <v>128.0</v>
      </c>
      <c r="I1861" s="1" t="s">
        <v>16</v>
      </c>
      <c r="J1861" s="1">
        <v>2.5E7</v>
      </c>
      <c r="K1861" s="1">
        <v>2012.0</v>
      </c>
      <c r="L1861" s="1">
        <v>6.1</v>
      </c>
      <c r="O1861" s="3"/>
      <c r="S1861" s="4"/>
    </row>
    <row r="1862" ht="14.25" customHeight="1">
      <c r="A1862" s="1" t="s">
        <v>914</v>
      </c>
      <c r="B1862" s="1">
        <v>119.0</v>
      </c>
      <c r="C1862" s="1">
        <v>1.09713132E8</v>
      </c>
      <c r="D1862" s="1" t="s">
        <v>782</v>
      </c>
      <c r="E1862" s="1" t="s">
        <v>914</v>
      </c>
      <c r="F1862" s="1" t="s">
        <v>3909</v>
      </c>
      <c r="G1862" s="1">
        <v>61621.0</v>
      </c>
      <c r="H1862" s="1">
        <v>219.0</v>
      </c>
      <c r="I1862" s="1" t="s">
        <v>16</v>
      </c>
      <c r="J1862" s="1">
        <v>2.5E7</v>
      </c>
      <c r="K1862" s="1">
        <v>1986.0</v>
      </c>
      <c r="L1862" s="1">
        <v>7.3</v>
      </c>
      <c r="O1862" s="3"/>
      <c r="S1862" s="4"/>
    </row>
    <row r="1863" ht="14.25" customHeight="1">
      <c r="A1863" s="1" t="s">
        <v>1061</v>
      </c>
      <c r="B1863" s="1">
        <v>139.0</v>
      </c>
      <c r="C1863" s="1">
        <v>7.0269171E7</v>
      </c>
      <c r="D1863" s="1" t="s">
        <v>1540</v>
      </c>
      <c r="E1863" s="1" t="s">
        <v>1061</v>
      </c>
      <c r="F1863" s="1" t="s">
        <v>3910</v>
      </c>
      <c r="G1863" s="1">
        <v>162130.0</v>
      </c>
      <c r="H1863" s="1">
        <v>962.0</v>
      </c>
      <c r="I1863" s="1" t="s">
        <v>16</v>
      </c>
      <c r="J1863" s="1">
        <v>2.4E7</v>
      </c>
      <c r="K1863" s="1">
        <v>2006.0</v>
      </c>
      <c r="L1863" s="1">
        <v>7.2</v>
      </c>
      <c r="O1863" s="3"/>
      <c r="S1863" s="4"/>
    </row>
    <row r="1864" ht="14.25" customHeight="1">
      <c r="A1864" s="1" t="s">
        <v>787</v>
      </c>
      <c r="B1864" s="1">
        <v>114.0</v>
      </c>
      <c r="C1864" s="1">
        <v>2.8772222E7</v>
      </c>
      <c r="D1864" s="1" t="s">
        <v>788</v>
      </c>
      <c r="E1864" s="1" t="s">
        <v>789</v>
      </c>
      <c r="F1864" s="1" t="s">
        <v>790</v>
      </c>
      <c r="G1864" s="1">
        <v>33958.0</v>
      </c>
      <c r="H1864" s="1">
        <v>163.0</v>
      </c>
      <c r="I1864" s="1" t="s">
        <v>16</v>
      </c>
      <c r="J1864" s="1">
        <v>1.05E8</v>
      </c>
      <c r="K1864" s="1">
        <v>2015.0</v>
      </c>
      <c r="L1864" s="1">
        <v>5.3</v>
      </c>
      <c r="O1864" s="3"/>
      <c r="S1864" s="4"/>
    </row>
    <row r="1865" ht="14.25" customHeight="1">
      <c r="A1865" s="1" t="s">
        <v>2511</v>
      </c>
      <c r="B1865" s="1">
        <v>120.0</v>
      </c>
      <c r="C1865" s="1">
        <v>1.01334374E8</v>
      </c>
      <c r="D1865" s="1" t="s">
        <v>2512</v>
      </c>
      <c r="E1865" s="1" t="s">
        <v>2700</v>
      </c>
      <c r="F1865" s="1" t="s">
        <v>3911</v>
      </c>
      <c r="G1865" s="1">
        <v>124941.0</v>
      </c>
      <c r="H1865" s="1">
        <v>488.0</v>
      </c>
      <c r="I1865" s="1" t="s">
        <v>16</v>
      </c>
      <c r="J1865" s="1">
        <v>2.4E7</v>
      </c>
      <c r="K1865" s="1">
        <v>1997.0</v>
      </c>
      <c r="L1865" s="1">
        <v>6.1</v>
      </c>
      <c r="O1865" s="3"/>
      <c r="S1865" s="4"/>
    </row>
    <row r="1866" ht="14.25" customHeight="1">
      <c r="A1866" s="1" t="s">
        <v>3385</v>
      </c>
      <c r="B1866" s="1">
        <v>98.0</v>
      </c>
      <c r="C1866" s="1">
        <v>1512815.0</v>
      </c>
      <c r="D1866" s="1" t="s">
        <v>3912</v>
      </c>
      <c r="E1866" s="1" t="s">
        <v>603</v>
      </c>
      <c r="F1866" s="1" t="s">
        <v>3913</v>
      </c>
      <c r="G1866" s="1">
        <v>8885.0</v>
      </c>
      <c r="H1866" s="1">
        <v>56.0</v>
      </c>
      <c r="I1866" s="1" t="s">
        <v>16</v>
      </c>
      <c r="J1866" s="1">
        <v>2.5E7</v>
      </c>
      <c r="K1866" s="1">
        <v>2016.0</v>
      </c>
      <c r="L1866" s="1">
        <v>5.8</v>
      </c>
      <c r="O1866" s="3"/>
      <c r="S1866" s="4"/>
    </row>
    <row r="1867" ht="14.25" customHeight="1">
      <c r="A1867" s="1" t="s">
        <v>563</v>
      </c>
      <c r="B1867" s="1">
        <v>106.0</v>
      </c>
      <c r="C1867" s="1">
        <v>6.5182182E7</v>
      </c>
      <c r="D1867" s="1" t="s">
        <v>699</v>
      </c>
      <c r="E1867" s="1" t="s">
        <v>1688</v>
      </c>
      <c r="F1867" s="1" t="s">
        <v>3914</v>
      </c>
      <c r="G1867" s="1">
        <v>15310.0</v>
      </c>
      <c r="H1867" s="1">
        <v>38.0</v>
      </c>
      <c r="I1867" s="1" t="s">
        <v>16</v>
      </c>
      <c r="J1867" s="1">
        <v>2.4E7</v>
      </c>
      <c r="K1867" s="1">
        <v>2014.0</v>
      </c>
      <c r="L1867" s="1">
        <v>5.7</v>
      </c>
      <c r="O1867" s="3"/>
      <c r="S1867" s="4"/>
    </row>
    <row r="1868" ht="14.25" customHeight="1">
      <c r="A1868" s="1" t="s">
        <v>2775</v>
      </c>
      <c r="B1868" s="1">
        <v>98.0</v>
      </c>
      <c r="C1868" s="1">
        <v>5.7262492E7</v>
      </c>
      <c r="D1868" s="1" t="s">
        <v>427</v>
      </c>
      <c r="E1868" s="1" t="s">
        <v>415</v>
      </c>
      <c r="F1868" s="1" t="s">
        <v>3915</v>
      </c>
      <c r="G1868" s="1">
        <v>90374.0</v>
      </c>
      <c r="H1868" s="1">
        <v>318.0</v>
      </c>
      <c r="I1868" s="1" t="s">
        <v>16</v>
      </c>
      <c r="J1868" s="1">
        <v>2.4E7</v>
      </c>
      <c r="K1868" s="1">
        <v>2000.0</v>
      </c>
      <c r="L1868" s="1">
        <v>6.7</v>
      </c>
      <c r="O1868" s="3"/>
      <c r="S1868" s="4"/>
    </row>
    <row r="1869" ht="14.25" customHeight="1">
      <c r="A1869" s="1" t="s">
        <v>3916</v>
      </c>
      <c r="B1869" s="1">
        <v>107.0</v>
      </c>
      <c r="C1869" s="1">
        <v>8.0E7</v>
      </c>
      <c r="D1869" s="1" t="s">
        <v>3098</v>
      </c>
      <c r="E1869" s="1" t="s">
        <v>3813</v>
      </c>
      <c r="F1869" s="1" t="s">
        <v>3917</v>
      </c>
      <c r="G1869" s="1">
        <v>51459.0</v>
      </c>
      <c r="H1869" s="1">
        <v>113.0</v>
      </c>
      <c r="I1869" s="1" t="s">
        <v>16</v>
      </c>
      <c r="J1869" s="1">
        <v>8200000.0</v>
      </c>
      <c r="K1869" s="1">
        <v>1984.0</v>
      </c>
      <c r="L1869" s="1">
        <v>6.5</v>
      </c>
      <c r="O1869" s="3"/>
      <c r="S1869" s="4"/>
    </row>
    <row r="1870" ht="14.25" customHeight="1">
      <c r="A1870" s="1" t="s">
        <v>1065</v>
      </c>
      <c r="B1870" s="1">
        <v>88.0</v>
      </c>
      <c r="C1870" s="1">
        <v>7.4608545E7</v>
      </c>
      <c r="D1870" s="1" t="s">
        <v>828</v>
      </c>
      <c r="E1870" s="1" t="s">
        <v>783</v>
      </c>
      <c r="F1870" s="1" t="s">
        <v>3918</v>
      </c>
      <c r="G1870" s="1">
        <v>185258.0</v>
      </c>
      <c r="H1870" s="1">
        <v>404.0</v>
      </c>
      <c r="I1870" s="1" t="s">
        <v>16</v>
      </c>
      <c r="J1870" s="1">
        <v>2.4E7</v>
      </c>
      <c r="K1870" s="1">
        <v>2003.0</v>
      </c>
      <c r="L1870" s="1">
        <v>7.2</v>
      </c>
      <c r="O1870" s="3"/>
      <c r="S1870" s="4"/>
    </row>
    <row r="1871" ht="14.25" customHeight="1">
      <c r="A1871" s="1" t="s">
        <v>1150</v>
      </c>
      <c r="B1871" s="1">
        <v>137.0</v>
      </c>
      <c r="C1871" s="1">
        <v>4.1895491E7</v>
      </c>
      <c r="D1871" s="1" t="s">
        <v>3126</v>
      </c>
      <c r="E1871" s="1" t="s">
        <v>130</v>
      </c>
      <c r="F1871" s="1" t="s">
        <v>3919</v>
      </c>
      <c r="G1871" s="1">
        <v>63274.0</v>
      </c>
      <c r="H1871" s="1">
        <v>170.0</v>
      </c>
      <c r="I1871" s="1" t="s">
        <v>16</v>
      </c>
      <c r="J1871" s="1">
        <v>2.4E7</v>
      </c>
      <c r="K1871" s="1">
        <v>1991.0</v>
      </c>
      <c r="L1871" s="1">
        <v>7.6</v>
      </c>
      <c r="O1871" s="3"/>
      <c r="S1871" s="4"/>
    </row>
    <row r="1872" ht="14.25" customHeight="1">
      <c r="A1872" s="1" t="s">
        <v>3110</v>
      </c>
      <c r="B1872" s="1">
        <v>100.0</v>
      </c>
      <c r="C1872" s="1">
        <v>3.9989008E7</v>
      </c>
      <c r="D1872" s="1" t="s">
        <v>2512</v>
      </c>
      <c r="E1872" s="1" t="s">
        <v>2147</v>
      </c>
      <c r="F1872" s="1" t="s">
        <v>3920</v>
      </c>
      <c r="G1872" s="1">
        <v>55398.0</v>
      </c>
      <c r="H1872" s="1">
        <v>418.0</v>
      </c>
      <c r="I1872" s="1" t="s">
        <v>16</v>
      </c>
      <c r="J1872" s="1">
        <v>2.4E7</v>
      </c>
      <c r="K1872" s="1">
        <v>1998.0</v>
      </c>
      <c r="L1872" s="1">
        <v>4.6</v>
      </c>
      <c r="O1872" s="3"/>
      <c r="S1872" s="4"/>
    </row>
    <row r="1873" ht="14.25" customHeight="1">
      <c r="A1873" s="1" t="s">
        <v>3921</v>
      </c>
      <c r="B1873" s="1">
        <v>115.0</v>
      </c>
      <c r="C1873" s="1">
        <v>3.2662299E7</v>
      </c>
      <c r="D1873" s="1" t="s">
        <v>593</v>
      </c>
      <c r="E1873" s="1" t="s">
        <v>3922</v>
      </c>
      <c r="F1873" s="1" t="s">
        <v>3923</v>
      </c>
      <c r="G1873" s="1">
        <v>16469.0</v>
      </c>
      <c r="H1873" s="1">
        <v>275.0</v>
      </c>
      <c r="I1873" s="1" t="s">
        <v>16</v>
      </c>
      <c r="J1873" s="1">
        <v>2.4E7</v>
      </c>
      <c r="K1873" s="1">
        <v>2000.0</v>
      </c>
      <c r="L1873" s="1">
        <v>6.9</v>
      </c>
      <c r="O1873" s="3"/>
      <c r="S1873" s="4"/>
    </row>
    <row r="1874" ht="14.25" customHeight="1">
      <c r="A1874" s="1" t="s">
        <v>2839</v>
      </c>
      <c r="B1874" s="1">
        <v>101.0</v>
      </c>
      <c r="C1874" s="1">
        <v>3.1452765E7</v>
      </c>
      <c r="D1874" s="1" t="s">
        <v>699</v>
      </c>
      <c r="E1874" s="1" t="s">
        <v>3924</v>
      </c>
      <c r="F1874" s="1" t="s">
        <v>3925</v>
      </c>
      <c r="G1874" s="1">
        <v>149835.0</v>
      </c>
      <c r="H1874" s="1">
        <v>243.0</v>
      </c>
      <c r="I1874" s="1" t="s">
        <v>16</v>
      </c>
      <c r="J1874" s="1">
        <v>2.4E7</v>
      </c>
      <c r="K1874" s="1">
        <v>2008.0</v>
      </c>
      <c r="L1874" s="1">
        <v>6.6</v>
      </c>
      <c r="O1874" s="3"/>
      <c r="S1874" s="4"/>
    </row>
    <row r="1875" ht="14.25" customHeight="1">
      <c r="A1875" s="1" t="s">
        <v>3926</v>
      </c>
      <c r="B1875" s="1">
        <v>110.0</v>
      </c>
      <c r="C1875" s="1">
        <v>2.516727E7</v>
      </c>
      <c r="D1875" s="1" t="s">
        <v>3596</v>
      </c>
      <c r="E1875" s="1" t="s">
        <v>600</v>
      </c>
      <c r="F1875" s="1" t="s">
        <v>3927</v>
      </c>
      <c r="G1875" s="1">
        <v>30119.0</v>
      </c>
      <c r="H1875" s="1">
        <v>263.0</v>
      </c>
      <c r="I1875" s="1" t="s">
        <v>16</v>
      </c>
      <c r="J1875" s="1">
        <v>2.4E7</v>
      </c>
      <c r="K1875" s="1">
        <v>2000.0</v>
      </c>
      <c r="L1875" s="1">
        <v>6.3</v>
      </c>
      <c r="O1875" s="3"/>
      <c r="S1875" s="4"/>
    </row>
    <row r="1876" ht="14.25" customHeight="1">
      <c r="A1876" s="1" t="s">
        <v>3928</v>
      </c>
      <c r="B1876" s="1">
        <v>94.0</v>
      </c>
      <c r="C1876" s="1">
        <v>3.2416109E7</v>
      </c>
      <c r="D1876" s="1" t="s">
        <v>3929</v>
      </c>
      <c r="E1876" s="1" t="s">
        <v>52</v>
      </c>
      <c r="F1876" s="1" t="s">
        <v>3930</v>
      </c>
      <c r="G1876" s="1">
        <v>109620.0</v>
      </c>
      <c r="H1876" s="1">
        <v>268.0</v>
      </c>
      <c r="I1876" s="1" t="s">
        <v>16</v>
      </c>
      <c r="J1876" s="1">
        <v>2.5E7</v>
      </c>
      <c r="K1876" s="1">
        <v>2009.0</v>
      </c>
      <c r="L1876" s="1">
        <v>6.2</v>
      </c>
      <c r="O1876" s="3"/>
      <c r="S1876" s="4"/>
    </row>
    <row r="1877" ht="14.25" customHeight="1">
      <c r="A1877" s="1" t="s">
        <v>3931</v>
      </c>
      <c r="B1877" s="1">
        <v>88.0</v>
      </c>
      <c r="C1877" s="1">
        <v>20218.0</v>
      </c>
      <c r="D1877" s="1" t="s">
        <v>180</v>
      </c>
      <c r="E1877" s="1" t="s">
        <v>3632</v>
      </c>
      <c r="F1877" s="1" t="s">
        <v>3932</v>
      </c>
      <c r="G1877" s="1">
        <v>5431.0</v>
      </c>
      <c r="H1877" s="1">
        <v>50.0</v>
      </c>
      <c r="I1877" s="1" t="s">
        <v>16</v>
      </c>
      <c r="J1877" s="1">
        <v>2.4E7</v>
      </c>
      <c r="K1877" s="1">
        <v>2001.0</v>
      </c>
      <c r="L1877" s="1">
        <v>5.3</v>
      </c>
      <c r="O1877" s="3"/>
      <c r="S1877" s="4"/>
    </row>
    <row r="1878" ht="14.25" customHeight="1">
      <c r="A1878" s="1" t="s">
        <v>596</v>
      </c>
      <c r="B1878" s="1">
        <v>127.0</v>
      </c>
      <c r="C1878" s="1">
        <v>2.887119E7</v>
      </c>
      <c r="D1878" s="1" t="s">
        <v>646</v>
      </c>
      <c r="E1878" s="1" t="s">
        <v>245</v>
      </c>
      <c r="F1878" s="1" t="s">
        <v>3933</v>
      </c>
      <c r="G1878" s="1">
        <v>125421.0</v>
      </c>
      <c r="H1878" s="1">
        <v>385.0</v>
      </c>
      <c r="I1878" s="1" t="s">
        <v>16</v>
      </c>
      <c r="J1878" s="1">
        <v>2.4E7</v>
      </c>
      <c r="K1878" s="1">
        <v>1999.0</v>
      </c>
      <c r="L1878" s="1">
        <v>7.3</v>
      </c>
      <c r="O1878" s="3"/>
      <c r="S1878" s="4"/>
    </row>
    <row r="1879" ht="14.25" customHeight="1">
      <c r="A1879" s="1" t="s">
        <v>1265</v>
      </c>
      <c r="B1879" s="1">
        <v>95.0</v>
      </c>
      <c r="C1879" s="1">
        <v>1.6964743E7</v>
      </c>
      <c r="D1879" s="1" t="s">
        <v>699</v>
      </c>
      <c r="E1879" s="1" t="s">
        <v>2577</v>
      </c>
      <c r="F1879" s="1" t="s">
        <v>3934</v>
      </c>
      <c r="G1879" s="1">
        <v>22844.0</v>
      </c>
      <c r="H1879" s="1">
        <v>140.0</v>
      </c>
      <c r="I1879" s="1" t="s">
        <v>16</v>
      </c>
      <c r="J1879" s="1">
        <v>2.4E7</v>
      </c>
      <c r="K1879" s="1">
        <v>2004.0</v>
      </c>
      <c r="L1879" s="1">
        <v>5.6</v>
      </c>
      <c r="O1879" s="3"/>
      <c r="S1879" s="4"/>
    </row>
    <row r="1880" ht="14.25" customHeight="1">
      <c r="A1880" s="1" t="s">
        <v>1594</v>
      </c>
      <c r="B1880" s="1">
        <v>87.0</v>
      </c>
      <c r="C1880" s="1">
        <v>1.6290976E7</v>
      </c>
      <c r="D1880" s="1" t="s">
        <v>3935</v>
      </c>
      <c r="E1880" s="1" t="s">
        <v>3256</v>
      </c>
      <c r="F1880" s="1" t="s">
        <v>3936</v>
      </c>
      <c r="G1880" s="1">
        <v>14637.0</v>
      </c>
      <c r="H1880" s="1">
        <v>100.0</v>
      </c>
      <c r="I1880" s="1" t="s">
        <v>16</v>
      </c>
      <c r="J1880" s="1">
        <v>2.4E7</v>
      </c>
      <c r="K1880" s="1">
        <v>1999.0</v>
      </c>
      <c r="L1880" s="1">
        <v>6.2</v>
      </c>
      <c r="O1880" s="3"/>
      <c r="S1880" s="4"/>
    </row>
    <row r="1881" ht="14.25" customHeight="1">
      <c r="A1881" s="1" t="s">
        <v>3937</v>
      </c>
      <c r="B1881" s="1">
        <v>118.0</v>
      </c>
      <c r="C1881" s="1">
        <v>1.3E7</v>
      </c>
      <c r="D1881" s="1" t="s">
        <v>3938</v>
      </c>
      <c r="E1881" s="1" t="s">
        <v>3939</v>
      </c>
      <c r="F1881" s="1" t="s">
        <v>3940</v>
      </c>
      <c r="G1881" s="1">
        <v>10895.0</v>
      </c>
      <c r="H1881" s="1">
        <v>150.0</v>
      </c>
      <c r="I1881" s="1" t="s">
        <v>16</v>
      </c>
      <c r="J1881" s="1">
        <v>2.4E7</v>
      </c>
      <c r="K1881" s="1">
        <v>1978.0</v>
      </c>
      <c r="L1881" s="1">
        <v>5.2</v>
      </c>
      <c r="O1881" s="3"/>
      <c r="S1881" s="4"/>
    </row>
    <row r="1882" ht="14.25" customHeight="1">
      <c r="A1882" s="1" t="s">
        <v>1665</v>
      </c>
      <c r="B1882" s="1">
        <v>107.0</v>
      </c>
      <c r="C1882" s="1">
        <v>1.237241E7</v>
      </c>
      <c r="D1882" s="1" t="s">
        <v>1592</v>
      </c>
      <c r="E1882" s="1" t="s">
        <v>184</v>
      </c>
      <c r="F1882" s="1" t="s">
        <v>3941</v>
      </c>
      <c r="G1882" s="1">
        <v>11709.0</v>
      </c>
      <c r="H1882" s="1">
        <v>101.0</v>
      </c>
      <c r="I1882" s="1" t="s">
        <v>16</v>
      </c>
      <c r="J1882" s="1">
        <v>2.4E7</v>
      </c>
      <c r="K1882" s="1">
        <v>2000.0</v>
      </c>
      <c r="L1882" s="1">
        <v>5.3</v>
      </c>
      <c r="O1882" s="3"/>
      <c r="S1882" s="4"/>
    </row>
    <row r="1883" ht="14.25" customHeight="1">
      <c r="A1883" s="1" t="s">
        <v>1292</v>
      </c>
      <c r="B1883" s="1">
        <v>124.0</v>
      </c>
      <c r="C1883" s="1">
        <v>8427204.0</v>
      </c>
      <c r="D1883" s="1" t="s">
        <v>2500</v>
      </c>
      <c r="E1883" s="1" t="s">
        <v>3942</v>
      </c>
      <c r="F1883" s="1" t="s">
        <v>3943</v>
      </c>
      <c r="G1883" s="1">
        <v>10100.0</v>
      </c>
      <c r="H1883" s="1">
        <v>59.0</v>
      </c>
      <c r="I1883" s="1" t="s">
        <v>16</v>
      </c>
      <c r="J1883" s="1">
        <v>2.4E7</v>
      </c>
      <c r="K1883" s="1">
        <v>1999.0</v>
      </c>
      <c r="L1883" s="1">
        <v>5.4</v>
      </c>
      <c r="O1883" s="3"/>
      <c r="S1883" s="4"/>
    </row>
    <row r="1884" ht="14.25" customHeight="1">
      <c r="A1884" s="1" t="s">
        <v>3944</v>
      </c>
      <c r="B1884" s="1">
        <v>89.0</v>
      </c>
      <c r="C1884" s="1">
        <v>9639242.0</v>
      </c>
      <c r="D1884" s="1" t="s">
        <v>699</v>
      </c>
      <c r="E1884" s="1" t="s">
        <v>2528</v>
      </c>
      <c r="F1884" s="1" t="s">
        <v>3945</v>
      </c>
      <c r="G1884" s="1">
        <v>16437.0</v>
      </c>
      <c r="H1884" s="1">
        <v>68.0</v>
      </c>
      <c r="I1884" s="1" t="s">
        <v>16</v>
      </c>
      <c r="J1884" s="1">
        <v>2.4E7</v>
      </c>
      <c r="K1884" s="1">
        <v>2011.0</v>
      </c>
      <c r="L1884" s="1">
        <v>4.9</v>
      </c>
      <c r="O1884" s="3"/>
      <c r="S1884" s="4"/>
    </row>
    <row r="1885" ht="14.25" customHeight="1">
      <c r="A1885" s="1" t="s">
        <v>2969</v>
      </c>
      <c r="B1885" s="1">
        <v>88.0</v>
      </c>
      <c r="C1885" s="1">
        <v>2.5003072E7</v>
      </c>
      <c r="D1885" s="1" t="s">
        <v>3008</v>
      </c>
      <c r="E1885" s="1" t="s">
        <v>896</v>
      </c>
      <c r="F1885" s="1" t="s">
        <v>3946</v>
      </c>
      <c r="G1885" s="1">
        <v>72552.0</v>
      </c>
      <c r="H1885" s="1">
        <v>374.0</v>
      </c>
      <c r="I1885" s="1" t="s">
        <v>16</v>
      </c>
      <c r="J1885" s="1">
        <v>2.4E7</v>
      </c>
      <c r="K1885" s="1">
        <v>2010.0</v>
      </c>
      <c r="L1885" s="1">
        <v>5.5</v>
      </c>
      <c r="O1885" s="3"/>
      <c r="S1885" s="4"/>
    </row>
    <row r="1886" ht="14.25" customHeight="1">
      <c r="A1886" s="1" t="s">
        <v>52</v>
      </c>
      <c r="B1886" s="1">
        <v>118.0</v>
      </c>
      <c r="C1886" s="1">
        <v>6144806.0</v>
      </c>
      <c r="D1886" s="1" t="s">
        <v>2591</v>
      </c>
      <c r="E1886" s="1" t="s">
        <v>52</v>
      </c>
      <c r="F1886" s="1" t="s">
        <v>3947</v>
      </c>
      <c r="G1886" s="1">
        <v>12821.0</v>
      </c>
      <c r="H1886" s="1">
        <v>248.0</v>
      </c>
      <c r="I1886" s="1" t="s">
        <v>16</v>
      </c>
      <c r="J1886" s="1">
        <v>2.3E7</v>
      </c>
      <c r="K1886" s="1">
        <v>2004.0</v>
      </c>
      <c r="L1886" s="1">
        <v>6.7</v>
      </c>
      <c r="O1886" s="3"/>
      <c r="S1886" s="4"/>
    </row>
    <row r="1887" ht="14.25" customHeight="1">
      <c r="A1887" s="1" t="s">
        <v>3948</v>
      </c>
      <c r="B1887" s="1">
        <v>93.0</v>
      </c>
      <c r="C1887" s="1">
        <v>4308981.0</v>
      </c>
      <c r="D1887" s="1" t="s">
        <v>1247</v>
      </c>
      <c r="E1887" s="1" t="s">
        <v>289</v>
      </c>
      <c r="F1887" s="1" t="s">
        <v>3949</v>
      </c>
      <c r="G1887" s="1">
        <v>2265.0</v>
      </c>
      <c r="H1887" s="1">
        <v>37.0</v>
      </c>
      <c r="I1887" s="1" t="s">
        <v>16</v>
      </c>
      <c r="J1887" s="1">
        <v>2.4E7</v>
      </c>
      <c r="K1887" s="1">
        <v>1998.0</v>
      </c>
      <c r="L1887" s="1">
        <v>3.9</v>
      </c>
      <c r="O1887" s="3"/>
      <c r="S1887" s="4"/>
    </row>
    <row r="1888" ht="14.25" customHeight="1">
      <c r="A1888" s="1" t="s">
        <v>3950</v>
      </c>
      <c r="B1888" s="1">
        <v>80.0</v>
      </c>
      <c r="C1888" s="1">
        <v>669276.0</v>
      </c>
      <c r="D1888" s="1" t="s">
        <v>3951</v>
      </c>
      <c r="E1888" s="1" t="s">
        <v>3952</v>
      </c>
      <c r="F1888" s="1" t="s">
        <v>3953</v>
      </c>
      <c r="G1888" s="1">
        <v>2541.0</v>
      </c>
      <c r="H1888" s="1">
        <v>47.0</v>
      </c>
      <c r="I1888" s="1" t="s">
        <v>16</v>
      </c>
      <c r="J1888" s="1">
        <v>2.8E7</v>
      </c>
      <c r="K1888" s="1">
        <v>1993.0</v>
      </c>
      <c r="L1888" s="1">
        <v>7.2</v>
      </c>
      <c r="O1888" s="3"/>
      <c r="S1888" s="4"/>
    </row>
    <row r="1889" ht="14.25" customHeight="1">
      <c r="A1889" s="1" t="s">
        <v>3954</v>
      </c>
      <c r="B1889" s="1">
        <v>120.0</v>
      </c>
      <c r="C1889" s="1">
        <v>42880.0</v>
      </c>
      <c r="D1889" s="1" t="s">
        <v>92</v>
      </c>
      <c r="E1889" s="1" t="s">
        <v>725</v>
      </c>
      <c r="F1889" s="1" t="s">
        <v>3955</v>
      </c>
      <c r="G1889" s="1">
        <v>2919.0</v>
      </c>
      <c r="H1889" s="1">
        <v>50.0</v>
      </c>
      <c r="I1889" s="1" t="s">
        <v>16</v>
      </c>
      <c r="J1889" s="1">
        <v>2.4E7</v>
      </c>
      <c r="K1889" s="1">
        <v>2004.0</v>
      </c>
      <c r="L1889" s="1">
        <v>5.1</v>
      </c>
      <c r="O1889" s="3"/>
      <c r="S1889" s="4"/>
    </row>
    <row r="1890" ht="14.25" customHeight="1">
      <c r="A1890" s="1" t="s">
        <v>3077</v>
      </c>
      <c r="B1890" s="1">
        <v>98.0</v>
      </c>
      <c r="C1890" s="1">
        <v>2.3225911E7</v>
      </c>
      <c r="D1890" s="1" t="s">
        <v>197</v>
      </c>
      <c r="E1890" s="1" t="s">
        <v>632</v>
      </c>
      <c r="F1890" s="1" t="s">
        <v>3956</v>
      </c>
      <c r="G1890" s="1">
        <v>80574.0</v>
      </c>
      <c r="H1890" s="1">
        <v>157.0</v>
      </c>
      <c r="I1890" s="1" t="s">
        <v>16</v>
      </c>
      <c r="J1890" s="1">
        <v>2.4E7</v>
      </c>
      <c r="K1890" s="1">
        <v>2010.0</v>
      </c>
      <c r="L1890" s="1">
        <v>6.5</v>
      </c>
      <c r="O1890" s="3"/>
      <c r="S1890" s="4"/>
    </row>
    <row r="1891" ht="14.25" customHeight="1">
      <c r="A1891" s="1" t="s">
        <v>3073</v>
      </c>
      <c r="B1891" s="1">
        <v>119.0</v>
      </c>
      <c r="C1891" s="1">
        <v>4710455.0</v>
      </c>
      <c r="D1891" s="1" t="s">
        <v>270</v>
      </c>
      <c r="E1891" s="1" t="s">
        <v>143</v>
      </c>
      <c r="F1891" s="1" t="s">
        <v>3957</v>
      </c>
      <c r="G1891" s="1">
        <v>214091.0</v>
      </c>
      <c r="H1891" s="1">
        <v>330.0</v>
      </c>
      <c r="I1891" s="1" t="s">
        <v>3076</v>
      </c>
      <c r="J1891" s="1">
        <v>2.4E7</v>
      </c>
      <c r="K1891" s="1">
        <v>2004.0</v>
      </c>
      <c r="L1891" s="1">
        <v>8.2</v>
      </c>
      <c r="O1891" s="3"/>
      <c r="S1891" s="4"/>
    </row>
    <row r="1892" ht="14.25" customHeight="1">
      <c r="A1892" s="1" t="s">
        <v>1716</v>
      </c>
      <c r="B1892" s="1">
        <v>88.0</v>
      </c>
      <c r="C1892" s="1">
        <v>7.5590286E7</v>
      </c>
      <c r="D1892" s="1" t="s">
        <v>3958</v>
      </c>
      <c r="E1892" s="1" t="s">
        <v>78</v>
      </c>
      <c r="F1892" s="1" t="s">
        <v>3959</v>
      </c>
      <c r="G1892" s="1">
        <v>386217.0</v>
      </c>
      <c r="H1892" s="1">
        <v>553.0</v>
      </c>
      <c r="I1892" s="1" t="s">
        <v>16</v>
      </c>
      <c r="J1892" s="1">
        <v>2.36E7</v>
      </c>
      <c r="K1892" s="1">
        <v>2009.0</v>
      </c>
      <c r="L1892" s="1">
        <v>7.7</v>
      </c>
      <c r="O1892" s="3"/>
      <c r="S1892" s="4"/>
    </row>
    <row r="1893" ht="14.25" customHeight="1">
      <c r="A1893" s="1" t="s">
        <v>73</v>
      </c>
      <c r="B1893" s="1">
        <v>201.0</v>
      </c>
      <c r="C1893" s="1">
        <v>2.1805126E8</v>
      </c>
      <c r="D1893" s="1" t="s">
        <v>89</v>
      </c>
      <c r="E1893" s="1" t="s">
        <v>90</v>
      </c>
      <c r="F1893" s="1" t="s">
        <v>91</v>
      </c>
      <c r="G1893" s="1">
        <v>316020.0</v>
      </c>
      <c r="H1893" s="1">
        <v>2618.0</v>
      </c>
      <c r="I1893" s="1" t="s">
        <v>16</v>
      </c>
      <c r="J1893" s="1">
        <v>2.07E8</v>
      </c>
      <c r="K1893" s="1">
        <v>2005.0</v>
      </c>
      <c r="L1893" s="1">
        <v>7.2</v>
      </c>
      <c r="O1893" s="3"/>
      <c r="S1893" s="4"/>
    </row>
    <row r="1894" ht="14.25" customHeight="1">
      <c r="A1894" s="1" t="s">
        <v>677</v>
      </c>
      <c r="B1894" s="1">
        <v>90.0</v>
      </c>
      <c r="C1894" s="1">
        <v>1.61487252E8</v>
      </c>
      <c r="D1894" s="1" t="s">
        <v>1592</v>
      </c>
      <c r="E1894" s="1" t="s">
        <v>923</v>
      </c>
      <c r="F1894" s="1" t="s">
        <v>3960</v>
      </c>
      <c r="G1894" s="1">
        <v>119450.0</v>
      </c>
      <c r="H1894" s="1">
        <v>300.0</v>
      </c>
      <c r="I1894" s="1" t="s">
        <v>16</v>
      </c>
      <c r="J1894" s="1">
        <v>2.0E7</v>
      </c>
      <c r="K1894" s="1">
        <v>1998.0</v>
      </c>
      <c r="L1894" s="1">
        <v>6.1</v>
      </c>
      <c r="O1894" s="3"/>
      <c r="S1894" s="4"/>
    </row>
    <row r="1895" ht="14.25" customHeight="1">
      <c r="A1895" s="1" t="s">
        <v>2853</v>
      </c>
      <c r="B1895" s="1">
        <v>127.0</v>
      </c>
      <c r="C1895" s="1">
        <v>2.90158751E8</v>
      </c>
      <c r="D1895" s="1" t="s">
        <v>13</v>
      </c>
      <c r="E1895" s="1" t="s">
        <v>169</v>
      </c>
      <c r="F1895" s="1" t="s">
        <v>3961</v>
      </c>
      <c r="G1895" s="1">
        <v>837759.0</v>
      </c>
      <c r="H1895" s="1">
        <v>900.0</v>
      </c>
      <c r="I1895" s="1" t="s">
        <v>16</v>
      </c>
      <c r="J1895" s="1">
        <v>1.8E7</v>
      </c>
      <c r="K1895" s="1">
        <v>1980.0</v>
      </c>
      <c r="L1895" s="1">
        <v>8.8</v>
      </c>
      <c r="O1895" s="3"/>
      <c r="S1895" s="4"/>
    </row>
    <row r="1896" ht="14.25" customHeight="1">
      <c r="A1896" s="1" t="s">
        <v>121</v>
      </c>
      <c r="B1896" s="1">
        <v>119.0</v>
      </c>
      <c r="C1896" s="1">
        <v>6.5807024E7</v>
      </c>
      <c r="D1896" s="1" t="s">
        <v>1452</v>
      </c>
      <c r="E1896" s="1" t="s">
        <v>71</v>
      </c>
      <c r="F1896" s="1" t="s">
        <v>3962</v>
      </c>
      <c r="G1896" s="1">
        <v>172405.0</v>
      </c>
      <c r="H1896" s="1">
        <v>203.0</v>
      </c>
      <c r="I1896" s="1" t="s">
        <v>16</v>
      </c>
      <c r="J1896" s="1">
        <v>1.9E7</v>
      </c>
      <c r="K1896" s="1">
        <v>1995.0</v>
      </c>
      <c r="L1896" s="1">
        <v>6.8</v>
      </c>
      <c r="O1896" s="3"/>
      <c r="S1896" s="4"/>
    </row>
    <row r="1897" ht="14.25" customHeight="1">
      <c r="A1897" s="1" t="s">
        <v>2271</v>
      </c>
      <c r="B1897" s="1">
        <v>85.0</v>
      </c>
      <c r="C1897" s="1">
        <v>8.6930411E7</v>
      </c>
      <c r="D1897" s="1" t="s">
        <v>427</v>
      </c>
      <c r="E1897" s="1" t="s">
        <v>3171</v>
      </c>
      <c r="F1897" s="1" t="s">
        <v>3963</v>
      </c>
      <c r="G1897" s="1">
        <v>83269.0</v>
      </c>
      <c r="H1897" s="1">
        <v>87.0</v>
      </c>
      <c r="I1897" s="1" t="s">
        <v>16</v>
      </c>
      <c r="J1897" s="1">
        <v>2.3E7</v>
      </c>
      <c r="K1897" s="1">
        <v>1991.0</v>
      </c>
      <c r="L1897" s="1">
        <v>6.8</v>
      </c>
      <c r="O1897" s="3"/>
      <c r="S1897" s="4"/>
    </row>
    <row r="1898" ht="14.25" customHeight="1">
      <c r="A1898" s="1" t="s">
        <v>2209</v>
      </c>
      <c r="B1898" s="1">
        <v>98.0</v>
      </c>
      <c r="C1898" s="1">
        <v>5.3302314E7</v>
      </c>
      <c r="D1898" s="1" t="s">
        <v>2657</v>
      </c>
      <c r="E1898" s="1" t="s">
        <v>3632</v>
      </c>
      <c r="F1898" s="1" t="s">
        <v>3964</v>
      </c>
      <c r="G1898" s="1">
        <v>181058.0</v>
      </c>
      <c r="H1898" s="1">
        <v>674.0</v>
      </c>
      <c r="I1898" s="1" t="s">
        <v>16</v>
      </c>
      <c r="J1898" s="1">
        <v>2.3E7</v>
      </c>
      <c r="K1898" s="1">
        <v>2000.0</v>
      </c>
      <c r="L1898" s="1">
        <v>6.7</v>
      </c>
      <c r="O1898" s="3"/>
      <c r="S1898" s="4"/>
    </row>
    <row r="1899" ht="14.25" customHeight="1">
      <c r="A1899" s="1" t="s">
        <v>1387</v>
      </c>
      <c r="B1899" s="1">
        <v>101.0</v>
      </c>
      <c r="C1899" s="1">
        <v>4.0962534E7</v>
      </c>
      <c r="D1899" s="1" t="s">
        <v>1391</v>
      </c>
      <c r="E1899" s="1" t="s">
        <v>1717</v>
      </c>
      <c r="F1899" s="1" t="s">
        <v>3965</v>
      </c>
      <c r="G1899" s="1">
        <v>188652.0</v>
      </c>
      <c r="H1899" s="1">
        <v>288.0</v>
      </c>
      <c r="I1899" s="1" t="s">
        <v>16</v>
      </c>
      <c r="J1899" s="1">
        <v>1.25E7</v>
      </c>
      <c r="K1899" s="1">
        <v>2011.0</v>
      </c>
      <c r="L1899" s="1">
        <v>7.1</v>
      </c>
      <c r="O1899" s="3"/>
      <c r="S1899" s="4"/>
    </row>
    <row r="1900" ht="14.25" customHeight="1">
      <c r="A1900" s="1" t="s">
        <v>583</v>
      </c>
      <c r="B1900" s="1">
        <v>112.0</v>
      </c>
      <c r="C1900" s="1">
        <v>3.9235088E7</v>
      </c>
      <c r="D1900" s="1" t="s">
        <v>3966</v>
      </c>
      <c r="E1900" s="1" t="s">
        <v>584</v>
      </c>
      <c r="F1900" s="1" t="s">
        <v>3967</v>
      </c>
      <c r="G1900" s="1">
        <v>193962.0</v>
      </c>
      <c r="H1900" s="1">
        <v>805.0</v>
      </c>
      <c r="I1900" s="1" t="s">
        <v>16</v>
      </c>
      <c r="J1900" s="1">
        <v>2.3E7</v>
      </c>
      <c r="K1900" s="1">
        <v>2000.0</v>
      </c>
      <c r="L1900" s="1">
        <v>7.1</v>
      </c>
      <c r="O1900" s="3"/>
      <c r="S1900" s="4"/>
    </row>
    <row r="1901" ht="14.25" customHeight="1">
      <c r="A1901" s="1" t="s">
        <v>3968</v>
      </c>
      <c r="B1901" s="1">
        <v>97.0</v>
      </c>
      <c r="C1901" s="1">
        <v>2.7338033E7</v>
      </c>
      <c r="D1901" s="1" t="s">
        <v>699</v>
      </c>
      <c r="E1901" s="1" t="s">
        <v>115</v>
      </c>
      <c r="F1901" s="1" t="s">
        <v>3969</v>
      </c>
      <c r="G1901" s="1">
        <v>19709.0</v>
      </c>
      <c r="H1901" s="1">
        <v>167.0</v>
      </c>
      <c r="I1901" s="1" t="s">
        <v>16</v>
      </c>
      <c r="J1901" s="1">
        <v>2.3E7</v>
      </c>
      <c r="K1901" s="1">
        <v>2001.0</v>
      </c>
      <c r="L1901" s="1">
        <v>6.1</v>
      </c>
      <c r="O1901" s="3"/>
      <c r="S1901" s="4"/>
    </row>
    <row r="1902" ht="14.25" customHeight="1">
      <c r="A1902" s="1" t="s">
        <v>749</v>
      </c>
      <c r="B1902" s="1">
        <v>126.0</v>
      </c>
      <c r="C1902" s="1">
        <v>2.5556065E7</v>
      </c>
      <c r="D1902" s="1" t="s">
        <v>3742</v>
      </c>
      <c r="E1902" s="1" t="s">
        <v>237</v>
      </c>
      <c r="F1902" s="1" t="s">
        <v>3970</v>
      </c>
      <c r="G1902" s="1">
        <v>355126.0</v>
      </c>
      <c r="H1902" s="1">
        <v>748.0</v>
      </c>
      <c r="I1902" s="1" t="s">
        <v>16</v>
      </c>
      <c r="J1902" s="1">
        <v>2.3E7</v>
      </c>
      <c r="K1902" s="1">
        <v>2013.0</v>
      </c>
      <c r="L1902" s="1">
        <v>8.0</v>
      </c>
      <c r="O1902" s="3"/>
      <c r="S1902" s="4"/>
    </row>
    <row r="1903" ht="14.25" customHeight="1">
      <c r="A1903" s="1" t="s">
        <v>3788</v>
      </c>
      <c r="B1903" s="1">
        <v>106.0</v>
      </c>
      <c r="C1903" s="1">
        <v>1.5785632E7</v>
      </c>
      <c r="D1903" s="1" t="s">
        <v>3789</v>
      </c>
      <c r="E1903" s="1" t="s">
        <v>115</v>
      </c>
      <c r="F1903" s="1" t="s">
        <v>3790</v>
      </c>
      <c r="G1903" s="1">
        <v>32513.0</v>
      </c>
      <c r="H1903" s="1">
        <v>119.0</v>
      </c>
      <c r="I1903" s="1" t="s">
        <v>16</v>
      </c>
      <c r="J1903" s="1">
        <v>2.3E7</v>
      </c>
      <c r="K1903" s="1">
        <v>2016.0</v>
      </c>
      <c r="L1903" s="1">
        <v>7.5</v>
      </c>
      <c r="O1903" s="3"/>
      <c r="S1903" s="4"/>
    </row>
    <row r="1904" ht="14.25" customHeight="1">
      <c r="A1904" s="1" t="s">
        <v>1803</v>
      </c>
      <c r="B1904" s="1">
        <v>97.0</v>
      </c>
      <c r="C1904" s="1">
        <v>2.1973182E7</v>
      </c>
      <c r="D1904" s="1" t="s">
        <v>362</v>
      </c>
      <c r="E1904" s="1" t="s">
        <v>289</v>
      </c>
      <c r="F1904" s="1" t="s">
        <v>3971</v>
      </c>
      <c r="G1904" s="1">
        <v>53415.0</v>
      </c>
      <c r="H1904" s="1">
        <v>339.0</v>
      </c>
      <c r="I1904" s="1" t="s">
        <v>16</v>
      </c>
      <c r="J1904" s="1">
        <v>2.3E7</v>
      </c>
      <c r="K1904" s="1">
        <v>2001.0</v>
      </c>
      <c r="L1904" s="1">
        <v>6.6</v>
      </c>
      <c r="O1904" s="3"/>
      <c r="S1904" s="4"/>
    </row>
    <row r="1905" ht="14.25" customHeight="1">
      <c r="A1905" s="1" t="s">
        <v>3972</v>
      </c>
      <c r="B1905" s="1">
        <v>100.0</v>
      </c>
      <c r="C1905" s="1">
        <v>4756.0</v>
      </c>
      <c r="D1905" s="1" t="s">
        <v>86</v>
      </c>
      <c r="E1905" s="1" t="s">
        <v>825</v>
      </c>
      <c r="F1905" s="1" t="s">
        <v>3973</v>
      </c>
      <c r="G1905" s="1">
        <v>4191.0</v>
      </c>
      <c r="H1905" s="1">
        <v>32.0</v>
      </c>
      <c r="I1905" s="1" t="s">
        <v>16</v>
      </c>
      <c r="J1905" s="1">
        <v>2.5E7</v>
      </c>
      <c r="K1905" s="1">
        <v>2013.0</v>
      </c>
      <c r="L1905" s="1">
        <v>5.4</v>
      </c>
      <c r="O1905" s="3"/>
      <c r="S1905" s="4"/>
    </row>
    <row r="1906" ht="14.25" customHeight="1">
      <c r="A1906" s="1" t="s">
        <v>1873</v>
      </c>
      <c r="B1906" s="1">
        <v>114.0</v>
      </c>
      <c r="C1906" s="1">
        <v>1.8653615E7</v>
      </c>
      <c r="D1906" s="1" t="s">
        <v>1059</v>
      </c>
      <c r="E1906" s="1" t="s">
        <v>603</v>
      </c>
      <c r="F1906" s="1" t="s">
        <v>3974</v>
      </c>
      <c r="G1906" s="1">
        <v>14786.0</v>
      </c>
      <c r="H1906" s="1">
        <v>103.0</v>
      </c>
      <c r="I1906" s="1" t="s">
        <v>16</v>
      </c>
      <c r="J1906" s="1">
        <v>2.3E7</v>
      </c>
      <c r="K1906" s="1">
        <v>1999.0</v>
      </c>
      <c r="L1906" s="1">
        <v>6.1</v>
      </c>
      <c r="O1906" s="3"/>
      <c r="S1906" s="4"/>
    </row>
    <row r="1907" ht="14.25" customHeight="1">
      <c r="A1907" s="1" t="s">
        <v>3975</v>
      </c>
      <c r="B1907" s="1">
        <v>88.0</v>
      </c>
      <c r="C1907" s="1">
        <v>1.3019253E7</v>
      </c>
      <c r="D1907" s="1" t="s">
        <v>427</v>
      </c>
      <c r="E1907" s="1" t="s">
        <v>3976</v>
      </c>
      <c r="F1907" s="1" t="s">
        <v>3977</v>
      </c>
      <c r="G1907" s="1">
        <v>3914.0</v>
      </c>
      <c r="H1907" s="1">
        <v>47.0</v>
      </c>
      <c r="I1907" s="1" t="s">
        <v>16</v>
      </c>
      <c r="J1907" s="1">
        <v>2.3E7</v>
      </c>
      <c r="K1907" s="1">
        <v>2000.0</v>
      </c>
      <c r="L1907" s="1">
        <v>5.6</v>
      </c>
      <c r="O1907" s="3"/>
      <c r="S1907" s="4"/>
    </row>
    <row r="1908" ht="14.25" customHeight="1">
      <c r="A1908" s="1" t="s">
        <v>639</v>
      </c>
      <c r="B1908" s="1">
        <v>93.0</v>
      </c>
      <c r="C1908" s="1">
        <v>1.8934858E7</v>
      </c>
      <c r="D1908" s="1" t="s">
        <v>26</v>
      </c>
      <c r="E1908" s="1" t="s">
        <v>191</v>
      </c>
      <c r="F1908" s="1" t="s">
        <v>3978</v>
      </c>
      <c r="G1908" s="1">
        <v>72646.0</v>
      </c>
      <c r="H1908" s="1">
        <v>397.0</v>
      </c>
      <c r="I1908" s="1" t="s">
        <v>16</v>
      </c>
      <c r="J1908" s="1">
        <v>2.3E7</v>
      </c>
      <c r="K1908" s="1">
        <v>2011.0</v>
      </c>
      <c r="L1908" s="1">
        <v>5.8</v>
      </c>
      <c r="O1908" s="3"/>
      <c r="S1908" s="4"/>
    </row>
    <row r="1909" ht="14.25" customHeight="1">
      <c r="A1909" s="1" t="s">
        <v>3979</v>
      </c>
      <c r="B1909" s="1">
        <v>92.0</v>
      </c>
      <c r="C1909" s="1">
        <v>2.0763013E7</v>
      </c>
      <c r="D1909" s="1" t="s">
        <v>3388</v>
      </c>
      <c r="E1909" s="1" t="s">
        <v>3980</v>
      </c>
      <c r="F1909" s="1" t="s">
        <v>3981</v>
      </c>
      <c r="G1909" s="1">
        <v>30840.0</v>
      </c>
      <c r="H1909" s="1">
        <v>383.0</v>
      </c>
      <c r="I1909" s="1" t="s">
        <v>16</v>
      </c>
      <c r="J1909" s="1">
        <v>2.3E7</v>
      </c>
      <c r="K1909" s="1">
        <v>1987.0</v>
      </c>
      <c r="L1909" s="1">
        <v>2.8</v>
      </c>
      <c r="O1909" s="3"/>
      <c r="S1909" s="4"/>
    </row>
    <row r="1910" ht="14.25" customHeight="1">
      <c r="A1910" s="1" t="s">
        <v>3982</v>
      </c>
      <c r="B1910" s="1">
        <v>98.0</v>
      </c>
      <c r="C1910" s="1">
        <v>1.2782508E7</v>
      </c>
      <c r="D1910" s="1" t="s">
        <v>1391</v>
      </c>
      <c r="E1910" s="1" t="s">
        <v>93</v>
      </c>
      <c r="F1910" s="1" t="s">
        <v>3983</v>
      </c>
      <c r="G1910" s="1">
        <v>20163.0</v>
      </c>
      <c r="H1910" s="1">
        <v>71.0</v>
      </c>
      <c r="I1910" s="1" t="s">
        <v>16</v>
      </c>
      <c r="J1910" s="1">
        <v>2.3E7</v>
      </c>
      <c r="K1910" s="1">
        <v>1996.0</v>
      </c>
      <c r="L1910" s="1">
        <v>6.7</v>
      </c>
      <c r="O1910" s="3"/>
      <c r="S1910" s="4"/>
    </row>
    <row r="1911" ht="14.25" customHeight="1">
      <c r="A1911" s="1" t="s">
        <v>3984</v>
      </c>
      <c r="B1911" s="1">
        <v>94.0</v>
      </c>
      <c r="C1911" s="1">
        <v>1.1508423E7</v>
      </c>
      <c r="D1911" s="1" t="s">
        <v>3985</v>
      </c>
      <c r="E1911" s="1" t="s">
        <v>3986</v>
      </c>
      <c r="F1911" s="1" t="s">
        <v>3987</v>
      </c>
      <c r="G1911" s="1">
        <v>3174.0</v>
      </c>
      <c r="H1911" s="1">
        <v>19.0</v>
      </c>
      <c r="I1911" s="1" t="s">
        <v>16</v>
      </c>
      <c r="J1911" s="1">
        <v>2.3E7</v>
      </c>
      <c r="K1911" s="1">
        <v>2008.0</v>
      </c>
      <c r="L1911" s="1">
        <v>5.1</v>
      </c>
      <c r="O1911" s="3"/>
      <c r="S1911" s="4"/>
    </row>
    <row r="1912" ht="14.25" customHeight="1">
      <c r="A1912" s="1" t="s">
        <v>2038</v>
      </c>
      <c r="B1912" s="1">
        <v>102.0</v>
      </c>
      <c r="C1912" s="1">
        <v>1.0660147E7</v>
      </c>
      <c r="D1912" s="1" t="s">
        <v>92</v>
      </c>
      <c r="E1912" s="1" t="s">
        <v>2658</v>
      </c>
      <c r="F1912" s="1" t="s">
        <v>3988</v>
      </c>
      <c r="G1912" s="1">
        <v>17740.0</v>
      </c>
      <c r="H1912" s="1">
        <v>165.0</v>
      </c>
      <c r="I1912" s="1" t="s">
        <v>16</v>
      </c>
      <c r="J1912" s="1">
        <v>2.3E7</v>
      </c>
      <c r="K1912" s="1">
        <v>1999.0</v>
      </c>
      <c r="L1912" s="1">
        <v>7.2</v>
      </c>
      <c r="O1912" s="3"/>
      <c r="S1912" s="4"/>
    </row>
    <row r="1913" ht="14.25" customHeight="1">
      <c r="A1913" s="1" t="s">
        <v>2365</v>
      </c>
      <c r="B1913" s="1">
        <v>98.0</v>
      </c>
      <c r="C1913" s="1">
        <v>7434726.0</v>
      </c>
      <c r="D1913" s="1" t="s">
        <v>3989</v>
      </c>
      <c r="E1913" s="1" t="s">
        <v>732</v>
      </c>
      <c r="F1913" s="1" t="s">
        <v>3990</v>
      </c>
      <c r="G1913" s="1">
        <v>14473.0</v>
      </c>
      <c r="H1913" s="1">
        <v>81.0</v>
      </c>
      <c r="I1913" s="1" t="s">
        <v>16</v>
      </c>
      <c r="J1913" s="1">
        <v>2.3E7</v>
      </c>
      <c r="K1913" s="1">
        <v>1991.0</v>
      </c>
      <c r="L1913" s="1">
        <v>6.0</v>
      </c>
      <c r="O1913" s="3"/>
      <c r="S1913" s="4"/>
    </row>
    <row r="1914" ht="14.25" customHeight="1">
      <c r="A1914" s="1" t="s">
        <v>3991</v>
      </c>
      <c r="B1914" s="1">
        <v>111.0</v>
      </c>
      <c r="C1914" s="1">
        <v>6109075.0</v>
      </c>
      <c r="D1914" s="1" t="s">
        <v>646</v>
      </c>
      <c r="E1914" s="1" t="s">
        <v>3992</v>
      </c>
      <c r="F1914" s="1" t="s">
        <v>3993</v>
      </c>
      <c r="G1914" s="1">
        <v>32003.0</v>
      </c>
      <c r="H1914" s="1">
        <v>65.0</v>
      </c>
      <c r="I1914" s="1" t="s">
        <v>1189</v>
      </c>
      <c r="J1914" s="1">
        <v>1.943E7</v>
      </c>
      <c r="K1914" s="1">
        <v>2009.0</v>
      </c>
      <c r="L1914" s="1">
        <v>6.7</v>
      </c>
      <c r="O1914" s="3"/>
      <c r="S1914" s="4"/>
    </row>
    <row r="1915" ht="14.25" customHeight="1">
      <c r="A1915" s="1" t="s">
        <v>2251</v>
      </c>
      <c r="B1915" s="1">
        <v>100.0</v>
      </c>
      <c r="C1915" s="1">
        <v>2708188.0</v>
      </c>
      <c r="D1915" s="1" t="s">
        <v>593</v>
      </c>
      <c r="E1915" s="1" t="s">
        <v>3994</v>
      </c>
      <c r="F1915" s="1" t="s">
        <v>3995</v>
      </c>
      <c r="G1915" s="1">
        <v>8924.0</v>
      </c>
      <c r="H1915" s="1">
        <v>43.0</v>
      </c>
      <c r="I1915" s="1" t="s">
        <v>16</v>
      </c>
      <c r="J1915" s="1">
        <v>2.3E7</v>
      </c>
      <c r="K1915" s="1">
        <v>2009.0</v>
      </c>
      <c r="L1915" s="1">
        <v>6.2</v>
      </c>
      <c r="O1915" s="3"/>
      <c r="S1915" s="4"/>
    </row>
    <row r="1916" ht="14.25" customHeight="1">
      <c r="A1916" s="1" t="s">
        <v>3996</v>
      </c>
      <c r="B1916" s="1">
        <v>141.0</v>
      </c>
      <c r="C1916" s="1">
        <v>1.6123851E7</v>
      </c>
      <c r="D1916" s="1" t="s">
        <v>1391</v>
      </c>
      <c r="E1916" s="1" t="s">
        <v>3997</v>
      </c>
      <c r="F1916" s="1" t="s">
        <v>3998</v>
      </c>
      <c r="G1916" s="1">
        <v>17373.0</v>
      </c>
      <c r="H1916" s="1">
        <v>148.0</v>
      </c>
      <c r="I1916" s="1" t="s">
        <v>16</v>
      </c>
      <c r="J1916" s="1">
        <v>2.3E7</v>
      </c>
      <c r="K1916" s="1">
        <v>2004.0</v>
      </c>
      <c r="L1916" s="1">
        <v>6.2</v>
      </c>
      <c r="O1916" s="3"/>
      <c r="S1916" s="4"/>
    </row>
    <row r="1917" ht="14.25" customHeight="1">
      <c r="A1917" s="1" t="s">
        <v>1440</v>
      </c>
      <c r="B1917" s="1">
        <v>114.0</v>
      </c>
      <c r="C1917" s="1">
        <v>7.1975611E7</v>
      </c>
      <c r="D1917" s="1" t="s">
        <v>2945</v>
      </c>
      <c r="E1917" s="1" t="s">
        <v>3999</v>
      </c>
      <c r="F1917" s="1" t="s">
        <v>4000</v>
      </c>
      <c r="G1917" s="1">
        <v>209396.0</v>
      </c>
      <c r="H1917" s="1">
        <v>580.0</v>
      </c>
      <c r="I1917" s="1" t="s">
        <v>16</v>
      </c>
      <c r="J1917" s="1">
        <v>2.5E7</v>
      </c>
      <c r="K1917" s="1">
        <v>2007.0</v>
      </c>
      <c r="L1917" s="1">
        <v>6.8</v>
      </c>
      <c r="O1917" s="3"/>
      <c r="S1917" s="4"/>
    </row>
    <row r="1918" ht="14.25" customHeight="1">
      <c r="A1918" s="1" t="s">
        <v>4001</v>
      </c>
      <c r="B1918" s="1">
        <v>96.0</v>
      </c>
      <c r="C1918" s="1">
        <v>3.8119483E7</v>
      </c>
      <c r="D1918" s="1" t="s">
        <v>782</v>
      </c>
      <c r="E1918" s="1" t="s">
        <v>4002</v>
      </c>
      <c r="F1918" s="1" t="s">
        <v>4003</v>
      </c>
      <c r="G1918" s="1">
        <v>136667.0</v>
      </c>
      <c r="H1918" s="1">
        <v>273.0</v>
      </c>
      <c r="I1918" s="1" t="s">
        <v>16</v>
      </c>
      <c r="J1918" s="1">
        <v>2.27E7</v>
      </c>
      <c r="K1918" s="1">
        <v>1987.0</v>
      </c>
      <c r="L1918" s="1">
        <v>7.1</v>
      </c>
      <c r="O1918" s="3"/>
      <c r="S1918" s="4"/>
    </row>
    <row r="1919" ht="14.25" customHeight="1">
      <c r="A1919" s="1" t="s">
        <v>4004</v>
      </c>
      <c r="B1919" s="1">
        <v>111.0</v>
      </c>
      <c r="C1919" s="1">
        <v>4190530.0</v>
      </c>
      <c r="D1919" s="1" t="s">
        <v>1384</v>
      </c>
      <c r="E1919" s="1" t="s">
        <v>4005</v>
      </c>
      <c r="F1919" s="1" t="s">
        <v>4006</v>
      </c>
      <c r="G1919" s="1">
        <v>53341.0</v>
      </c>
      <c r="H1919" s="1">
        <v>185.0</v>
      </c>
      <c r="I1919" s="1" t="s">
        <v>16</v>
      </c>
      <c r="J1919" s="1">
        <v>2.25E7</v>
      </c>
      <c r="K1919" s="1">
        <v>2014.0</v>
      </c>
      <c r="L1919" s="1">
        <v>7.1</v>
      </c>
      <c r="O1919" s="3"/>
      <c r="S1919" s="4"/>
    </row>
    <row r="1920" ht="14.25" customHeight="1">
      <c r="A1920" s="1" t="s">
        <v>1277</v>
      </c>
      <c r="B1920" s="1">
        <v>127.0</v>
      </c>
      <c r="C1920" s="1">
        <v>2.17631306E8</v>
      </c>
      <c r="D1920" s="1" t="s">
        <v>4007</v>
      </c>
      <c r="E1920" s="1" t="s">
        <v>573</v>
      </c>
      <c r="F1920" s="1" t="s">
        <v>4008</v>
      </c>
      <c r="G1920" s="1">
        <v>154199.0</v>
      </c>
      <c r="H1920" s="1">
        <v>252.0</v>
      </c>
      <c r="I1920" s="1" t="s">
        <v>16</v>
      </c>
      <c r="J1920" s="1">
        <v>2.2E7</v>
      </c>
      <c r="K1920" s="1">
        <v>1990.0</v>
      </c>
      <c r="L1920" s="1">
        <v>7.0</v>
      </c>
      <c r="O1920" s="3"/>
      <c r="S1920" s="4"/>
    </row>
    <row r="1921" ht="14.25" customHeight="1">
      <c r="A1921" s="1" t="s">
        <v>1428</v>
      </c>
      <c r="B1921" s="1">
        <v>107.0</v>
      </c>
      <c r="C1921" s="1">
        <v>1.76483808E8</v>
      </c>
      <c r="D1921" s="1" t="s">
        <v>699</v>
      </c>
      <c r="E1921" s="1" t="s">
        <v>2790</v>
      </c>
      <c r="F1921" s="1" t="s">
        <v>4009</v>
      </c>
      <c r="G1921" s="1">
        <v>247289.0</v>
      </c>
      <c r="H1921" s="1">
        <v>611.0</v>
      </c>
      <c r="I1921" s="1" t="s">
        <v>16</v>
      </c>
      <c r="J1921" s="1">
        <v>2.3E7</v>
      </c>
      <c r="K1921" s="1">
        <v>1998.0</v>
      </c>
      <c r="L1921" s="1">
        <v>7.1</v>
      </c>
      <c r="O1921" s="3"/>
      <c r="S1921" s="4"/>
    </row>
    <row r="1922" ht="14.25" customHeight="1">
      <c r="A1922" s="1" t="s">
        <v>1712</v>
      </c>
      <c r="B1922" s="1">
        <v>97.0</v>
      </c>
      <c r="C1922" s="1">
        <v>1.44833357E8</v>
      </c>
      <c r="D1922" s="1" t="s">
        <v>1940</v>
      </c>
      <c r="E1922" s="1" t="s">
        <v>1493</v>
      </c>
      <c r="F1922" s="1" t="s">
        <v>4010</v>
      </c>
      <c r="G1922" s="1">
        <v>64742.0</v>
      </c>
      <c r="H1922" s="1">
        <v>111.0</v>
      </c>
      <c r="I1922" s="1" t="s">
        <v>16</v>
      </c>
      <c r="J1922" s="1">
        <v>2.2E7</v>
      </c>
      <c r="K1922" s="1">
        <v>1994.0</v>
      </c>
      <c r="L1922" s="1">
        <v>6.4</v>
      </c>
      <c r="O1922" s="3"/>
      <c r="S1922" s="4"/>
    </row>
    <row r="1923" ht="14.25" customHeight="1">
      <c r="A1923" s="1" t="s">
        <v>868</v>
      </c>
      <c r="B1923" s="1">
        <v>127.0</v>
      </c>
      <c r="C1923" s="1">
        <v>7.5597042E7</v>
      </c>
      <c r="D1923" s="1" t="s">
        <v>3151</v>
      </c>
      <c r="E1923" s="1" t="s">
        <v>870</v>
      </c>
      <c r="F1923" s="1" t="s">
        <v>4011</v>
      </c>
      <c r="G1923" s="1">
        <v>26434.0</v>
      </c>
      <c r="H1923" s="1">
        <v>174.0</v>
      </c>
      <c r="I1923" s="1" t="s">
        <v>16</v>
      </c>
      <c r="J1923" s="1">
        <v>2.0E7</v>
      </c>
      <c r="K1923" s="1">
        <v>2002.0</v>
      </c>
      <c r="L1923" s="1">
        <v>7.0</v>
      </c>
      <c r="O1923" s="3"/>
      <c r="S1923" s="4"/>
    </row>
    <row r="1924" ht="14.25" customHeight="1">
      <c r="A1924" s="1" t="s">
        <v>2068</v>
      </c>
      <c r="B1924" s="1">
        <v>110.0</v>
      </c>
      <c r="C1924" s="1">
        <v>9.0636983E7</v>
      </c>
      <c r="D1924" s="1" t="s">
        <v>3129</v>
      </c>
      <c r="E1924" s="1" t="s">
        <v>632</v>
      </c>
      <c r="F1924" s="1" t="s">
        <v>4012</v>
      </c>
      <c r="G1924" s="1">
        <v>44021.0</v>
      </c>
      <c r="H1924" s="1">
        <v>83.0</v>
      </c>
      <c r="I1924" s="1" t="s">
        <v>16</v>
      </c>
      <c r="J1924" s="1">
        <v>2.2E7</v>
      </c>
      <c r="K1924" s="1">
        <v>2007.0</v>
      </c>
      <c r="L1924" s="1">
        <v>6.2</v>
      </c>
      <c r="O1924" s="3"/>
      <c r="S1924" s="4"/>
    </row>
    <row r="1925" ht="14.25" customHeight="1">
      <c r="A1925" s="1" t="s">
        <v>1506</v>
      </c>
      <c r="B1925" s="1">
        <v>135.0</v>
      </c>
      <c r="C1925" s="1">
        <v>7.0960517E7</v>
      </c>
      <c r="D1925" s="1" t="s">
        <v>92</v>
      </c>
      <c r="E1925" s="1" t="s">
        <v>1506</v>
      </c>
      <c r="F1925" s="1" t="s">
        <v>4013</v>
      </c>
      <c r="G1925" s="1">
        <v>54631.0</v>
      </c>
      <c r="H1925" s="1">
        <v>192.0</v>
      </c>
      <c r="I1925" s="1" t="s">
        <v>16</v>
      </c>
      <c r="J1925" s="1">
        <v>3.5E7</v>
      </c>
      <c r="K1925" s="1">
        <v>1995.0</v>
      </c>
      <c r="L1925" s="1">
        <v>7.5</v>
      </c>
      <c r="O1925" s="3"/>
      <c r="S1925" s="4"/>
    </row>
    <row r="1926" ht="14.25" customHeight="1">
      <c r="A1926" s="1" t="s">
        <v>2954</v>
      </c>
      <c r="B1926" s="1">
        <v>84.0</v>
      </c>
      <c r="C1926" s="1">
        <v>5.5762229E7</v>
      </c>
      <c r="D1926" s="1" t="s">
        <v>2203</v>
      </c>
      <c r="E1926" s="1" t="s">
        <v>2115</v>
      </c>
      <c r="F1926" s="1" t="s">
        <v>4014</v>
      </c>
      <c r="G1926" s="1">
        <v>47383.0</v>
      </c>
      <c r="H1926" s="1">
        <v>132.0</v>
      </c>
      <c r="I1926" s="1" t="s">
        <v>16</v>
      </c>
      <c r="J1926" s="1">
        <v>2.2E7</v>
      </c>
      <c r="K1926" s="1">
        <v>2001.0</v>
      </c>
      <c r="L1926" s="1">
        <v>4.8</v>
      </c>
      <c r="O1926" s="3"/>
      <c r="S1926" s="4"/>
    </row>
    <row r="1927" ht="14.25" customHeight="1">
      <c r="A1927" s="1" t="s">
        <v>3025</v>
      </c>
      <c r="B1927" s="1">
        <v>122.0</v>
      </c>
      <c r="C1927" s="1">
        <v>5.4235441E7</v>
      </c>
      <c r="D1927" s="1" t="s">
        <v>1059</v>
      </c>
      <c r="E1927" s="1" t="s">
        <v>4015</v>
      </c>
      <c r="F1927" s="1" t="s">
        <v>4016</v>
      </c>
      <c r="G1927" s="1">
        <v>52894.0</v>
      </c>
      <c r="H1927" s="1">
        <v>185.0</v>
      </c>
      <c r="I1927" s="1" t="s">
        <v>16</v>
      </c>
      <c r="J1927" s="1">
        <v>2.2E7</v>
      </c>
      <c r="K1927" s="1">
        <v>2014.0</v>
      </c>
      <c r="L1927" s="1">
        <v>7.3</v>
      </c>
      <c r="O1927" s="3"/>
      <c r="S1927" s="4"/>
    </row>
    <row r="1928" ht="14.25" customHeight="1">
      <c r="A1928" s="1" t="s">
        <v>2668</v>
      </c>
      <c r="B1928" s="1">
        <v>114.0</v>
      </c>
      <c r="C1928" s="1">
        <v>5.0728E7</v>
      </c>
      <c r="D1928" s="1" t="s">
        <v>998</v>
      </c>
      <c r="E1928" s="1" t="s">
        <v>3152</v>
      </c>
      <c r="F1928" s="1" t="s">
        <v>4017</v>
      </c>
      <c r="G1928" s="1">
        <v>48909.0</v>
      </c>
      <c r="H1928" s="1">
        <v>166.0</v>
      </c>
      <c r="I1928" s="1" t="s">
        <v>16</v>
      </c>
      <c r="J1928" s="1">
        <v>2.2E7</v>
      </c>
      <c r="K1928" s="1">
        <v>1995.0</v>
      </c>
      <c r="L1928" s="1">
        <v>5.8</v>
      </c>
      <c r="O1928" s="3"/>
      <c r="S1928" s="4"/>
    </row>
    <row r="1929" ht="14.25" customHeight="1">
      <c r="A1929" s="1" t="s">
        <v>4018</v>
      </c>
      <c r="B1929" s="1">
        <v>132.0</v>
      </c>
      <c r="C1929" s="1">
        <v>4.0270895E7</v>
      </c>
      <c r="D1929" s="1" t="s">
        <v>1391</v>
      </c>
      <c r="E1929" s="1" t="s">
        <v>3813</v>
      </c>
      <c r="F1929" s="1" t="s">
        <v>4019</v>
      </c>
      <c r="G1929" s="1">
        <v>121937.0</v>
      </c>
      <c r="H1929" s="1">
        <v>431.0</v>
      </c>
      <c r="I1929" s="1" t="s">
        <v>16</v>
      </c>
      <c r="J1929" s="1">
        <v>2.2E7</v>
      </c>
      <c r="K1929" s="1">
        <v>2001.0</v>
      </c>
      <c r="L1929" s="1">
        <v>7.6</v>
      </c>
      <c r="O1929" s="3"/>
      <c r="S1929" s="4"/>
    </row>
    <row r="1930" ht="14.25" customHeight="1">
      <c r="A1930" s="1" t="s">
        <v>4020</v>
      </c>
      <c r="B1930" s="1">
        <v>170.0</v>
      </c>
      <c r="C1930" s="1">
        <v>5.9696176E7</v>
      </c>
      <c r="D1930" s="1" t="s">
        <v>2369</v>
      </c>
      <c r="E1930" s="1" t="s">
        <v>4021</v>
      </c>
      <c r="F1930" s="1" t="s">
        <v>4022</v>
      </c>
      <c r="G1930" s="1">
        <v>15448.0</v>
      </c>
      <c r="H1930" s="1">
        <v>174.0</v>
      </c>
      <c r="I1930" s="1" t="s">
        <v>16</v>
      </c>
      <c r="J1930" s="1">
        <v>2.2E7</v>
      </c>
      <c r="K1930" s="1">
        <v>2014.0</v>
      </c>
      <c r="L1930" s="1">
        <v>5.6</v>
      </c>
      <c r="O1930" s="3"/>
      <c r="S1930" s="4"/>
    </row>
    <row r="1931" ht="14.25" customHeight="1">
      <c r="A1931" s="1" t="s">
        <v>674</v>
      </c>
      <c r="B1931" s="1">
        <v>133.0</v>
      </c>
      <c r="C1931" s="1">
        <v>5.1483949E7</v>
      </c>
      <c r="D1931" s="1" t="s">
        <v>569</v>
      </c>
      <c r="E1931" s="1" t="s">
        <v>1945</v>
      </c>
      <c r="F1931" s="1" t="s">
        <v>4023</v>
      </c>
      <c r="G1931" s="1">
        <v>208092.0</v>
      </c>
      <c r="H1931" s="1">
        <v>806.0</v>
      </c>
      <c r="I1931" s="1" t="s">
        <v>16</v>
      </c>
      <c r="J1931" s="1">
        <v>2.2E7</v>
      </c>
      <c r="K1931" s="1">
        <v>2003.0</v>
      </c>
      <c r="L1931" s="1">
        <v>7.0</v>
      </c>
      <c r="O1931" s="3"/>
      <c r="S1931" s="4"/>
    </row>
    <row r="1932" ht="14.25" customHeight="1">
      <c r="A1932" s="1" t="s">
        <v>1440</v>
      </c>
      <c r="B1932" s="1">
        <v>112.0</v>
      </c>
      <c r="C1932" s="1">
        <v>3.6020063E7</v>
      </c>
      <c r="D1932" s="1" t="s">
        <v>1654</v>
      </c>
      <c r="E1932" s="1" t="s">
        <v>4024</v>
      </c>
      <c r="F1932" s="1" t="s">
        <v>4025</v>
      </c>
      <c r="G1932" s="1">
        <v>62584.0</v>
      </c>
      <c r="H1932" s="1">
        <v>375.0</v>
      </c>
      <c r="I1932" s="1" t="s">
        <v>16</v>
      </c>
      <c r="J1932" s="1">
        <v>2.2E7</v>
      </c>
      <c r="K1932" s="1">
        <v>2005.0</v>
      </c>
      <c r="L1932" s="1">
        <v>6.6</v>
      </c>
      <c r="O1932" s="3"/>
      <c r="S1932" s="4"/>
    </row>
    <row r="1933" ht="14.25" customHeight="1">
      <c r="A1933" s="1" t="s">
        <v>639</v>
      </c>
      <c r="B1933" s="1">
        <v>108.0</v>
      </c>
      <c r="C1933" s="1">
        <v>3.3313582E7</v>
      </c>
      <c r="D1933" s="1" t="s">
        <v>2140</v>
      </c>
      <c r="E1933" s="1" t="s">
        <v>486</v>
      </c>
      <c r="F1933" s="1" t="s">
        <v>4026</v>
      </c>
      <c r="G1933" s="1">
        <v>52888.0</v>
      </c>
      <c r="H1933" s="1">
        <v>175.0</v>
      </c>
      <c r="I1933" s="1" t="s">
        <v>16</v>
      </c>
      <c r="J1933" s="1">
        <v>2.1E7</v>
      </c>
      <c r="K1933" s="1">
        <v>2009.0</v>
      </c>
      <c r="L1933" s="1">
        <v>6.5</v>
      </c>
      <c r="O1933" s="3"/>
      <c r="S1933" s="4"/>
    </row>
    <row r="1934" ht="14.25" customHeight="1">
      <c r="A1934" s="1" t="s">
        <v>3457</v>
      </c>
      <c r="B1934" s="1">
        <v>115.0</v>
      </c>
      <c r="C1934" s="1">
        <v>2.5842E7</v>
      </c>
      <c r="D1934" s="1" t="s">
        <v>2521</v>
      </c>
      <c r="E1934" s="1" t="s">
        <v>326</v>
      </c>
      <c r="F1934" s="1" t="s">
        <v>4027</v>
      </c>
      <c r="G1934" s="1">
        <v>13455.0</v>
      </c>
      <c r="H1934" s="1">
        <v>87.0</v>
      </c>
      <c r="I1934" s="1" t="s">
        <v>16</v>
      </c>
      <c r="J1934" s="1">
        <v>2.2E7</v>
      </c>
      <c r="K1934" s="1">
        <v>1993.0</v>
      </c>
      <c r="L1934" s="1">
        <v>7.4</v>
      </c>
      <c r="O1934" s="3"/>
      <c r="S1934" s="4"/>
    </row>
    <row r="1935" ht="14.25" customHeight="1">
      <c r="A1935" s="1" t="s">
        <v>4028</v>
      </c>
      <c r="B1935" s="1">
        <v>83.0</v>
      </c>
      <c r="C1935" s="1">
        <v>2.2264487E7</v>
      </c>
      <c r="D1935" s="1" t="s">
        <v>828</v>
      </c>
      <c r="E1935" s="1" t="s">
        <v>4029</v>
      </c>
      <c r="F1935" s="1" t="s">
        <v>4030</v>
      </c>
      <c r="G1935" s="1">
        <v>41239.0</v>
      </c>
      <c r="H1935" s="1">
        <v>166.0</v>
      </c>
      <c r="I1935" s="1" t="s">
        <v>16</v>
      </c>
      <c r="J1935" s="1">
        <v>2.2E7</v>
      </c>
      <c r="K1935" s="1">
        <v>2005.0</v>
      </c>
      <c r="L1935" s="1">
        <v>4.6</v>
      </c>
      <c r="O1935" s="3"/>
      <c r="S1935" s="4"/>
    </row>
    <row r="1936" ht="14.25" customHeight="1">
      <c r="A1936" s="1" t="s">
        <v>3063</v>
      </c>
      <c r="B1936" s="1">
        <v>105.0</v>
      </c>
      <c r="C1936" s="1">
        <v>3.0659817E7</v>
      </c>
      <c r="D1936" s="1" t="s">
        <v>1059</v>
      </c>
      <c r="E1936" s="1" t="s">
        <v>4031</v>
      </c>
      <c r="F1936" s="1" t="s">
        <v>4032</v>
      </c>
      <c r="G1936" s="1">
        <v>59805.0</v>
      </c>
      <c r="H1936" s="1">
        <v>95.0</v>
      </c>
      <c r="I1936" s="1" t="s">
        <v>16</v>
      </c>
      <c r="J1936" s="1">
        <v>2.6E7</v>
      </c>
      <c r="K1936" s="1">
        <v>2013.0</v>
      </c>
      <c r="L1936" s="1">
        <v>6.4</v>
      </c>
      <c r="O1936" s="3"/>
      <c r="S1936" s="4"/>
    </row>
    <row r="1937" ht="14.25" customHeight="1">
      <c r="A1937" s="1" t="s">
        <v>2407</v>
      </c>
      <c r="B1937" s="1">
        <v>110.0</v>
      </c>
      <c r="C1937" s="1">
        <v>5773519.0</v>
      </c>
      <c r="D1937" s="1" t="s">
        <v>1486</v>
      </c>
      <c r="E1937" s="1" t="s">
        <v>511</v>
      </c>
      <c r="F1937" s="1" t="s">
        <v>2408</v>
      </c>
      <c r="G1937" s="1">
        <v>28621.0</v>
      </c>
      <c r="H1937" s="1">
        <v>91.0</v>
      </c>
      <c r="I1937" s="1" t="s">
        <v>16</v>
      </c>
      <c r="J1937" s="1">
        <v>4.0E7</v>
      </c>
      <c r="K1937" s="1">
        <v>2015.0</v>
      </c>
      <c r="L1937" s="1">
        <v>6.0</v>
      </c>
      <c r="O1937" s="3"/>
      <c r="S1937" s="4"/>
    </row>
    <row r="1938" ht="14.25" customHeight="1">
      <c r="A1938" s="1" t="s">
        <v>922</v>
      </c>
      <c r="B1938" s="1">
        <v>96.0</v>
      </c>
      <c r="C1938" s="1">
        <v>1.9351569E7</v>
      </c>
      <c r="D1938" s="1" t="s">
        <v>1737</v>
      </c>
      <c r="E1938" s="1" t="s">
        <v>4033</v>
      </c>
      <c r="F1938" s="1" t="s">
        <v>4034</v>
      </c>
      <c r="G1938" s="1">
        <v>33287.0</v>
      </c>
      <c r="H1938" s="1">
        <v>201.0</v>
      </c>
      <c r="I1938" s="1" t="s">
        <v>16</v>
      </c>
      <c r="J1938" s="1">
        <v>2.2E7</v>
      </c>
      <c r="K1938" s="1">
        <v>2001.0</v>
      </c>
      <c r="L1938" s="1">
        <v>5.9</v>
      </c>
      <c r="O1938" s="3"/>
      <c r="S1938" s="4"/>
    </row>
    <row r="1939" ht="14.25" customHeight="1">
      <c r="A1939" s="1" t="s">
        <v>397</v>
      </c>
      <c r="B1939" s="1">
        <v>94.0</v>
      </c>
      <c r="C1939" s="1">
        <v>4.9002815E7</v>
      </c>
      <c r="D1939" s="1" t="s">
        <v>1247</v>
      </c>
      <c r="E1939" s="1" t="s">
        <v>4035</v>
      </c>
      <c r="F1939" s="1" t="s">
        <v>4036</v>
      </c>
      <c r="G1939" s="1">
        <v>15665.0</v>
      </c>
      <c r="H1939" s="1">
        <v>35.0</v>
      </c>
      <c r="I1939" s="1" t="s">
        <v>16</v>
      </c>
      <c r="J1939" s="1">
        <v>2.2E7</v>
      </c>
      <c r="K1939" s="1">
        <v>2012.0</v>
      </c>
      <c r="L1939" s="1">
        <v>6.4</v>
      </c>
      <c r="O1939" s="3"/>
      <c r="S1939" s="4"/>
    </row>
    <row r="1940" ht="14.25" customHeight="1">
      <c r="A1940" s="1" t="s">
        <v>2048</v>
      </c>
      <c r="B1940" s="1">
        <v>142.0</v>
      </c>
      <c r="C1940" s="1">
        <v>1.9283782E7</v>
      </c>
      <c r="D1940" s="1" t="s">
        <v>2126</v>
      </c>
      <c r="E1940" s="1" t="s">
        <v>2669</v>
      </c>
      <c r="F1940" s="1" t="s">
        <v>4037</v>
      </c>
      <c r="G1940" s="1">
        <v>31227.0</v>
      </c>
      <c r="H1940" s="1">
        <v>354.0</v>
      </c>
      <c r="I1940" s="1" t="s">
        <v>16</v>
      </c>
      <c r="J1940" s="1">
        <v>2.2E7</v>
      </c>
      <c r="K1940" s="1">
        <v>1999.0</v>
      </c>
      <c r="L1940" s="1">
        <v>6.6</v>
      </c>
      <c r="O1940" s="3"/>
      <c r="S1940" s="4"/>
    </row>
    <row r="1941" ht="14.25" customHeight="1">
      <c r="A1941" s="1" t="s">
        <v>2839</v>
      </c>
      <c r="B1941" s="1">
        <v>104.0</v>
      </c>
      <c r="C1941" s="1">
        <v>3.0059386E7</v>
      </c>
      <c r="D1941" s="1" t="s">
        <v>828</v>
      </c>
      <c r="E1941" s="1" t="s">
        <v>783</v>
      </c>
      <c r="F1941" s="1" t="s">
        <v>4038</v>
      </c>
      <c r="G1941" s="1">
        <v>128593.0</v>
      </c>
      <c r="H1941" s="1">
        <v>867.0</v>
      </c>
      <c r="I1941" s="1" t="s">
        <v>16</v>
      </c>
      <c r="J1941" s="1">
        <v>2.2E7</v>
      </c>
      <c r="K1941" s="1">
        <v>2001.0</v>
      </c>
      <c r="L1941" s="1">
        <v>6.9</v>
      </c>
      <c r="O1941" s="3"/>
      <c r="S1941" s="4"/>
    </row>
    <row r="1942" ht="14.25" customHeight="1">
      <c r="A1942" s="1" t="s">
        <v>121</v>
      </c>
      <c r="B1942" s="1">
        <v>136.0</v>
      </c>
      <c r="C1942" s="1">
        <v>3.5799026E7</v>
      </c>
      <c r="D1942" s="1" t="s">
        <v>696</v>
      </c>
      <c r="E1942" s="1" t="s">
        <v>237</v>
      </c>
      <c r="F1942" s="1" t="s">
        <v>697</v>
      </c>
      <c r="G1942" s="1">
        <v>263336.0</v>
      </c>
      <c r="H1942" s="1">
        <v>899.0</v>
      </c>
      <c r="I1942" s="1" t="s">
        <v>16</v>
      </c>
      <c r="J1942" s="1">
        <v>1.26E8</v>
      </c>
      <c r="K1942" s="1">
        <v>2005.0</v>
      </c>
      <c r="L1942" s="1">
        <v>6.9</v>
      </c>
      <c r="O1942" s="3"/>
      <c r="S1942" s="4"/>
    </row>
    <row r="1943" ht="14.25" customHeight="1">
      <c r="A1943" s="1" t="s">
        <v>4039</v>
      </c>
      <c r="B1943" s="1">
        <v>106.0</v>
      </c>
      <c r="C1943" s="1">
        <v>1.7951431E7</v>
      </c>
      <c r="D1943" s="1" t="s">
        <v>909</v>
      </c>
      <c r="E1943" s="1" t="s">
        <v>834</v>
      </c>
      <c r="F1943" s="1" t="s">
        <v>4040</v>
      </c>
      <c r="G1943" s="1">
        <v>25462.0</v>
      </c>
      <c r="H1943" s="1">
        <v>200.0</v>
      </c>
      <c r="I1943" s="1" t="s">
        <v>16</v>
      </c>
      <c r="J1943" s="1">
        <v>3.0E7</v>
      </c>
      <c r="K1943" s="1">
        <v>2001.0</v>
      </c>
      <c r="L1943" s="1">
        <v>5.8</v>
      </c>
      <c r="O1943" s="3"/>
      <c r="S1943" s="4"/>
    </row>
    <row r="1944" ht="14.25" customHeight="1">
      <c r="A1944" s="1" t="s">
        <v>2831</v>
      </c>
      <c r="B1944" s="1">
        <v>106.0</v>
      </c>
      <c r="C1944" s="1">
        <v>2.9997095E7</v>
      </c>
      <c r="D1944" s="1" t="s">
        <v>4041</v>
      </c>
      <c r="E1944" s="1" t="s">
        <v>237</v>
      </c>
      <c r="F1944" s="1" t="s">
        <v>4042</v>
      </c>
      <c r="G1944" s="1">
        <v>60926.0</v>
      </c>
      <c r="H1944" s="1">
        <v>302.0</v>
      </c>
      <c r="I1944" s="1" t="s">
        <v>16</v>
      </c>
      <c r="J1944" s="1">
        <v>2.2E7</v>
      </c>
      <c r="K1944" s="1">
        <v>2016.0</v>
      </c>
      <c r="L1944" s="1">
        <v>6.4</v>
      </c>
      <c r="O1944" s="3"/>
      <c r="S1944" s="4"/>
    </row>
    <row r="1945" ht="14.25" customHeight="1">
      <c r="A1945" s="1" t="s">
        <v>4043</v>
      </c>
      <c r="B1945" s="1">
        <v>98.0</v>
      </c>
      <c r="C1945" s="1">
        <v>1.425283E7</v>
      </c>
      <c r="D1945" s="1" t="s">
        <v>3022</v>
      </c>
      <c r="E1945" s="1" t="s">
        <v>798</v>
      </c>
      <c r="F1945" s="1" t="s">
        <v>4044</v>
      </c>
      <c r="G1945" s="1">
        <v>18900.0</v>
      </c>
      <c r="H1945" s="1">
        <v>242.0</v>
      </c>
      <c r="I1945" s="1" t="s">
        <v>16</v>
      </c>
      <c r="J1945" s="1">
        <v>2.2E7</v>
      </c>
      <c r="K1945" s="1">
        <v>2001.0</v>
      </c>
      <c r="L1945" s="1">
        <v>5.3</v>
      </c>
      <c r="O1945" s="3"/>
      <c r="S1945" s="4"/>
    </row>
    <row r="1946" ht="14.25" customHeight="1">
      <c r="A1946" s="1" t="s">
        <v>2081</v>
      </c>
      <c r="B1946" s="1">
        <v>100.0</v>
      </c>
      <c r="C1946" s="1">
        <v>1.9783777E7</v>
      </c>
      <c r="D1946" s="1" t="s">
        <v>197</v>
      </c>
      <c r="E1946" s="1" t="s">
        <v>147</v>
      </c>
      <c r="F1946" s="1" t="s">
        <v>4045</v>
      </c>
      <c r="G1946" s="1">
        <v>82804.0</v>
      </c>
      <c r="H1946" s="1">
        <v>154.0</v>
      </c>
      <c r="I1946" s="1" t="s">
        <v>16</v>
      </c>
      <c r="J1946" s="1">
        <v>2.2E7</v>
      </c>
      <c r="K1946" s="1">
        <v>2013.0</v>
      </c>
      <c r="L1946" s="1">
        <v>6.5</v>
      </c>
      <c r="O1946" s="3"/>
      <c r="S1946" s="4"/>
    </row>
    <row r="1947" ht="14.25" customHeight="1">
      <c r="A1947" s="1" t="s">
        <v>4046</v>
      </c>
      <c r="B1947" s="1">
        <v>95.0</v>
      </c>
      <c r="C1947" s="1">
        <v>1.3555988E7</v>
      </c>
      <c r="D1947" s="1" t="s">
        <v>335</v>
      </c>
      <c r="E1947" s="1" t="s">
        <v>3065</v>
      </c>
      <c r="F1947" s="1" t="s">
        <v>4047</v>
      </c>
      <c r="G1947" s="1">
        <v>7242.0</v>
      </c>
      <c r="H1947" s="1">
        <v>38.0</v>
      </c>
      <c r="I1947" s="1" t="s">
        <v>16</v>
      </c>
      <c r="J1947" s="1">
        <v>2.2E7</v>
      </c>
      <c r="K1947" s="1">
        <v>2000.0</v>
      </c>
      <c r="L1947" s="1">
        <v>5.7</v>
      </c>
      <c r="O1947" s="3"/>
      <c r="S1947" s="4"/>
    </row>
    <row r="1948" ht="14.25" customHeight="1">
      <c r="A1948" s="1" t="s">
        <v>1695</v>
      </c>
      <c r="B1948" s="1">
        <v>107.0</v>
      </c>
      <c r="C1948" s="1">
        <v>1.2784713E7</v>
      </c>
      <c r="D1948" s="1" t="s">
        <v>828</v>
      </c>
      <c r="E1948" s="1" t="s">
        <v>90</v>
      </c>
      <c r="F1948" s="1" t="s">
        <v>4048</v>
      </c>
      <c r="G1948" s="1">
        <v>56813.0</v>
      </c>
      <c r="H1948" s="1">
        <v>381.0</v>
      </c>
      <c r="I1948" s="1" t="s">
        <v>16</v>
      </c>
      <c r="J1948" s="1">
        <v>2.2E7</v>
      </c>
      <c r="K1948" s="1">
        <v>2004.0</v>
      </c>
      <c r="L1948" s="1">
        <v>6.7</v>
      </c>
      <c r="O1948" s="3"/>
      <c r="S1948" s="4"/>
    </row>
    <row r="1949" ht="14.25" customHeight="1">
      <c r="A1949" s="1" t="s">
        <v>4049</v>
      </c>
      <c r="B1949" s="1">
        <v>104.0</v>
      </c>
      <c r="C1949" s="1">
        <v>1.069621E7</v>
      </c>
      <c r="D1949" s="1" t="s">
        <v>587</v>
      </c>
      <c r="E1949" s="1" t="s">
        <v>14</v>
      </c>
      <c r="F1949" s="1" t="s">
        <v>4050</v>
      </c>
      <c r="G1949" s="1">
        <v>35018.0</v>
      </c>
      <c r="H1949" s="1">
        <v>180.0</v>
      </c>
      <c r="I1949" s="1" t="s">
        <v>16</v>
      </c>
      <c r="J1949" s="1">
        <v>2.35E7</v>
      </c>
      <c r="K1949" s="1">
        <v>1993.0</v>
      </c>
      <c r="L1949" s="1">
        <v>3.9</v>
      </c>
      <c r="O1949" s="3"/>
      <c r="S1949" s="4"/>
    </row>
    <row r="1950" ht="14.25" customHeight="1">
      <c r="A1950" s="1" t="s">
        <v>4051</v>
      </c>
      <c r="B1950" s="1">
        <v>104.0</v>
      </c>
      <c r="C1950" s="1">
        <v>5974653.0</v>
      </c>
      <c r="D1950" s="1" t="s">
        <v>114</v>
      </c>
      <c r="E1950" s="1" t="s">
        <v>1389</v>
      </c>
      <c r="F1950" s="1" t="s">
        <v>4052</v>
      </c>
      <c r="G1950" s="1">
        <v>2253.0</v>
      </c>
      <c r="H1950" s="1">
        <v>111.0</v>
      </c>
      <c r="I1950" s="1" t="s">
        <v>16</v>
      </c>
      <c r="J1950" s="1">
        <v>2.2E7</v>
      </c>
      <c r="K1950" s="1">
        <v>2001.0</v>
      </c>
      <c r="L1950" s="1">
        <v>4.1</v>
      </c>
      <c r="O1950" s="3"/>
      <c r="S1950" s="4"/>
    </row>
    <row r="1951" ht="14.25" customHeight="1">
      <c r="A1951" s="1" t="s">
        <v>4053</v>
      </c>
      <c r="B1951" s="1">
        <v>143.0</v>
      </c>
      <c r="C1951" s="1">
        <v>5000000.0</v>
      </c>
      <c r="D1951" s="1" t="s">
        <v>4054</v>
      </c>
      <c r="E1951" s="1" t="s">
        <v>4055</v>
      </c>
      <c r="F1951" s="1" t="s">
        <v>4056</v>
      </c>
      <c r="G1951" s="1">
        <v>1547.0</v>
      </c>
      <c r="H1951" s="1">
        <v>50.0</v>
      </c>
      <c r="I1951" s="1" t="s">
        <v>16</v>
      </c>
      <c r="J1951" s="1">
        <v>2.5E7</v>
      </c>
      <c r="K1951" s="1">
        <v>1970.0</v>
      </c>
      <c r="L1951" s="1">
        <v>6.2</v>
      </c>
      <c r="O1951" s="3"/>
      <c r="S1951" s="4"/>
    </row>
    <row r="1952" ht="14.25" customHeight="1">
      <c r="A1952" s="1" t="s">
        <v>2976</v>
      </c>
      <c r="B1952" s="1">
        <v>77.0</v>
      </c>
      <c r="C1952" s="1">
        <v>9694105.0</v>
      </c>
      <c r="D1952" s="1" t="s">
        <v>1125</v>
      </c>
      <c r="E1952" s="1" t="s">
        <v>1168</v>
      </c>
      <c r="F1952" s="1" t="s">
        <v>4057</v>
      </c>
      <c r="G1952" s="1">
        <v>8176.0</v>
      </c>
      <c r="H1952" s="1">
        <v>77.0</v>
      </c>
      <c r="I1952" s="1" t="s">
        <v>16</v>
      </c>
      <c r="J1952" s="1">
        <v>2.2E7</v>
      </c>
      <c r="K1952" s="1">
        <v>1999.0</v>
      </c>
      <c r="L1952" s="1">
        <v>3.8</v>
      </c>
      <c r="O1952" s="3"/>
      <c r="S1952" s="4"/>
    </row>
    <row r="1953" ht="14.25" customHeight="1">
      <c r="A1953" s="1" t="s">
        <v>3544</v>
      </c>
      <c r="B1953" s="1">
        <v>96.0</v>
      </c>
      <c r="C1953" s="1">
        <v>1.6027866E7</v>
      </c>
      <c r="D1953" s="1" t="s">
        <v>146</v>
      </c>
      <c r="E1953" s="1" t="s">
        <v>4058</v>
      </c>
      <c r="F1953" s="1" t="s">
        <v>4059</v>
      </c>
      <c r="G1953" s="1">
        <v>26767.0</v>
      </c>
      <c r="H1953" s="1">
        <v>121.0</v>
      </c>
      <c r="I1953" s="1" t="s">
        <v>16</v>
      </c>
      <c r="J1953" s="1">
        <v>2.5E7</v>
      </c>
      <c r="K1953" s="1">
        <v>2015.0</v>
      </c>
      <c r="L1953" s="1">
        <v>5.1</v>
      </c>
      <c r="O1953" s="3"/>
      <c r="S1953" s="4"/>
    </row>
    <row r="1954" ht="14.25" customHeight="1">
      <c r="A1954" s="1" t="s">
        <v>542</v>
      </c>
      <c r="B1954" s="1">
        <v>145.0</v>
      </c>
      <c r="C1954" s="1">
        <v>4398392.0</v>
      </c>
      <c r="D1954" s="1" t="s">
        <v>3018</v>
      </c>
      <c r="E1954" s="1" t="s">
        <v>3031</v>
      </c>
      <c r="F1954" s="1" t="s">
        <v>4060</v>
      </c>
      <c r="G1954" s="1">
        <v>59507.0</v>
      </c>
      <c r="H1954" s="1">
        <v>232.0</v>
      </c>
      <c r="I1954" s="1" t="s">
        <v>4061</v>
      </c>
      <c r="J1954" s="1">
        <v>2.1E7</v>
      </c>
      <c r="K1954" s="1">
        <v>2006.0</v>
      </c>
      <c r="L1954" s="1">
        <v>7.8</v>
      </c>
      <c r="O1954" s="3"/>
      <c r="S1954" s="4"/>
    </row>
    <row r="1955" ht="14.25" customHeight="1">
      <c r="A1955" s="1" t="s">
        <v>4062</v>
      </c>
      <c r="B1955" s="1">
        <v>116.0</v>
      </c>
      <c r="C1955" s="1">
        <v>1050445.0</v>
      </c>
      <c r="D1955" s="1" t="s">
        <v>4063</v>
      </c>
      <c r="E1955" s="1" t="s">
        <v>4064</v>
      </c>
      <c r="F1955" s="1" t="s">
        <v>4065</v>
      </c>
      <c r="G1955" s="1">
        <v>21394.0</v>
      </c>
      <c r="H1955" s="1">
        <v>147.0</v>
      </c>
      <c r="I1955" s="1" t="s">
        <v>1189</v>
      </c>
      <c r="J1955" s="1">
        <v>2.2E7</v>
      </c>
      <c r="K1955" s="1">
        <v>2005.0</v>
      </c>
      <c r="L1955" s="1">
        <v>7.8</v>
      </c>
      <c r="O1955" s="3"/>
      <c r="S1955" s="4"/>
    </row>
    <row r="1956" ht="14.25" customHeight="1">
      <c r="A1956" s="1" t="s">
        <v>4066</v>
      </c>
      <c r="B1956" s="1">
        <v>100.0</v>
      </c>
      <c r="C1956" s="1">
        <v>1.374655E7</v>
      </c>
      <c r="D1956" s="1" t="s">
        <v>597</v>
      </c>
      <c r="E1956" s="1" t="s">
        <v>282</v>
      </c>
      <c r="F1956" s="1" t="s">
        <v>4067</v>
      </c>
      <c r="G1956" s="1">
        <v>29322.0</v>
      </c>
      <c r="H1956" s="1">
        <v>104.0</v>
      </c>
      <c r="I1956" s="1" t="s">
        <v>16</v>
      </c>
      <c r="J1956" s="1">
        <v>2000000.0</v>
      </c>
      <c r="K1956" s="1">
        <v>2012.0</v>
      </c>
      <c r="L1956" s="1">
        <v>6.1</v>
      </c>
      <c r="O1956" s="3"/>
      <c r="S1956" s="4"/>
    </row>
    <row r="1957" ht="14.25" customHeight="1">
      <c r="A1957" s="1" t="s">
        <v>3561</v>
      </c>
      <c r="B1957" s="1">
        <v>104.0</v>
      </c>
      <c r="C1957" s="1">
        <v>2.0668843E7</v>
      </c>
      <c r="D1957" s="1" t="s">
        <v>2378</v>
      </c>
      <c r="E1957" s="1" t="s">
        <v>1941</v>
      </c>
      <c r="F1957" s="1" t="s">
        <v>4068</v>
      </c>
      <c r="G1957" s="1">
        <v>16831.0</v>
      </c>
      <c r="H1957" s="1">
        <v>54.0</v>
      </c>
      <c r="I1957" s="1" t="s">
        <v>16</v>
      </c>
      <c r="J1957" s="1">
        <v>2.2E7</v>
      </c>
      <c r="K1957" s="1">
        <v>2008.0</v>
      </c>
      <c r="L1957" s="1">
        <v>5.8</v>
      </c>
      <c r="O1957" s="3"/>
      <c r="S1957" s="4"/>
    </row>
    <row r="1958" ht="14.25" customHeight="1">
      <c r="A1958" s="1" t="s">
        <v>4069</v>
      </c>
      <c r="B1958" s="1">
        <v>92.0</v>
      </c>
      <c r="C1958" s="1">
        <v>2963012.0</v>
      </c>
      <c r="D1958" s="1" t="s">
        <v>806</v>
      </c>
      <c r="E1958" s="1" t="s">
        <v>1475</v>
      </c>
      <c r="F1958" s="1" t="s">
        <v>4070</v>
      </c>
      <c r="G1958" s="1">
        <v>48873.0</v>
      </c>
      <c r="H1958" s="1">
        <v>105.0</v>
      </c>
      <c r="I1958" s="1" t="s">
        <v>16</v>
      </c>
      <c r="J1958" s="1">
        <v>2.2E7</v>
      </c>
      <c r="K1958" s="1">
        <v>2014.0</v>
      </c>
      <c r="L1958" s="1">
        <v>6.3</v>
      </c>
      <c r="O1958" s="3"/>
      <c r="S1958" s="4"/>
    </row>
    <row r="1959" ht="14.25" customHeight="1">
      <c r="A1959" s="1" t="s">
        <v>4071</v>
      </c>
      <c r="B1959" s="1">
        <v>105.0</v>
      </c>
      <c r="C1959" s="1">
        <v>1796024.0</v>
      </c>
      <c r="D1959" s="1" t="s">
        <v>1654</v>
      </c>
      <c r="E1959" s="1" t="s">
        <v>725</v>
      </c>
      <c r="F1959" s="1" t="s">
        <v>4072</v>
      </c>
      <c r="G1959" s="1">
        <v>34985.0</v>
      </c>
      <c r="H1959" s="1">
        <v>135.0</v>
      </c>
      <c r="I1959" s="1" t="s">
        <v>16</v>
      </c>
      <c r="J1959" s="1">
        <v>2.2E7</v>
      </c>
      <c r="K1959" s="1">
        <v>2010.0</v>
      </c>
      <c r="L1959" s="1">
        <v>5.4</v>
      </c>
      <c r="O1959" s="3"/>
      <c r="S1959" s="4"/>
    </row>
    <row r="1960" ht="14.25" customHeight="1">
      <c r="A1960" s="1" t="s">
        <v>4073</v>
      </c>
      <c r="B1960" s="1">
        <v>120.0</v>
      </c>
      <c r="C1960" s="1">
        <v>634277.0</v>
      </c>
      <c r="D1960" s="1" t="s">
        <v>4074</v>
      </c>
      <c r="E1960" s="1" t="s">
        <v>4075</v>
      </c>
      <c r="F1960" s="1" t="s">
        <v>4076</v>
      </c>
      <c r="G1960" s="1">
        <v>5166.0</v>
      </c>
      <c r="H1960" s="1">
        <v>27.0</v>
      </c>
      <c r="I1960" s="1" t="s">
        <v>1189</v>
      </c>
      <c r="J1960" s="1">
        <v>1.6E7</v>
      </c>
      <c r="K1960" s="1">
        <v>2007.0</v>
      </c>
      <c r="L1960" s="1">
        <v>7.3</v>
      </c>
      <c r="O1960" s="3"/>
      <c r="S1960" s="4"/>
    </row>
    <row r="1961" ht="14.25" customHeight="1">
      <c r="A1961" s="1" t="s">
        <v>1976</v>
      </c>
      <c r="B1961" s="1">
        <v>116.0</v>
      </c>
      <c r="C1961" s="1">
        <v>1.1326836E7</v>
      </c>
      <c r="D1961" s="1" t="s">
        <v>901</v>
      </c>
      <c r="E1961" s="1" t="s">
        <v>143</v>
      </c>
      <c r="F1961" s="1" t="s">
        <v>4077</v>
      </c>
      <c r="G1961" s="1">
        <v>83171.0</v>
      </c>
      <c r="H1961" s="1">
        <v>231.0</v>
      </c>
      <c r="I1961" s="1" t="s">
        <v>16</v>
      </c>
      <c r="J1961" s="1">
        <v>2.2E7</v>
      </c>
      <c r="K1961" s="1">
        <v>2013.0</v>
      </c>
      <c r="L1961" s="1">
        <v>6.8</v>
      </c>
      <c r="O1961" s="3"/>
      <c r="S1961" s="4"/>
    </row>
    <row r="1962" ht="14.25" customHeight="1">
      <c r="A1962" s="1" t="s">
        <v>549</v>
      </c>
      <c r="B1962" s="1">
        <v>119.0</v>
      </c>
      <c r="C1962" s="1">
        <v>4.9024969E7</v>
      </c>
      <c r="D1962" s="1" t="s">
        <v>909</v>
      </c>
      <c r="E1962" s="1" t="s">
        <v>1907</v>
      </c>
      <c r="F1962" s="1" t="s">
        <v>4078</v>
      </c>
      <c r="G1962" s="1">
        <v>133367.0</v>
      </c>
      <c r="H1962" s="1">
        <v>363.0</v>
      </c>
      <c r="I1962" s="1" t="s">
        <v>16</v>
      </c>
      <c r="J1962" s="1">
        <v>2.5E7</v>
      </c>
      <c r="K1962" s="1">
        <v>2007.0</v>
      </c>
      <c r="L1962" s="1">
        <v>7.3</v>
      </c>
      <c r="O1962" s="3"/>
      <c r="S1962" s="4"/>
    </row>
    <row r="1963" ht="14.25" customHeight="1">
      <c r="A1963" s="1" t="s">
        <v>1036</v>
      </c>
      <c r="B1963" s="1">
        <v>101.0</v>
      </c>
      <c r="C1963" s="1">
        <v>2.2294341E7</v>
      </c>
      <c r="D1963" s="1" t="s">
        <v>1720</v>
      </c>
      <c r="E1963" s="1" t="s">
        <v>2808</v>
      </c>
      <c r="F1963" s="1" t="s">
        <v>4079</v>
      </c>
      <c r="G1963" s="1">
        <v>12278.0</v>
      </c>
      <c r="H1963" s="1">
        <v>71.0</v>
      </c>
      <c r="I1963" s="1" t="s">
        <v>16</v>
      </c>
      <c r="J1963" s="1">
        <v>2.15E7</v>
      </c>
      <c r="K1963" s="1">
        <v>1996.0</v>
      </c>
      <c r="L1963" s="1">
        <v>6.5</v>
      </c>
      <c r="O1963" s="3"/>
      <c r="S1963" s="4"/>
    </row>
    <row r="1964" ht="14.25" customHeight="1">
      <c r="A1964" s="1" t="s">
        <v>2438</v>
      </c>
      <c r="B1964" s="1">
        <v>117.0</v>
      </c>
      <c r="C1964" s="1">
        <v>2.4362501E7</v>
      </c>
      <c r="D1964" s="1" t="s">
        <v>901</v>
      </c>
      <c r="E1964" s="1" t="s">
        <v>130</v>
      </c>
      <c r="F1964" s="1" t="s">
        <v>4080</v>
      </c>
      <c r="G1964" s="1">
        <v>69980.0</v>
      </c>
      <c r="H1964" s="1">
        <v>591.0</v>
      </c>
      <c r="I1964" s="1" t="s">
        <v>16</v>
      </c>
      <c r="J1964" s="1">
        <v>2.15E7</v>
      </c>
      <c r="K1964" s="1">
        <v>1999.0</v>
      </c>
      <c r="L1964" s="1">
        <v>7.2</v>
      </c>
      <c r="O1964" s="3"/>
      <c r="S1964" s="4"/>
    </row>
    <row r="1965" ht="14.25" customHeight="1">
      <c r="A1965" s="1" t="s">
        <v>3268</v>
      </c>
      <c r="B1965" s="1">
        <v>112.0</v>
      </c>
      <c r="C1965" s="1">
        <v>1.6684352E7</v>
      </c>
      <c r="D1965" s="1" t="s">
        <v>699</v>
      </c>
      <c r="E1965" s="1" t="s">
        <v>4081</v>
      </c>
      <c r="F1965" s="1" t="s">
        <v>4082</v>
      </c>
      <c r="G1965" s="1">
        <v>67893.0</v>
      </c>
      <c r="H1965" s="1">
        <v>163.0</v>
      </c>
      <c r="I1965" s="1" t="s">
        <v>16</v>
      </c>
      <c r="J1965" s="1">
        <v>1.7E7</v>
      </c>
      <c r="K1965" s="1">
        <v>2012.0</v>
      </c>
      <c r="L1965" s="1">
        <v>6.3</v>
      </c>
      <c r="O1965" s="3"/>
      <c r="S1965" s="4"/>
    </row>
    <row r="1966" ht="14.25" customHeight="1">
      <c r="A1966" s="1" t="s">
        <v>1506</v>
      </c>
      <c r="B1966" s="1">
        <v>136.0</v>
      </c>
      <c r="C1966" s="1">
        <v>4.67E7</v>
      </c>
      <c r="D1966" s="1" t="s">
        <v>22</v>
      </c>
      <c r="E1966" s="1" t="s">
        <v>1506</v>
      </c>
      <c r="F1966" s="1" t="s">
        <v>4083</v>
      </c>
      <c r="G1966" s="1">
        <v>19832.0</v>
      </c>
      <c r="H1966" s="1">
        <v>98.0</v>
      </c>
      <c r="I1966" s="1" t="s">
        <v>16</v>
      </c>
      <c r="J1966" s="1">
        <v>2.1E7</v>
      </c>
      <c r="K1966" s="1">
        <v>1982.0</v>
      </c>
      <c r="L1966" s="1">
        <v>5.9</v>
      </c>
      <c r="O1966" s="3"/>
      <c r="S1966" s="4"/>
    </row>
    <row r="1967" ht="14.25" customHeight="1">
      <c r="A1967" s="1" t="s">
        <v>4084</v>
      </c>
      <c r="B1967" s="1">
        <v>81.0</v>
      </c>
      <c r="C1967" s="1">
        <v>5.2008288E7</v>
      </c>
      <c r="D1967" s="1" t="s">
        <v>4085</v>
      </c>
      <c r="E1967" s="1" t="s">
        <v>3922</v>
      </c>
      <c r="F1967" s="1" t="s">
        <v>4086</v>
      </c>
      <c r="G1967" s="1">
        <v>162037.0</v>
      </c>
      <c r="H1967" s="1">
        <v>928.0</v>
      </c>
      <c r="I1967" s="1" t="s">
        <v>16</v>
      </c>
      <c r="J1967" s="1">
        <v>2.1E7</v>
      </c>
      <c r="K1967" s="1">
        <v>1999.0</v>
      </c>
      <c r="L1967" s="1">
        <v>7.8</v>
      </c>
      <c r="O1967" s="3"/>
      <c r="S1967" s="4"/>
    </row>
    <row r="1968" ht="14.25" customHeight="1">
      <c r="A1968" s="1" t="s">
        <v>820</v>
      </c>
      <c r="B1968" s="1">
        <v>87.0</v>
      </c>
      <c r="C1968" s="1">
        <v>8579684.0</v>
      </c>
      <c r="D1968" s="1" t="s">
        <v>828</v>
      </c>
      <c r="E1968" s="1" t="s">
        <v>64</v>
      </c>
      <c r="F1968" s="1" t="s">
        <v>4087</v>
      </c>
      <c r="G1968" s="1">
        <v>89547.0</v>
      </c>
      <c r="H1968" s="1">
        <v>199.0</v>
      </c>
      <c r="I1968" s="1" t="s">
        <v>16</v>
      </c>
      <c r="J1968" s="1">
        <v>9000000.0</v>
      </c>
      <c r="K1968" s="1">
        <v>2007.0</v>
      </c>
      <c r="L1968" s="1">
        <v>7.4</v>
      </c>
      <c r="O1968" s="3"/>
      <c r="S1968" s="4"/>
    </row>
    <row r="1969" ht="14.25" customHeight="1">
      <c r="A1969" s="1" t="s">
        <v>4088</v>
      </c>
      <c r="B1969" s="1">
        <v>96.0</v>
      </c>
      <c r="C1969" s="1">
        <v>4.266E7</v>
      </c>
      <c r="D1969" s="1" t="s">
        <v>70</v>
      </c>
      <c r="E1969" s="1" t="s">
        <v>4089</v>
      </c>
      <c r="F1969" s="1" t="s">
        <v>4090</v>
      </c>
      <c r="G1969" s="1">
        <v>25086.0</v>
      </c>
      <c r="H1969" s="1">
        <v>87.0</v>
      </c>
      <c r="I1969" s="1" t="s">
        <v>16</v>
      </c>
      <c r="J1969" s="1">
        <v>1.7E7</v>
      </c>
      <c r="K1969" s="1">
        <v>1993.0</v>
      </c>
      <c r="L1969" s="1">
        <v>4.8</v>
      </c>
      <c r="O1969" s="3"/>
      <c r="S1969" s="4"/>
    </row>
    <row r="1970" ht="14.25" customHeight="1">
      <c r="A1970" s="1" t="s">
        <v>1665</v>
      </c>
      <c r="B1970" s="1">
        <v>106.0</v>
      </c>
      <c r="C1970" s="1">
        <v>4.0219708E7</v>
      </c>
      <c r="D1970" s="1" t="s">
        <v>1540</v>
      </c>
      <c r="E1970" s="1" t="s">
        <v>252</v>
      </c>
      <c r="F1970" s="1" t="s">
        <v>4091</v>
      </c>
      <c r="G1970" s="1">
        <v>22649.0</v>
      </c>
      <c r="H1970" s="1">
        <v>131.0</v>
      </c>
      <c r="I1970" s="1" t="s">
        <v>16</v>
      </c>
      <c r="J1970" s="1">
        <v>2.1E7</v>
      </c>
      <c r="K1970" s="1">
        <v>2001.0</v>
      </c>
      <c r="L1970" s="1">
        <v>6.3</v>
      </c>
      <c r="O1970" s="3"/>
      <c r="S1970" s="4"/>
    </row>
    <row r="1971" ht="14.25" customHeight="1">
      <c r="A1971" s="1" t="s">
        <v>1695</v>
      </c>
      <c r="B1971" s="1">
        <v>122.0</v>
      </c>
      <c r="C1971" s="1">
        <v>1.3208891E8</v>
      </c>
      <c r="D1971" s="1" t="s">
        <v>593</v>
      </c>
      <c r="E1971" s="1" t="s">
        <v>152</v>
      </c>
      <c r="F1971" s="1" t="s">
        <v>4092</v>
      </c>
      <c r="G1971" s="1">
        <v>533607.0</v>
      </c>
      <c r="H1971" s="1">
        <v>692.0</v>
      </c>
      <c r="I1971" s="1" t="s">
        <v>16</v>
      </c>
      <c r="J1971" s="1">
        <v>2.1E7</v>
      </c>
      <c r="K1971" s="1">
        <v>2012.0</v>
      </c>
      <c r="L1971" s="1">
        <v>7.8</v>
      </c>
      <c r="O1971" s="3"/>
      <c r="S1971" s="4"/>
    </row>
    <row r="1972" ht="14.25" customHeight="1">
      <c r="A1972" s="1" t="s">
        <v>2195</v>
      </c>
      <c r="B1972" s="1">
        <v>123.0</v>
      </c>
      <c r="C1972" s="1">
        <v>3.6581633E7</v>
      </c>
      <c r="D1972" s="1" t="s">
        <v>716</v>
      </c>
      <c r="E1972" s="1" t="s">
        <v>4093</v>
      </c>
      <c r="F1972" s="1" t="s">
        <v>4094</v>
      </c>
      <c r="G1972" s="1">
        <v>52533.0</v>
      </c>
      <c r="H1972" s="1">
        <v>235.0</v>
      </c>
      <c r="I1972" s="1" t="s">
        <v>16</v>
      </c>
      <c r="J1972" s="1">
        <v>2.1E7</v>
      </c>
      <c r="K1972" s="1">
        <v>2007.0</v>
      </c>
      <c r="L1972" s="1">
        <v>7.5</v>
      </c>
      <c r="O1972" s="3"/>
      <c r="S1972" s="4"/>
    </row>
    <row r="1973" ht="14.25" customHeight="1">
      <c r="A1973" s="1" t="s">
        <v>472</v>
      </c>
      <c r="B1973" s="1">
        <v>92.0</v>
      </c>
      <c r="C1973" s="1">
        <v>2.5296447E7</v>
      </c>
      <c r="D1973" s="1" t="s">
        <v>146</v>
      </c>
      <c r="E1973" s="1" t="s">
        <v>147</v>
      </c>
      <c r="F1973" s="1" t="s">
        <v>4095</v>
      </c>
      <c r="G1973" s="1">
        <v>237248.0</v>
      </c>
      <c r="H1973" s="1">
        <v>460.0</v>
      </c>
      <c r="I1973" s="1" t="s">
        <v>16</v>
      </c>
      <c r="J1973" s="1">
        <v>2.1E7</v>
      </c>
      <c r="K1973" s="1">
        <v>2002.0</v>
      </c>
      <c r="L1973" s="1">
        <v>6.8</v>
      </c>
      <c r="O1973" s="3"/>
      <c r="S1973" s="4"/>
    </row>
    <row r="1974" ht="14.25" customHeight="1">
      <c r="A1974" s="1" t="s">
        <v>3542</v>
      </c>
      <c r="B1974" s="1">
        <v>110.0</v>
      </c>
      <c r="C1974" s="1">
        <v>2.4848292E7</v>
      </c>
      <c r="D1974" s="1" t="s">
        <v>1334</v>
      </c>
      <c r="E1974" s="1" t="s">
        <v>705</v>
      </c>
      <c r="F1974" s="1" t="s">
        <v>4096</v>
      </c>
      <c r="G1974" s="1">
        <v>80556.0</v>
      </c>
      <c r="H1974" s="1">
        <v>184.0</v>
      </c>
      <c r="I1974" s="1" t="s">
        <v>16</v>
      </c>
      <c r="J1974" s="1">
        <v>2.0E7</v>
      </c>
      <c r="K1974" s="1">
        <v>2008.0</v>
      </c>
      <c r="L1974" s="1">
        <v>6.6</v>
      </c>
      <c r="O1974" s="3"/>
      <c r="S1974" s="4"/>
    </row>
    <row r="1975" ht="14.25" customHeight="1">
      <c r="A1975" s="1" t="s">
        <v>4097</v>
      </c>
      <c r="B1975" s="1">
        <v>104.0</v>
      </c>
      <c r="C1975" s="1">
        <v>1.7757087E7</v>
      </c>
      <c r="D1975" s="1" t="s">
        <v>1764</v>
      </c>
      <c r="E1975" s="1" t="s">
        <v>4098</v>
      </c>
      <c r="F1975" s="1" t="s">
        <v>4099</v>
      </c>
      <c r="G1975" s="1">
        <v>13065.0</v>
      </c>
      <c r="H1975" s="1">
        <v>253.0</v>
      </c>
      <c r="I1975" s="1" t="s">
        <v>16</v>
      </c>
      <c r="J1975" s="1">
        <v>2.1E7</v>
      </c>
      <c r="K1975" s="1">
        <v>1999.0</v>
      </c>
      <c r="L1975" s="1">
        <v>4.6</v>
      </c>
      <c r="O1975" s="3"/>
      <c r="S1975" s="4"/>
    </row>
    <row r="1976" ht="14.25" customHeight="1">
      <c r="A1976" s="1" t="s">
        <v>21</v>
      </c>
      <c r="B1976" s="1">
        <v>98.0</v>
      </c>
      <c r="C1976" s="1">
        <v>9430988.0</v>
      </c>
      <c r="D1976" s="1" t="s">
        <v>593</v>
      </c>
      <c r="E1976" s="1" t="s">
        <v>750</v>
      </c>
      <c r="F1976" s="1" t="s">
        <v>4100</v>
      </c>
      <c r="G1976" s="1">
        <v>45992.0</v>
      </c>
      <c r="H1976" s="1">
        <v>115.0</v>
      </c>
      <c r="I1976" s="1" t="s">
        <v>16</v>
      </c>
      <c r="J1976" s="1">
        <v>1.7E7</v>
      </c>
      <c r="K1976" s="1">
        <v>2009.0</v>
      </c>
      <c r="L1976" s="1">
        <v>7.1</v>
      </c>
      <c r="O1976" s="3"/>
      <c r="S1976" s="4"/>
    </row>
    <row r="1977" ht="14.25" customHeight="1">
      <c r="A1977" s="1" t="s">
        <v>4101</v>
      </c>
      <c r="B1977" s="1">
        <v>120.0</v>
      </c>
      <c r="C1977" s="1">
        <v>1.628436E7</v>
      </c>
      <c r="D1977" s="1" t="s">
        <v>1059</v>
      </c>
      <c r="E1977" s="1" t="s">
        <v>1893</v>
      </c>
      <c r="F1977" s="1" t="s">
        <v>4102</v>
      </c>
      <c r="G1977" s="1">
        <v>15079.0</v>
      </c>
      <c r="H1977" s="1">
        <v>79.0</v>
      </c>
      <c r="I1977" s="1" t="s">
        <v>16</v>
      </c>
      <c r="J1977" s="1">
        <v>2.1E7</v>
      </c>
      <c r="K1977" s="1">
        <v>2008.0</v>
      </c>
      <c r="L1977" s="1">
        <v>6.1</v>
      </c>
      <c r="O1977" s="3"/>
      <c r="S1977" s="4"/>
    </row>
    <row r="1978" ht="14.25" customHeight="1">
      <c r="A1978" s="1" t="s">
        <v>781</v>
      </c>
      <c r="B1978" s="1">
        <v>112.0</v>
      </c>
      <c r="C1978" s="1">
        <v>6830957.0</v>
      </c>
      <c r="D1978" s="1" t="s">
        <v>92</v>
      </c>
      <c r="E1978" s="1" t="s">
        <v>162</v>
      </c>
      <c r="F1978" s="1" t="s">
        <v>4103</v>
      </c>
      <c r="G1978" s="1">
        <v>11983.0</v>
      </c>
      <c r="H1978" s="1">
        <v>147.0</v>
      </c>
      <c r="I1978" s="1" t="s">
        <v>16</v>
      </c>
      <c r="J1978" s="1">
        <v>2.1E7</v>
      </c>
      <c r="K1978" s="1">
        <v>2002.0</v>
      </c>
      <c r="L1978" s="1">
        <v>6.7</v>
      </c>
      <c r="O1978" s="3"/>
      <c r="S1978" s="4"/>
    </row>
    <row r="1979" ht="14.25" customHeight="1">
      <c r="A1979" s="1" t="s">
        <v>4104</v>
      </c>
      <c r="B1979" s="1">
        <v>127.0</v>
      </c>
      <c r="C1979" s="1">
        <v>2.4104113E7</v>
      </c>
      <c r="D1979" s="1" t="s">
        <v>806</v>
      </c>
      <c r="E1979" s="1" t="s">
        <v>155</v>
      </c>
      <c r="F1979" s="1" t="s">
        <v>4105</v>
      </c>
      <c r="G1979" s="1">
        <v>149066.0</v>
      </c>
      <c r="H1979" s="1">
        <v>517.0</v>
      </c>
      <c r="I1979" s="1" t="s">
        <v>16</v>
      </c>
      <c r="J1979" s="1">
        <v>2.0E7</v>
      </c>
      <c r="K1979" s="1">
        <v>2011.0</v>
      </c>
      <c r="L1979" s="1">
        <v>7.1</v>
      </c>
      <c r="O1979" s="3"/>
      <c r="S1979" s="4"/>
    </row>
    <row r="1980" ht="14.25" customHeight="1">
      <c r="A1980" s="1" t="s">
        <v>4106</v>
      </c>
      <c r="B1980" s="1">
        <v>102.0</v>
      </c>
      <c r="C1980" s="1">
        <v>15593.0</v>
      </c>
      <c r="D1980" s="1" t="s">
        <v>593</v>
      </c>
      <c r="E1980" s="1" t="s">
        <v>4107</v>
      </c>
      <c r="F1980" s="1" t="s">
        <v>4108</v>
      </c>
      <c r="G1980" s="1">
        <v>2295.0</v>
      </c>
      <c r="H1980" s="1">
        <v>40.0</v>
      </c>
      <c r="I1980" s="1" t="s">
        <v>16</v>
      </c>
      <c r="J1980" s="1">
        <v>2.1E7</v>
      </c>
      <c r="K1980" s="1">
        <v>1999.0</v>
      </c>
      <c r="L1980" s="1">
        <v>5.8</v>
      </c>
      <c r="O1980" s="3"/>
      <c r="S1980" s="4"/>
    </row>
    <row r="1981" ht="14.25" customHeight="1">
      <c r="A1981" s="1" t="s">
        <v>3592</v>
      </c>
      <c r="B1981" s="1">
        <v>91.0</v>
      </c>
      <c r="C1981" s="1">
        <v>958319.0</v>
      </c>
      <c r="D1981" s="1" t="s">
        <v>1391</v>
      </c>
      <c r="E1981" s="1" t="s">
        <v>152</v>
      </c>
      <c r="F1981" s="1" t="s">
        <v>4109</v>
      </c>
      <c r="G1981" s="1">
        <v>39764.0</v>
      </c>
      <c r="H1981" s="1">
        <v>148.0</v>
      </c>
      <c r="I1981" s="1" t="s">
        <v>16</v>
      </c>
      <c r="J1981" s="1">
        <v>2.1E7</v>
      </c>
      <c r="K1981" s="1">
        <v>2011.0</v>
      </c>
      <c r="L1981" s="1">
        <v>6.7</v>
      </c>
      <c r="O1981" s="3"/>
      <c r="S1981" s="4"/>
    </row>
    <row r="1982" ht="14.25" customHeight="1">
      <c r="A1982" s="1" t="s">
        <v>4110</v>
      </c>
      <c r="B1982" s="1">
        <v>114.0</v>
      </c>
      <c r="C1982" s="1">
        <v>6.97E7</v>
      </c>
      <c r="D1982" s="1" t="s">
        <v>2363</v>
      </c>
      <c r="E1982" s="1" t="s">
        <v>3569</v>
      </c>
      <c r="F1982" s="1" t="s">
        <v>4111</v>
      </c>
      <c r="G1982" s="1">
        <v>7748.0</v>
      </c>
      <c r="H1982" s="1">
        <v>48.0</v>
      </c>
      <c r="I1982" s="1" t="s">
        <v>16</v>
      </c>
      <c r="J1982" s="1">
        <v>3.5E7</v>
      </c>
      <c r="K1982" s="1">
        <v>1982.0</v>
      </c>
      <c r="L1982" s="1">
        <v>5.8</v>
      </c>
      <c r="O1982" s="3"/>
      <c r="S1982" s="4"/>
    </row>
    <row r="1983" ht="14.25" customHeight="1">
      <c r="A1983" s="1" t="s">
        <v>2170</v>
      </c>
      <c r="B1983" s="1">
        <v>115.0</v>
      </c>
      <c r="C1983" s="1">
        <v>2840417.0</v>
      </c>
      <c r="D1983" s="1" t="s">
        <v>1764</v>
      </c>
      <c r="E1983" s="1" t="s">
        <v>2743</v>
      </c>
      <c r="F1983" s="1" t="s">
        <v>4112</v>
      </c>
      <c r="G1983" s="1">
        <v>77493.0</v>
      </c>
      <c r="H1983" s="1">
        <v>527.0</v>
      </c>
      <c r="I1983" s="1" t="s">
        <v>16</v>
      </c>
      <c r="J1983" s="1">
        <v>3.1E7</v>
      </c>
      <c r="K1983" s="1">
        <v>1999.0</v>
      </c>
      <c r="L1983" s="1">
        <v>6.8</v>
      </c>
      <c r="O1983" s="3"/>
      <c r="S1983" s="4"/>
    </row>
    <row r="1984" ht="14.25" customHeight="1">
      <c r="A1984" s="1" t="s">
        <v>168</v>
      </c>
      <c r="B1984" s="1">
        <v>115.0</v>
      </c>
      <c r="C1984" s="1">
        <v>2.42374454E8</v>
      </c>
      <c r="D1984" s="1" t="s">
        <v>55</v>
      </c>
      <c r="E1984" s="1" t="s">
        <v>169</v>
      </c>
      <c r="F1984" s="1" t="s">
        <v>4113</v>
      </c>
      <c r="G1984" s="1">
        <v>661017.0</v>
      </c>
      <c r="H1984" s="1">
        <v>771.0</v>
      </c>
      <c r="I1984" s="1" t="s">
        <v>16</v>
      </c>
      <c r="J1984" s="1">
        <v>1.8E7</v>
      </c>
      <c r="K1984" s="1">
        <v>1981.0</v>
      </c>
      <c r="L1984" s="1">
        <v>8.5</v>
      </c>
      <c r="O1984" s="3"/>
      <c r="S1984" s="4"/>
    </row>
    <row r="1985" ht="14.25" customHeight="1">
      <c r="A1985" s="1" t="s">
        <v>524</v>
      </c>
      <c r="B1985" s="1">
        <v>120.0</v>
      </c>
      <c r="C1985" s="1">
        <v>1.73585516E8</v>
      </c>
      <c r="D1985" s="1" t="s">
        <v>993</v>
      </c>
      <c r="E1985" s="1" t="s">
        <v>2603</v>
      </c>
      <c r="F1985" s="1" t="s">
        <v>4114</v>
      </c>
      <c r="G1985" s="1">
        <v>200077.0</v>
      </c>
      <c r="H1985" s="1">
        <v>189.0</v>
      </c>
      <c r="I1985" s="1" t="s">
        <v>16</v>
      </c>
      <c r="J1985" s="1">
        <v>1.8E7</v>
      </c>
      <c r="K1985" s="1">
        <v>1992.0</v>
      </c>
      <c r="L1985" s="1">
        <v>6.6</v>
      </c>
      <c r="O1985" s="3"/>
      <c r="S1985" s="4"/>
    </row>
    <row r="1986" ht="14.25" customHeight="1">
      <c r="A1986" s="1" t="s">
        <v>168</v>
      </c>
      <c r="B1986" s="1">
        <v>135.0</v>
      </c>
      <c r="C1986" s="1">
        <v>1.283E8</v>
      </c>
      <c r="D1986" s="1" t="s">
        <v>770</v>
      </c>
      <c r="E1986" s="1" t="s">
        <v>4115</v>
      </c>
      <c r="F1986" s="1" t="s">
        <v>4116</v>
      </c>
      <c r="G1986" s="1">
        <v>139288.0</v>
      </c>
      <c r="H1986" s="1">
        <v>339.0</v>
      </c>
      <c r="I1986" s="1" t="s">
        <v>16</v>
      </c>
      <c r="J1986" s="1">
        <v>1.940087E7</v>
      </c>
      <c r="K1986" s="1">
        <v>1977.0</v>
      </c>
      <c r="L1986" s="1">
        <v>7.7</v>
      </c>
      <c r="O1986" s="3"/>
      <c r="S1986" s="4"/>
    </row>
    <row r="1987" ht="14.25" customHeight="1">
      <c r="A1987" s="1" t="s">
        <v>4117</v>
      </c>
      <c r="B1987" s="1">
        <v>90.0</v>
      </c>
      <c r="C1987" s="1">
        <v>2.0259297E7</v>
      </c>
      <c r="D1987" s="1" t="s">
        <v>1486</v>
      </c>
      <c r="E1987" s="1" t="s">
        <v>4118</v>
      </c>
      <c r="F1987" s="1" t="s">
        <v>4119</v>
      </c>
      <c r="G1987" s="1">
        <v>24969.0</v>
      </c>
      <c r="H1987" s="1">
        <v>258.0</v>
      </c>
      <c r="I1987" s="1" t="s">
        <v>16</v>
      </c>
      <c r="J1987" s="1">
        <v>2.0E7</v>
      </c>
      <c r="K1987" s="1">
        <v>2006.0</v>
      </c>
      <c r="L1987" s="1">
        <v>4.7</v>
      </c>
      <c r="O1987" s="3"/>
      <c r="S1987" s="4"/>
    </row>
    <row r="1988" ht="14.25" customHeight="1">
      <c r="A1988" s="1" t="s">
        <v>722</v>
      </c>
      <c r="B1988" s="1">
        <v>100.0</v>
      </c>
      <c r="C1988" s="1">
        <v>1.53665036E8</v>
      </c>
      <c r="D1988" s="1" t="s">
        <v>180</v>
      </c>
      <c r="E1988" s="1" t="s">
        <v>4120</v>
      </c>
      <c r="F1988" s="1" t="s">
        <v>4121</v>
      </c>
      <c r="G1988" s="1">
        <v>84824.0</v>
      </c>
      <c r="H1988" s="1">
        <v>95.0</v>
      </c>
      <c r="I1988" s="1" t="s">
        <v>16</v>
      </c>
      <c r="J1988" s="1">
        <v>2.8E7</v>
      </c>
      <c r="K1988" s="1">
        <v>1987.0</v>
      </c>
      <c r="L1988" s="1">
        <v>6.4</v>
      </c>
      <c r="O1988" s="3"/>
      <c r="S1988" s="4"/>
    </row>
    <row r="1989" ht="14.25" customHeight="1">
      <c r="A1989" s="1" t="s">
        <v>1087</v>
      </c>
      <c r="B1989" s="1">
        <v>105.0</v>
      </c>
      <c r="C1989" s="1">
        <v>1.32541238E8</v>
      </c>
      <c r="D1989" s="1" t="s">
        <v>828</v>
      </c>
      <c r="E1989" s="1" t="s">
        <v>4122</v>
      </c>
      <c r="F1989" s="1" t="s">
        <v>4123</v>
      </c>
      <c r="G1989" s="1">
        <v>30058.0</v>
      </c>
      <c r="H1989" s="1">
        <v>236.0</v>
      </c>
      <c r="I1989" s="1" t="s">
        <v>16</v>
      </c>
      <c r="J1989" s="1">
        <v>3.3E7</v>
      </c>
      <c r="K1989" s="1">
        <v>2003.0</v>
      </c>
      <c r="L1989" s="1">
        <v>5.5</v>
      </c>
      <c r="O1989" s="3"/>
      <c r="S1989" s="4"/>
    </row>
    <row r="1990" ht="14.25" customHeight="1">
      <c r="A1990" s="1" t="s">
        <v>1130</v>
      </c>
      <c r="B1990" s="1">
        <v>138.0</v>
      </c>
      <c r="C1990" s="1">
        <v>1.30727E8</v>
      </c>
      <c r="D1990" s="1" t="s">
        <v>2646</v>
      </c>
      <c r="E1990" s="1" t="s">
        <v>326</v>
      </c>
      <c r="F1990" s="1" t="s">
        <v>4124</v>
      </c>
      <c r="G1990" s="1">
        <v>887467.0</v>
      </c>
      <c r="H1990" s="1">
        <v>916.0</v>
      </c>
      <c r="I1990" s="1" t="s">
        <v>16</v>
      </c>
      <c r="J1990" s="1">
        <v>1.9E7</v>
      </c>
      <c r="K1990" s="1">
        <v>1991.0</v>
      </c>
      <c r="L1990" s="1">
        <v>8.6</v>
      </c>
      <c r="O1990" s="3"/>
      <c r="S1990" s="4"/>
    </row>
    <row r="1991" ht="14.25" customHeight="1">
      <c r="A1991" s="1" t="s">
        <v>4125</v>
      </c>
      <c r="B1991" s="1">
        <v>94.0</v>
      </c>
      <c r="C1991" s="1">
        <v>1.2169735E8</v>
      </c>
      <c r="D1991" s="1" t="s">
        <v>3022</v>
      </c>
      <c r="E1991" s="1" t="s">
        <v>1070</v>
      </c>
      <c r="F1991" s="1" t="s">
        <v>4126</v>
      </c>
      <c r="G1991" s="1">
        <v>114610.0</v>
      </c>
      <c r="H1991" s="1">
        <v>176.0</v>
      </c>
      <c r="I1991" s="1" t="s">
        <v>16</v>
      </c>
      <c r="J1991" s="1">
        <v>2.0E7</v>
      </c>
      <c r="K1991" s="1">
        <v>1992.0</v>
      </c>
      <c r="L1991" s="1">
        <v>7.0</v>
      </c>
      <c r="O1991" s="3"/>
      <c r="S1991" s="4"/>
    </row>
    <row r="1992" ht="14.25" customHeight="1">
      <c r="A1992" s="1" t="s">
        <v>4127</v>
      </c>
      <c r="B1992" s="1">
        <v>101.0</v>
      </c>
      <c r="C1992" s="1">
        <v>1.17224271E8</v>
      </c>
      <c r="D1992" s="1" t="s">
        <v>4128</v>
      </c>
      <c r="E1992" s="1" t="s">
        <v>4129</v>
      </c>
      <c r="F1992" s="1" t="s">
        <v>4130</v>
      </c>
      <c r="G1992" s="1">
        <v>47794.0</v>
      </c>
      <c r="H1992" s="1">
        <v>81.0</v>
      </c>
      <c r="I1992" s="1" t="s">
        <v>16</v>
      </c>
      <c r="J1992" s="1">
        <v>2.0E7</v>
      </c>
      <c r="K1992" s="1">
        <v>2010.0</v>
      </c>
      <c r="L1992" s="1">
        <v>7.1</v>
      </c>
      <c r="O1992" s="3"/>
      <c r="S1992" s="4"/>
    </row>
    <row r="1993" ht="14.25" customHeight="1">
      <c r="A1993" s="1" t="s">
        <v>4131</v>
      </c>
      <c r="B1993" s="1">
        <v>131.0</v>
      </c>
      <c r="C1993" s="1">
        <v>1.02922376E8</v>
      </c>
      <c r="D1993" s="1" t="s">
        <v>3388</v>
      </c>
      <c r="E1993" s="1" t="s">
        <v>4132</v>
      </c>
      <c r="F1993" s="1" t="s">
        <v>4133</v>
      </c>
      <c r="G1993" s="1">
        <v>51314.0</v>
      </c>
      <c r="H1993" s="1">
        <v>265.0</v>
      </c>
      <c r="I1993" s="1" t="s">
        <v>16</v>
      </c>
      <c r="J1993" s="1">
        <v>2.0E7</v>
      </c>
      <c r="K1993" s="1">
        <v>1978.0</v>
      </c>
      <c r="L1993" s="1">
        <v>5.7</v>
      </c>
      <c r="O1993" s="3"/>
      <c r="S1993" s="4"/>
    </row>
    <row r="1994" ht="14.25" customHeight="1">
      <c r="A1994" s="1" t="s">
        <v>657</v>
      </c>
      <c r="B1994" s="1">
        <v>91.0</v>
      </c>
      <c r="C1994" s="1">
        <v>9.4497271E7</v>
      </c>
      <c r="D1994" s="1" t="s">
        <v>4134</v>
      </c>
      <c r="E1994" s="1" t="s">
        <v>720</v>
      </c>
      <c r="F1994" s="1" t="s">
        <v>4135</v>
      </c>
      <c r="G1994" s="1">
        <v>17829.0</v>
      </c>
      <c r="H1994" s="1">
        <v>99.0</v>
      </c>
      <c r="I1994" s="1" t="s">
        <v>16</v>
      </c>
      <c r="J1994" s="1">
        <v>2.0E7</v>
      </c>
      <c r="K1994" s="1">
        <v>2008.0</v>
      </c>
      <c r="L1994" s="1">
        <v>3.7</v>
      </c>
      <c r="O1994" s="3"/>
      <c r="S1994" s="4"/>
    </row>
    <row r="1995" ht="14.25" customHeight="1">
      <c r="A1995" s="1" t="s">
        <v>145</v>
      </c>
      <c r="B1995" s="1">
        <v>112.0</v>
      </c>
      <c r="C1995" s="1">
        <v>1.37387272E8</v>
      </c>
      <c r="D1995" s="1" t="s">
        <v>1239</v>
      </c>
      <c r="E1995" s="1" t="s">
        <v>4136</v>
      </c>
      <c r="F1995" s="1" t="s">
        <v>4137</v>
      </c>
      <c r="G1995" s="1">
        <v>300110.0</v>
      </c>
      <c r="H1995" s="1">
        <v>807.0</v>
      </c>
      <c r="I1995" s="1" t="s">
        <v>16</v>
      </c>
      <c r="J1995" s="1">
        <v>2.0E7</v>
      </c>
      <c r="K1995" s="1">
        <v>2013.0</v>
      </c>
      <c r="L1995" s="1">
        <v>7.5</v>
      </c>
      <c r="O1995" s="3"/>
      <c r="S1995" s="4"/>
    </row>
    <row r="1996" ht="14.25" customHeight="1">
      <c r="A1996" s="1" t="s">
        <v>1669</v>
      </c>
      <c r="B1996" s="1">
        <v>95.0</v>
      </c>
      <c r="C1996" s="1">
        <v>8.2301521E7</v>
      </c>
      <c r="D1996" s="1" t="s">
        <v>3809</v>
      </c>
      <c r="E1996" s="1" t="s">
        <v>3090</v>
      </c>
      <c r="F1996" s="1" t="s">
        <v>4138</v>
      </c>
      <c r="G1996" s="1">
        <v>22679.0</v>
      </c>
      <c r="H1996" s="1">
        <v>149.0</v>
      </c>
      <c r="I1996" s="1" t="s">
        <v>16</v>
      </c>
      <c r="J1996" s="1">
        <v>3.2E7</v>
      </c>
      <c r="K1996" s="1">
        <v>2005.0</v>
      </c>
      <c r="L1996" s="1">
        <v>4.6</v>
      </c>
      <c r="O1996" s="3"/>
      <c r="S1996" s="4"/>
    </row>
    <row r="1997" ht="14.25" customHeight="1">
      <c r="A1997" s="1" t="s">
        <v>3455</v>
      </c>
      <c r="B1997" s="1">
        <v>100.0</v>
      </c>
      <c r="C1997" s="1">
        <v>8.4518155E7</v>
      </c>
      <c r="D1997" s="1" t="s">
        <v>828</v>
      </c>
      <c r="E1997" s="1" t="s">
        <v>1407</v>
      </c>
      <c r="F1997" s="1" t="s">
        <v>4139</v>
      </c>
      <c r="G1997" s="1">
        <v>35965.0</v>
      </c>
      <c r="H1997" s="1">
        <v>144.0</v>
      </c>
      <c r="I1997" s="1" t="s">
        <v>16</v>
      </c>
      <c r="J1997" s="1">
        <v>2.0E7</v>
      </c>
      <c r="K1997" s="1">
        <v>2014.0</v>
      </c>
      <c r="L1997" s="1">
        <v>4.9</v>
      </c>
      <c r="O1997" s="3"/>
      <c r="S1997" s="4"/>
    </row>
    <row r="1998" ht="14.25" customHeight="1">
      <c r="A1998" s="1" t="s">
        <v>1093</v>
      </c>
      <c r="B1998" s="1">
        <v>105.0</v>
      </c>
      <c r="C1998" s="1">
        <v>8.0050171E7</v>
      </c>
      <c r="D1998" s="1" t="s">
        <v>806</v>
      </c>
      <c r="E1998" s="1" t="s">
        <v>2736</v>
      </c>
      <c r="F1998" s="1" t="s">
        <v>2737</v>
      </c>
      <c r="G1998" s="1">
        <v>186984.0</v>
      </c>
      <c r="H1998" s="1">
        <v>491.0</v>
      </c>
      <c r="I1998" s="1" t="s">
        <v>16</v>
      </c>
      <c r="J1998" s="1">
        <v>2.0E7</v>
      </c>
      <c r="K1998" s="1">
        <v>2007.0</v>
      </c>
      <c r="L1998" s="1">
        <v>6.9</v>
      </c>
      <c r="O1998" s="3"/>
      <c r="S1998" s="4"/>
    </row>
    <row r="1999" ht="14.25" customHeight="1">
      <c r="A1999" s="1" t="s">
        <v>3582</v>
      </c>
      <c r="B1999" s="1">
        <v>108.0</v>
      </c>
      <c r="C1999" s="1">
        <v>8.1257845E7</v>
      </c>
      <c r="D1999" s="1" t="s">
        <v>3022</v>
      </c>
      <c r="E1999" s="1" t="s">
        <v>4140</v>
      </c>
      <c r="F1999" s="1" t="s">
        <v>4141</v>
      </c>
      <c r="G1999" s="1">
        <v>210680.0</v>
      </c>
      <c r="H1999" s="1">
        <v>479.0</v>
      </c>
      <c r="I1999" s="1" t="s">
        <v>16</v>
      </c>
      <c r="J1999" s="1">
        <v>3.5E7</v>
      </c>
      <c r="K1999" s="1">
        <v>2003.0</v>
      </c>
      <c r="L1999" s="1">
        <v>7.1</v>
      </c>
      <c r="O1999" s="3"/>
      <c r="S1999" s="4"/>
    </row>
    <row r="2000" ht="14.25" customHeight="1">
      <c r="A2000" s="1" t="s">
        <v>983</v>
      </c>
      <c r="B2000" s="1">
        <v>101.0</v>
      </c>
      <c r="C2000" s="1">
        <v>7.0360285E7</v>
      </c>
      <c r="D2000" s="1" t="s">
        <v>114</v>
      </c>
      <c r="E2000" s="1" t="s">
        <v>3643</v>
      </c>
      <c r="F2000" s="1" t="s">
        <v>4142</v>
      </c>
      <c r="G2000" s="1">
        <v>81783.0</v>
      </c>
      <c r="H2000" s="1">
        <v>283.0</v>
      </c>
      <c r="I2000" s="1" t="s">
        <v>16</v>
      </c>
      <c r="J2000" s="1">
        <v>1.8E7</v>
      </c>
      <c r="K2000" s="1">
        <v>1995.0</v>
      </c>
      <c r="L2000" s="1">
        <v>5.8</v>
      </c>
      <c r="O2000" s="3"/>
      <c r="S2000" s="4"/>
    </row>
    <row r="2001" ht="14.25" customHeight="1">
      <c r="A2001" s="1" t="s">
        <v>1576</v>
      </c>
      <c r="B2001" s="1">
        <v>109.0</v>
      </c>
      <c r="C2001" s="1">
        <v>6.9148997E7</v>
      </c>
      <c r="D2001" s="1" t="s">
        <v>427</v>
      </c>
      <c r="E2001" s="1" t="s">
        <v>2589</v>
      </c>
      <c r="F2001" s="1" t="s">
        <v>4143</v>
      </c>
      <c r="G2001" s="1">
        <v>98794.0</v>
      </c>
      <c r="H2001" s="1">
        <v>251.0</v>
      </c>
      <c r="I2001" s="1" t="s">
        <v>16</v>
      </c>
      <c r="J2001" s="1">
        <v>3.7E7</v>
      </c>
      <c r="K2001" s="1">
        <v>2004.0</v>
      </c>
      <c r="L2001" s="1">
        <v>5.4</v>
      </c>
      <c r="O2001" s="3"/>
      <c r="S2001" s="4"/>
    </row>
    <row r="2002" ht="14.25" customHeight="1">
      <c r="A2002" s="1" t="s">
        <v>3242</v>
      </c>
      <c r="B2002" s="1">
        <v>115.0</v>
      </c>
      <c r="C2002" s="1">
        <v>8.2624961E7</v>
      </c>
      <c r="D2002" s="1" t="s">
        <v>1059</v>
      </c>
      <c r="E2002" s="1" t="s">
        <v>4144</v>
      </c>
      <c r="F2002" s="1" t="s">
        <v>4145</v>
      </c>
      <c r="G2002" s="1">
        <v>205284.0</v>
      </c>
      <c r="H2002" s="1">
        <v>439.0</v>
      </c>
      <c r="I2002" s="1" t="s">
        <v>16</v>
      </c>
      <c r="J2002" s="1">
        <v>2.0E7</v>
      </c>
      <c r="K2002" s="1">
        <v>2011.0</v>
      </c>
      <c r="L2002" s="1">
        <v>7.3</v>
      </c>
      <c r="O2002" s="3"/>
      <c r="S2002" s="4"/>
    </row>
    <row r="2003" ht="14.25" customHeight="1">
      <c r="A2003" s="1" t="s">
        <v>1023</v>
      </c>
      <c r="B2003" s="1">
        <v>117.0</v>
      </c>
      <c r="C2003" s="1">
        <v>6.7325559E7</v>
      </c>
      <c r="D2003" s="1" t="s">
        <v>4146</v>
      </c>
      <c r="E2003" s="1" t="s">
        <v>627</v>
      </c>
      <c r="F2003" s="1" t="s">
        <v>4147</v>
      </c>
      <c r="G2003" s="1">
        <v>58222.0</v>
      </c>
      <c r="H2003" s="1">
        <v>331.0</v>
      </c>
      <c r="I2003" s="1" t="s">
        <v>16</v>
      </c>
      <c r="J2003" s="1">
        <v>2.0E7</v>
      </c>
      <c r="K2003" s="1">
        <v>2003.0</v>
      </c>
      <c r="L2003" s="1">
        <v>7.1</v>
      </c>
      <c r="O2003" s="3"/>
      <c r="S2003" s="4"/>
    </row>
    <row r="2004" ht="14.25" customHeight="1">
      <c r="A2004" s="1" t="s">
        <v>2455</v>
      </c>
      <c r="B2004" s="1">
        <v>107.0</v>
      </c>
      <c r="C2004" s="1">
        <v>6.2933793E7</v>
      </c>
      <c r="D2004" s="1" t="s">
        <v>4148</v>
      </c>
      <c r="E2004" s="1" t="s">
        <v>1810</v>
      </c>
      <c r="F2004" s="1" t="s">
        <v>4149</v>
      </c>
      <c r="G2004" s="1">
        <v>62421.0</v>
      </c>
      <c r="H2004" s="1">
        <v>185.0</v>
      </c>
      <c r="I2004" s="1" t="s">
        <v>16</v>
      </c>
      <c r="J2004" s="1">
        <v>2.0E7</v>
      </c>
      <c r="K2004" s="1">
        <v>2010.0</v>
      </c>
      <c r="L2004" s="1">
        <v>5.8</v>
      </c>
      <c r="O2004" s="3"/>
      <c r="S2004" s="4"/>
    </row>
    <row r="2005" ht="14.25" customHeight="1">
      <c r="A2005" s="1" t="s">
        <v>4150</v>
      </c>
      <c r="B2005" s="1">
        <v>134.0</v>
      </c>
      <c r="C2005" s="1">
        <v>5.666787E7</v>
      </c>
      <c r="D2005" s="1" t="s">
        <v>2369</v>
      </c>
      <c r="E2005" s="1" t="s">
        <v>1521</v>
      </c>
      <c r="F2005" s="1" t="s">
        <v>4151</v>
      </c>
      <c r="G2005" s="1">
        <v>439176.0</v>
      </c>
      <c r="H2005" s="1">
        <v>695.0</v>
      </c>
      <c r="I2005" s="1" t="s">
        <v>16</v>
      </c>
      <c r="J2005" s="1">
        <v>2.0E7</v>
      </c>
      <c r="K2005" s="1">
        <v>2013.0</v>
      </c>
      <c r="L2005" s="1">
        <v>8.1</v>
      </c>
      <c r="O2005" s="3"/>
      <c r="S2005" s="4"/>
    </row>
    <row r="2006" ht="14.25" customHeight="1">
      <c r="A2006" s="1" t="s">
        <v>3360</v>
      </c>
      <c r="B2006" s="1">
        <v>118.0</v>
      </c>
      <c r="C2006" s="1">
        <v>5.6398162E7</v>
      </c>
      <c r="D2006" s="1" t="s">
        <v>2304</v>
      </c>
      <c r="E2006" s="1" t="s">
        <v>4152</v>
      </c>
      <c r="F2006" s="1" t="s">
        <v>4153</v>
      </c>
      <c r="G2006" s="1">
        <v>28649.0</v>
      </c>
      <c r="H2006" s="1">
        <v>185.0</v>
      </c>
      <c r="I2006" s="1" t="s">
        <v>16</v>
      </c>
      <c r="J2006" s="1">
        <v>2.0E7</v>
      </c>
      <c r="K2006" s="1">
        <v>2002.0</v>
      </c>
      <c r="L2006" s="1">
        <v>5.7</v>
      </c>
      <c r="O2006" s="3"/>
      <c r="S2006" s="4"/>
    </row>
    <row r="2007" ht="14.25" customHeight="1">
      <c r="A2007" s="1" t="s">
        <v>3709</v>
      </c>
      <c r="B2007" s="1">
        <v>121.0</v>
      </c>
      <c r="C2007" s="1">
        <v>6.0072596E7</v>
      </c>
      <c r="D2007" s="1" t="s">
        <v>593</v>
      </c>
      <c r="E2007" s="1" t="s">
        <v>2561</v>
      </c>
      <c r="F2007" s="1" t="s">
        <v>4154</v>
      </c>
      <c r="G2007" s="1">
        <v>7664.0</v>
      </c>
      <c r="H2007" s="1">
        <v>68.0</v>
      </c>
      <c r="I2007" s="1" t="s">
        <v>16</v>
      </c>
      <c r="J2007" s="1">
        <v>2.0E7</v>
      </c>
      <c r="K2007" s="1">
        <v>2010.0</v>
      </c>
      <c r="L2007" s="1">
        <v>4.4</v>
      </c>
      <c r="O2007" s="3"/>
      <c r="S2007" s="4"/>
    </row>
    <row r="2008" ht="14.25" customHeight="1">
      <c r="A2008" s="1" t="s">
        <v>111</v>
      </c>
      <c r="B2008" s="1">
        <v>105.0</v>
      </c>
      <c r="C2008" s="1">
        <v>5.6362352E7</v>
      </c>
      <c r="D2008" s="1" t="s">
        <v>4155</v>
      </c>
      <c r="E2008" s="1" t="s">
        <v>19</v>
      </c>
      <c r="F2008" s="1" t="s">
        <v>4156</v>
      </c>
      <c r="G2008" s="1">
        <v>357581.0</v>
      </c>
      <c r="H2008" s="1">
        <v>588.0</v>
      </c>
      <c r="I2008" s="1" t="s">
        <v>16</v>
      </c>
      <c r="J2008" s="1">
        <v>2.0E7</v>
      </c>
      <c r="K2008" s="1">
        <v>1990.0</v>
      </c>
      <c r="L2008" s="1">
        <v>7.9</v>
      </c>
      <c r="O2008" s="3"/>
      <c r="S2008" s="4"/>
    </row>
    <row r="2009" ht="14.25" customHeight="1">
      <c r="A2009" s="1" t="s">
        <v>4157</v>
      </c>
      <c r="B2009" s="1">
        <v>110.0</v>
      </c>
      <c r="C2009" s="1">
        <v>5.6154094E7</v>
      </c>
      <c r="D2009" s="1" t="s">
        <v>92</v>
      </c>
      <c r="E2009" s="1" t="s">
        <v>4158</v>
      </c>
      <c r="F2009" s="1" t="s">
        <v>4159</v>
      </c>
      <c r="G2009" s="1">
        <v>44723.0</v>
      </c>
      <c r="H2009" s="1">
        <v>130.0</v>
      </c>
      <c r="I2009" s="1" t="s">
        <v>16</v>
      </c>
      <c r="J2009" s="1">
        <v>2.0E7</v>
      </c>
      <c r="K2009" s="1">
        <v>2016.0</v>
      </c>
      <c r="L2009" s="1">
        <v>7.6</v>
      </c>
      <c r="O2009" s="3"/>
      <c r="S2009" s="4"/>
    </row>
    <row r="2010" ht="14.25" customHeight="1">
      <c r="A2010" s="1" t="s">
        <v>3709</v>
      </c>
      <c r="B2010" s="1">
        <v>114.0</v>
      </c>
      <c r="C2010" s="1">
        <v>6.5623128E7</v>
      </c>
      <c r="D2010" s="1" t="s">
        <v>3596</v>
      </c>
      <c r="E2010" s="1" t="s">
        <v>4160</v>
      </c>
      <c r="F2010" s="1" t="s">
        <v>4161</v>
      </c>
      <c r="G2010" s="1">
        <v>7354.0</v>
      </c>
      <c r="H2010" s="1">
        <v>50.0</v>
      </c>
      <c r="I2010" s="1" t="s">
        <v>16</v>
      </c>
      <c r="J2010" s="1">
        <v>2.0E7</v>
      </c>
      <c r="K2010" s="1">
        <v>2012.0</v>
      </c>
      <c r="L2010" s="1">
        <v>4.8</v>
      </c>
      <c r="O2010" s="3"/>
      <c r="S2010" s="4"/>
    </row>
    <row r="2011" ht="14.25" customHeight="1">
      <c r="A2011" s="1" t="s">
        <v>4162</v>
      </c>
      <c r="B2011" s="1">
        <v>100.0</v>
      </c>
      <c r="C2011" s="1">
        <v>5.5461307E7</v>
      </c>
      <c r="D2011" s="1" t="s">
        <v>828</v>
      </c>
      <c r="E2011" s="1" t="s">
        <v>1868</v>
      </c>
      <c r="F2011" s="1" t="s">
        <v>4163</v>
      </c>
      <c r="G2011" s="1">
        <v>4654.0</v>
      </c>
      <c r="H2011" s="1">
        <v>46.0</v>
      </c>
      <c r="I2011" s="1" t="s">
        <v>16</v>
      </c>
      <c r="J2011" s="1">
        <v>2.0E7</v>
      </c>
      <c r="K2011" s="1">
        <v>2016.0</v>
      </c>
      <c r="L2011" s="1">
        <v>6.7</v>
      </c>
      <c r="O2011" s="3"/>
      <c r="S2011" s="4"/>
    </row>
    <row r="2012" ht="14.25" customHeight="1">
      <c r="A2012" s="1" t="s">
        <v>4164</v>
      </c>
      <c r="B2012" s="1">
        <v>85.0</v>
      </c>
      <c r="C2012" s="1">
        <v>4.8546578E7</v>
      </c>
      <c r="D2012" s="1" t="s">
        <v>699</v>
      </c>
      <c r="E2012" s="1" t="s">
        <v>1865</v>
      </c>
      <c r="F2012" s="1" t="s">
        <v>4165</v>
      </c>
      <c r="G2012" s="1">
        <v>50415.0</v>
      </c>
      <c r="H2012" s="1">
        <v>613.0</v>
      </c>
      <c r="I2012" s="1" t="s">
        <v>16</v>
      </c>
      <c r="J2012" s="1">
        <v>2.0E7</v>
      </c>
      <c r="K2012" s="1">
        <v>2006.0</v>
      </c>
      <c r="L2012" s="1">
        <v>2.7</v>
      </c>
      <c r="O2012" s="3"/>
      <c r="S2012" s="4"/>
    </row>
    <row r="2013" ht="14.25" customHeight="1">
      <c r="A2013" s="1" t="s">
        <v>4166</v>
      </c>
      <c r="B2013" s="1">
        <v>72.0</v>
      </c>
      <c r="C2013" s="1">
        <v>4.8423368E7</v>
      </c>
      <c r="D2013" s="1" t="s">
        <v>270</v>
      </c>
      <c r="E2013" s="1" t="s">
        <v>1109</v>
      </c>
      <c r="F2013" s="1" t="s">
        <v>4167</v>
      </c>
      <c r="G2013" s="1">
        <v>13324.0</v>
      </c>
      <c r="H2013" s="1">
        <v>79.0</v>
      </c>
      <c r="I2013" s="1" t="s">
        <v>16</v>
      </c>
      <c r="J2013" s="1">
        <v>2.0E7</v>
      </c>
      <c r="K2013" s="1">
        <v>2002.0</v>
      </c>
      <c r="L2013" s="1">
        <v>5.8</v>
      </c>
      <c r="O2013" s="3"/>
      <c r="S2013" s="4"/>
    </row>
    <row r="2014" ht="14.25" customHeight="1">
      <c r="A2014" s="1" t="s">
        <v>4168</v>
      </c>
      <c r="B2014" s="1">
        <v>128.0</v>
      </c>
      <c r="C2014" s="1">
        <v>5.2066E7</v>
      </c>
      <c r="D2014" s="1" t="s">
        <v>2369</v>
      </c>
      <c r="E2014" s="1" t="s">
        <v>1190</v>
      </c>
      <c r="F2014" s="1" t="s">
        <v>4169</v>
      </c>
      <c r="G2014" s="1">
        <v>61114.0</v>
      </c>
      <c r="H2014" s="1">
        <v>212.0</v>
      </c>
      <c r="I2014" s="1" t="s">
        <v>16</v>
      </c>
      <c r="J2014" s="1">
        <v>2.0E7</v>
      </c>
      <c r="K2014" s="1">
        <v>2014.0</v>
      </c>
      <c r="L2014" s="1">
        <v>7.5</v>
      </c>
      <c r="O2014" s="3"/>
      <c r="S2014" s="4"/>
    </row>
    <row r="2015" ht="14.25" customHeight="1">
      <c r="A2015" s="1" t="s">
        <v>4170</v>
      </c>
      <c r="B2015" s="1">
        <v>72.0</v>
      </c>
      <c r="C2015" s="1">
        <v>4.7887943E7</v>
      </c>
      <c r="D2015" s="1" t="s">
        <v>4171</v>
      </c>
      <c r="E2015" s="1" t="s">
        <v>927</v>
      </c>
      <c r="F2015" s="1" t="s">
        <v>4172</v>
      </c>
      <c r="G2015" s="1">
        <v>11634.0</v>
      </c>
      <c r="H2015" s="1">
        <v>58.0</v>
      </c>
      <c r="I2015" s="1" t="s">
        <v>16</v>
      </c>
      <c r="J2015" s="1">
        <v>2.0E7</v>
      </c>
      <c r="K2015" s="1">
        <v>2003.0</v>
      </c>
      <c r="L2015" s="1">
        <v>5.4</v>
      </c>
      <c r="O2015" s="3"/>
      <c r="S2015" s="4"/>
    </row>
    <row r="2016" ht="14.25" customHeight="1">
      <c r="A2016" s="1" t="s">
        <v>2680</v>
      </c>
      <c r="B2016" s="1">
        <v>89.0</v>
      </c>
      <c r="C2016" s="1">
        <v>4.6363118E7</v>
      </c>
      <c r="D2016" s="1" t="s">
        <v>2439</v>
      </c>
      <c r="E2016" s="1" t="s">
        <v>4173</v>
      </c>
      <c r="F2016" s="1" t="s">
        <v>4174</v>
      </c>
      <c r="G2016" s="1">
        <v>25960.0</v>
      </c>
      <c r="H2016" s="1">
        <v>389.0</v>
      </c>
      <c r="I2016" s="1" t="s">
        <v>16</v>
      </c>
      <c r="J2016" s="1">
        <v>2.0E7</v>
      </c>
      <c r="K2016" s="1">
        <v>2005.0</v>
      </c>
      <c r="L2016" s="1">
        <v>4.1</v>
      </c>
      <c r="O2016" s="3"/>
      <c r="S2016" s="4"/>
    </row>
    <row r="2017" ht="14.25" customHeight="1">
      <c r="A2017" s="1" t="s">
        <v>4175</v>
      </c>
      <c r="B2017" s="1">
        <v>96.0</v>
      </c>
      <c r="C2017" s="1">
        <v>4.7852604E7</v>
      </c>
      <c r="D2017" s="1" t="s">
        <v>806</v>
      </c>
      <c r="E2017" s="1" t="s">
        <v>3090</v>
      </c>
      <c r="F2017" s="1" t="s">
        <v>4176</v>
      </c>
      <c r="G2017" s="1">
        <v>62364.0</v>
      </c>
      <c r="H2017" s="1">
        <v>337.0</v>
      </c>
      <c r="I2017" s="1" t="s">
        <v>16</v>
      </c>
      <c r="J2017" s="1">
        <v>2.0E7</v>
      </c>
      <c r="K2017" s="1">
        <v>2007.0</v>
      </c>
      <c r="L2017" s="1">
        <v>5.9</v>
      </c>
      <c r="O2017" s="3"/>
      <c r="S2017" s="4"/>
    </row>
    <row r="2018" ht="14.25" customHeight="1">
      <c r="A2018" s="1" t="s">
        <v>4177</v>
      </c>
      <c r="B2018" s="1">
        <v>77.0</v>
      </c>
      <c r="C2018" s="1">
        <v>4.5542421E7</v>
      </c>
      <c r="D2018" s="1" t="s">
        <v>4178</v>
      </c>
      <c r="E2018" s="1" t="s">
        <v>4179</v>
      </c>
      <c r="F2018" s="1" t="s">
        <v>4180</v>
      </c>
      <c r="G2018" s="1">
        <v>13319.0</v>
      </c>
      <c r="H2018" s="1">
        <v>53.0</v>
      </c>
      <c r="I2018" s="1" t="s">
        <v>16</v>
      </c>
      <c r="J2018" s="1">
        <v>3.0E7</v>
      </c>
      <c r="K2018" s="1">
        <v>2000.0</v>
      </c>
      <c r="L2018" s="1">
        <v>6.3</v>
      </c>
      <c r="O2018" s="3"/>
      <c r="S2018" s="4"/>
    </row>
    <row r="2019" ht="14.25" customHeight="1">
      <c r="A2019" s="1" t="s">
        <v>3112</v>
      </c>
      <c r="B2019" s="1">
        <v>111.0</v>
      </c>
      <c r="C2019" s="1">
        <v>4.2652003E7</v>
      </c>
      <c r="D2019" s="1" t="s">
        <v>3651</v>
      </c>
      <c r="E2019" s="1" t="s">
        <v>2747</v>
      </c>
      <c r="F2019" s="1" t="s">
        <v>4181</v>
      </c>
      <c r="G2019" s="1">
        <v>18915.0</v>
      </c>
      <c r="H2019" s="1">
        <v>87.0</v>
      </c>
      <c r="I2019" s="1" t="s">
        <v>16</v>
      </c>
      <c r="J2019" s="1">
        <v>2.0E7</v>
      </c>
      <c r="K2019" s="1">
        <v>2015.0</v>
      </c>
      <c r="L2019" s="1">
        <v>6.8</v>
      </c>
      <c r="O2019" s="3"/>
      <c r="S2019" s="4"/>
    </row>
    <row r="2020" ht="14.25" customHeight="1">
      <c r="A2020" s="1" t="s">
        <v>3312</v>
      </c>
      <c r="B2020" s="1">
        <v>93.0</v>
      </c>
      <c r="C2020" s="1">
        <v>3.9737645E7</v>
      </c>
      <c r="D2020" s="1" t="s">
        <v>1720</v>
      </c>
      <c r="E2020" s="1" t="s">
        <v>1882</v>
      </c>
      <c r="F2020" s="1" t="s">
        <v>4182</v>
      </c>
      <c r="G2020" s="1">
        <v>89687.0</v>
      </c>
      <c r="H2020" s="1">
        <v>666.0</v>
      </c>
      <c r="I2020" s="1" t="s">
        <v>16</v>
      </c>
      <c r="J2020" s="1">
        <v>2.0E7</v>
      </c>
      <c r="K2020" s="1">
        <v>2007.0</v>
      </c>
      <c r="L2020" s="1">
        <v>2.3</v>
      </c>
      <c r="O2020" s="3"/>
      <c r="S2020" s="4"/>
    </row>
    <row r="2021" ht="14.25" customHeight="1">
      <c r="A2021" s="1" t="s">
        <v>963</v>
      </c>
      <c r="B2021" s="1">
        <v>129.0</v>
      </c>
      <c r="C2021" s="1">
        <v>3.756744E7</v>
      </c>
      <c r="D2021" s="1" t="s">
        <v>74</v>
      </c>
      <c r="E2021" s="1" t="s">
        <v>964</v>
      </c>
      <c r="F2021" s="1" t="s">
        <v>965</v>
      </c>
      <c r="G2021" s="1">
        <v>113068.0</v>
      </c>
      <c r="H2021" s="1">
        <v>337.0</v>
      </c>
      <c r="I2021" s="1" t="s">
        <v>16</v>
      </c>
      <c r="J2021" s="1">
        <v>2.0E7</v>
      </c>
      <c r="K2021" s="1">
        <v>1982.0</v>
      </c>
      <c r="L2021" s="1">
        <v>6.9</v>
      </c>
      <c r="O2021" s="3"/>
      <c r="S2021" s="4"/>
    </row>
    <row r="2022" ht="14.25" customHeight="1">
      <c r="A2022" s="1" t="s">
        <v>4183</v>
      </c>
      <c r="B2022" s="1">
        <v>128.0</v>
      </c>
      <c r="C2022" s="1">
        <v>4.498818E7</v>
      </c>
      <c r="D2022" s="1" t="s">
        <v>4184</v>
      </c>
      <c r="E2022" s="1" t="s">
        <v>4185</v>
      </c>
      <c r="F2022" s="1" t="s">
        <v>4186</v>
      </c>
      <c r="G2022" s="1">
        <v>195333.0</v>
      </c>
      <c r="H2022" s="1">
        <v>409.0</v>
      </c>
      <c r="I2022" s="1" t="s">
        <v>16</v>
      </c>
      <c r="J2022" s="1">
        <v>2.0E7</v>
      </c>
      <c r="K2022" s="1">
        <v>2015.0</v>
      </c>
      <c r="L2022" s="1">
        <v>8.1</v>
      </c>
      <c r="O2022" s="3"/>
      <c r="S2022" s="4"/>
    </row>
    <row r="2023" ht="14.25" customHeight="1">
      <c r="A2023" s="1" t="s">
        <v>3926</v>
      </c>
      <c r="B2023" s="1">
        <v>110.0</v>
      </c>
      <c r="C2023" s="1">
        <v>3.9263506E7</v>
      </c>
      <c r="D2023" s="1" t="s">
        <v>901</v>
      </c>
      <c r="E2023" s="1" t="s">
        <v>2747</v>
      </c>
      <c r="F2023" s="1" t="s">
        <v>4187</v>
      </c>
      <c r="G2023" s="1">
        <v>40469.0</v>
      </c>
      <c r="H2023" s="1">
        <v>135.0</v>
      </c>
      <c r="I2023" s="1" t="s">
        <v>16</v>
      </c>
      <c r="J2023" s="1">
        <v>2.2E7</v>
      </c>
      <c r="K2023" s="1">
        <v>2008.0</v>
      </c>
      <c r="L2023" s="1">
        <v>6.1</v>
      </c>
      <c r="O2023" s="3"/>
      <c r="S2023" s="4"/>
    </row>
    <row r="2024" ht="14.25" customHeight="1">
      <c r="A2024" s="1" t="s">
        <v>4188</v>
      </c>
      <c r="B2024" s="1">
        <v>137.0</v>
      </c>
      <c r="C2024" s="1">
        <v>3.9143839E7</v>
      </c>
      <c r="D2024" s="1" t="s">
        <v>2657</v>
      </c>
      <c r="E2024" s="1" t="s">
        <v>1041</v>
      </c>
      <c r="F2024" s="1" t="s">
        <v>4189</v>
      </c>
      <c r="G2024" s="1">
        <v>38658.0</v>
      </c>
      <c r="H2024" s="1">
        <v>284.0</v>
      </c>
      <c r="I2024" s="1" t="s">
        <v>16</v>
      </c>
      <c r="J2024" s="1">
        <v>2.0E7</v>
      </c>
      <c r="K2024" s="1">
        <v>2006.0</v>
      </c>
      <c r="L2024" s="1">
        <v>5.0</v>
      </c>
      <c r="O2024" s="3"/>
      <c r="S2024" s="4"/>
    </row>
    <row r="2025" ht="14.25" customHeight="1">
      <c r="A2025" s="1" t="s">
        <v>2904</v>
      </c>
      <c r="B2025" s="1">
        <v>124.0</v>
      </c>
      <c r="C2025" s="1">
        <v>3.767235E7</v>
      </c>
      <c r="D2025" s="1" t="s">
        <v>593</v>
      </c>
      <c r="E2025" s="1" t="s">
        <v>4190</v>
      </c>
      <c r="F2025" s="1" t="s">
        <v>4191</v>
      </c>
      <c r="G2025" s="1">
        <v>5427.0</v>
      </c>
      <c r="H2025" s="1">
        <v>51.0</v>
      </c>
      <c r="I2025" s="1" t="s">
        <v>16</v>
      </c>
      <c r="J2025" s="1">
        <v>2.0E7</v>
      </c>
      <c r="K2025" s="1">
        <v>1998.0</v>
      </c>
      <c r="L2025" s="1">
        <v>5.5</v>
      </c>
      <c r="O2025" s="3"/>
      <c r="S2025" s="4"/>
    </row>
    <row r="2026" ht="14.25" customHeight="1">
      <c r="A2026" s="1" t="s">
        <v>2059</v>
      </c>
      <c r="B2026" s="1">
        <v>93.0</v>
      </c>
      <c r="C2026" s="1">
        <v>3.8037513E7</v>
      </c>
      <c r="D2026" s="1" t="s">
        <v>4192</v>
      </c>
      <c r="E2026" s="1" t="s">
        <v>252</v>
      </c>
      <c r="F2026" s="1" t="s">
        <v>4193</v>
      </c>
      <c r="G2026" s="1">
        <v>49680.0</v>
      </c>
      <c r="H2026" s="1">
        <v>117.0</v>
      </c>
      <c r="I2026" s="1" t="s">
        <v>16</v>
      </c>
      <c r="J2026" s="1">
        <v>2.0E7</v>
      </c>
      <c r="K2026" s="1">
        <v>1991.0</v>
      </c>
      <c r="L2026" s="1">
        <v>6.2</v>
      </c>
      <c r="O2026" s="3"/>
      <c r="S2026" s="4"/>
    </row>
    <row r="2027" ht="14.25" customHeight="1">
      <c r="A2027" s="1" t="s">
        <v>1274</v>
      </c>
      <c r="B2027" s="1">
        <v>115.0</v>
      </c>
      <c r="C2027" s="1">
        <v>3.744218E7</v>
      </c>
      <c r="D2027" s="1" t="s">
        <v>3802</v>
      </c>
      <c r="E2027" s="1" t="s">
        <v>346</v>
      </c>
      <c r="F2027" s="1" t="s">
        <v>4194</v>
      </c>
      <c r="G2027" s="1">
        <v>28005.0</v>
      </c>
      <c r="H2027" s="1">
        <v>236.0</v>
      </c>
      <c r="I2027" s="1" t="s">
        <v>16</v>
      </c>
      <c r="J2027" s="1">
        <v>2.0E7</v>
      </c>
      <c r="K2027" s="1">
        <v>2006.0</v>
      </c>
      <c r="L2027" s="1">
        <v>6.2</v>
      </c>
      <c r="O2027" s="3"/>
      <c r="S2027" s="4"/>
    </row>
    <row r="2028" ht="14.25" customHeight="1">
      <c r="A2028" s="1" t="s">
        <v>4195</v>
      </c>
      <c r="B2028" s="1">
        <v>105.0</v>
      </c>
      <c r="C2028" s="1">
        <v>3.5596227E7</v>
      </c>
      <c r="D2028" s="1" t="s">
        <v>901</v>
      </c>
      <c r="E2028" s="1" t="s">
        <v>4196</v>
      </c>
      <c r="F2028" s="1" t="s">
        <v>4197</v>
      </c>
      <c r="G2028" s="1">
        <v>79461.0</v>
      </c>
      <c r="H2028" s="1">
        <v>463.0</v>
      </c>
      <c r="I2028" s="1" t="s">
        <v>16</v>
      </c>
      <c r="J2028" s="1">
        <v>2.0E7</v>
      </c>
      <c r="K2028" s="1">
        <v>2010.0</v>
      </c>
      <c r="L2028" s="1">
        <v>6.3</v>
      </c>
      <c r="O2028" s="3"/>
      <c r="S2028" s="4"/>
    </row>
    <row r="2029" ht="14.25" customHeight="1">
      <c r="A2029" s="1" t="s">
        <v>4198</v>
      </c>
      <c r="B2029" s="1">
        <v>127.0</v>
      </c>
      <c r="C2029" s="1">
        <v>3.5422828E7</v>
      </c>
      <c r="D2029" s="1" t="s">
        <v>1749</v>
      </c>
      <c r="E2029" s="1" t="s">
        <v>4199</v>
      </c>
      <c r="F2029" s="1" t="s">
        <v>4200</v>
      </c>
      <c r="G2029" s="1">
        <v>19126.0</v>
      </c>
      <c r="H2029" s="1">
        <v>155.0</v>
      </c>
      <c r="I2029" s="1" t="s">
        <v>16</v>
      </c>
      <c r="J2029" s="1">
        <v>2.0E7</v>
      </c>
      <c r="K2029" s="1">
        <v>1997.0</v>
      </c>
      <c r="L2029" s="1">
        <v>6.7</v>
      </c>
      <c r="O2029" s="3"/>
      <c r="S2029" s="4"/>
    </row>
    <row r="2030" ht="14.25" customHeight="1">
      <c r="A2030" s="1" t="s">
        <v>3312</v>
      </c>
      <c r="B2030" s="1">
        <v>82.0</v>
      </c>
      <c r="C2030" s="1">
        <v>3.6658108E7</v>
      </c>
      <c r="D2030" s="1" t="s">
        <v>828</v>
      </c>
      <c r="E2030" s="1" t="s">
        <v>4201</v>
      </c>
      <c r="F2030" s="1" t="s">
        <v>4202</v>
      </c>
      <c r="G2030" s="1">
        <v>39095.0</v>
      </c>
      <c r="H2030" s="1">
        <v>187.0</v>
      </c>
      <c r="I2030" s="1" t="s">
        <v>16</v>
      </c>
      <c r="J2030" s="1">
        <v>2.0E7</v>
      </c>
      <c r="K2030" s="1">
        <v>2010.0</v>
      </c>
      <c r="L2030" s="1">
        <v>3.5</v>
      </c>
      <c r="O2030" s="3"/>
      <c r="S2030" s="4"/>
    </row>
    <row r="2031" ht="14.25" customHeight="1">
      <c r="A2031" s="1" t="s">
        <v>476</v>
      </c>
      <c r="B2031" s="1">
        <v>143.0</v>
      </c>
      <c r="C2031" s="1">
        <v>3.4300771E7</v>
      </c>
      <c r="D2031" s="1" t="s">
        <v>1391</v>
      </c>
      <c r="E2031" s="1" t="s">
        <v>293</v>
      </c>
      <c r="F2031" s="1" t="s">
        <v>4203</v>
      </c>
      <c r="G2031" s="1">
        <v>243799.0</v>
      </c>
      <c r="H2031" s="1">
        <v>908.0</v>
      </c>
      <c r="I2031" s="1" t="s">
        <v>16</v>
      </c>
      <c r="J2031" s="1">
        <v>2.5E7</v>
      </c>
      <c r="K2031" s="1">
        <v>2006.0</v>
      </c>
      <c r="L2031" s="1">
        <v>7.5</v>
      </c>
      <c r="O2031" s="3"/>
      <c r="S2031" s="4"/>
    </row>
    <row r="2032" ht="14.25" customHeight="1">
      <c r="A2032" s="1" t="s">
        <v>345</v>
      </c>
      <c r="B2032" s="1">
        <v>103.0</v>
      </c>
      <c r="C2032" s="1">
        <v>3.4290142E7</v>
      </c>
      <c r="D2032" s="1" t="s">
        <v>1059</v>
      </c>
      <c r="E2032" s="1" t="s">
        <v>3259</v>
      </c>
      <c r="F2032" s="1" t="s">
        <v>4204</v>
      </c>
      <c r="G2032" s="1">
        <v>54242.0</v>
      </c>
      <c r="H2032" s="1">
        <v>145.0</v>
      </c>
      <c r="I2032" s="1" t="s">
        <v>16</v>
      </c>
      <c r="J2032" s="1">
        <v>1.98E7</v>
      </c>
      <c r="K2032" s="1">
        <v>2014.0</v>
      </c>
      <c r="L2032" s="1">
        <v>6.6</v>
      </c>
      <c r="O2032" s="3"/>
      <c r="S2032" s="4"/>
    </row>
    <row r="2033" ht="14.25" customHeight="1">
      <c r="A2033" s="1" t="s">
        <v>4205</v>
      </c>
      <c r="B2033" s="1">
        <v>104.0</v>
      </c>
      <c r="C2033" s="1">
        <v>3.3422556E7</v>
      </c>
      <c r="D2033" s="1" t="s">
        <v>3192</v>
      </c>
      <c r="E2033" s="1" t="s">
        <v>390</v>
      </c>
      <c r="F2033" s="1" t="s">
        <v>4206</v>
      </c>
      <c r="G2033" s="1">
        <v>99236.0</v>
      </c>
      <c r="H2033" s="1">
        <v>321.0</v>
      </c>
      <c r="I2033" s="1" t="s">
        <v>16</v>
      </c>
      <c r="J2033" s="1">
        <v>2.0E7</v>
      </c>
      <c r="K2033" s="1">
        <v>2008.0</v>
      </c>
      <c r="L2033" s="1">
        <v>7.5</v>
      </c>
      <c r="O2033" s="3"/>
      <c r="S2033" s="4"/>
    </row>
    <row r="2034" ht="14.25" customHeight="1">
      <c r="A2034" s="1" t="s">
        <v>4084</v>
      </c>
      <c r="B2034" s="1">
        <v>98.0</v>
      </c>
      <c r="C2034" s="1">
        <v>3.2774834E7</v>
      </c>
      <c r="D2034" s="1" t="s">
        <v>907</v>
      </c>
      <c r="E2034" s="1" t="s">
        <v>4207</v>
      </c>
      <c r="F2034" s="1" t="s">
        <v>4208</v>
      </c>
      <c r="G2034" s="1">
        <v>136048.0</v>
      </c>
      <c r="H2034" s="1">
        <v>700.0</v>
      </c>
      <c r="I2034" s="1" t="s">
        <v>16</v>
      </c>
      <c r="J2034" s="1">
        <v>3.0E7</v>
      </c>
      <c r="K2034" s="1">
        <v>2004.0</v>
      </c>
      <c r="L2034" s="1">
        <v>7.2</v>
      </c>
      <c r="O2034" s="3"/>
      <c r="S2034" s="4"/>
    </row>
    <row r="2035" ht="14.25" customHeight="1">
      <c r="A2035" s="1" t="s">
        <v>3138</v>
      </c>
      <c r="B2035" s="1">
        <v>92.0</v>
      </c>
      <c r="C2035" s="1">
        <v>3.4334256E7</v>
      </c>
      <c r="D2035" s="1" t="s">
        <v>2657</v>
      </c>
      <c r="E2035" s="1" t="s">
        <v>4209</v>
      </c>
      <c r="F2035" s="1" t="s">
        <v>4210</v>
      </c>
      <c r="G2035" s="1">
        <v>35131.0</v>
      </c>
      <c r="H2035" s="1">
        <v>255.0</v>
      </c>
      <c r="I2035" s="1" t="s">
        <v>16</v>
      </c>
      <c r="J2035" s="1">
        <v>1.1E7</v>
      </c>
      <c r="K2035" s="1">
        <v>2013.0</v>
      </c>
      <c r="L2035" s="1">
        <v>4.8</v>
      </c>
      <c r="O2035" s="3"/>
      <c r="S2035" s="4"/>
    </row>
    <row r="2036" ht="14.25" customHeight="1">
      <c r="A2036" s="1" t="s">
        <v>1034</v>
      </c>
      <c r="B2036" s="1">
        <v>123.0</v>
      </c>
      <c r="C2036" s="1">
        <v>3.2051917E7</v>
      </c>
      <c r="D2036" s="1" t="s">
        <v>909</v>
      </c>
      <c r="E2036" s="1" t="s">
        <v>4211</v>
      </c>
      <c r="F2036" s="1" t="s">
        <v>4212</v>
      </c>
      <c r="G2036" s="1">
        <v>42315.0</v>
      </c>
      <c r="H2036" s="1">
        <v>140.0</v>
      </c>
      <c r="I2036" s="1" t="s">
        <v>16</v>
      </c>
      <c r="J2036" s="1">
        <v>2.0E7</v>
      </c>
      <c r="K2036" s="1">
        <v>1995.0</v>
      </c>
      <c r="L2036" s="1">
        <v>6.6</v>
      </c>
      <c r="O2036" s="3"/>
      <c r="S2036" s="4"/>
    </row>
    <row r="2037" ht="14.25" customHeight="1">
      <c r="A2037" s="1" t="s">
        <v>3550</v>
      </c>
      <c r="B2037" s="1">
        <v>88.0</v>
      </c>
      <c r="C2037" s="1">
        <v>3.2014289E7</v>
      </c>
      <c r="D2037" s="1" t="s">
        <v>828</v>
      </c>
      <c r="E2037" s="1" t="s">
        <v>4213</v>
      </c>
      <c r="F2037" s="1" t="s">
        <v>4214</v>
      </c>
      <c r="G2037" s="1">
        <v>50337.0</v>
      </c>
      <c r="H2037" s="1">
        <v>177.0</v>
      </c>
      <c r="I2037" s="1" t="s">
        <v>16</v>
      </c>
      <c r="J2037" s="1">
        <v>2.0E7</v>
      </c>
      <c r="K2037" s="1">
        <v>2013.0</v>
      </c>
      <c r="L2037" s="1">
        <v>3.5</v>
      </c>
      <c r="O2037" s="3"/>
      <c r="S2037" s="4"/>
    </row>
    <row r="2038" ht="14.25" customHeight="1">
      <c r="A2038" s="1" t="s">
        <v>2409</v>
      </c>
      <c r="B2038" s="1">
        <v>128.0</v>
      </c>
      <c r="C2038" s="1">
        <v>3.1838002E7</v>
      </c>
      <c r="D2038" s="1" t="s">
        <v>2369</v>
      </c>
      <c r="E2038" s="1" t="s">
        <v>861</v>
      </c>
      <c r="F2038" s="1" t="s">
        <v>4215</v>
      </c>
      <c r="G2038" s="1">
        <v>136673.0</v>
      </c>
      <c r="H2038" s="1">
        <v>281.0</v>
      </c>
      <c r="I2038" s="1" t="s">
        <v>16</v>
      </c>
      <c r="J2038" s="1">
        <v>2.0E7</v>
      </c>
      <c r="K2038" s="1">
        <v>2008.0</v>
      </c>
      <c r="L2038" s="1">
        <v>7.6</v>
      </c>
      <c r="O2038" s="3"/>
      <c r="S2038" s="4"/>
    </row>
    <row r="2039" ht="14.25" customHeight="1">
      <c r="A2039" s="1" t="s">
        <v>228</v>
      </c>
      <c r="B2039" s="1">
        <v>107.0</v>
      </c>
      <c r="C2039" s="1">
        <v>3.6874745E7</v>
      </c>
      <c r="D2039" s="1" t="s">
        <v>4216</v>
      </c>
      <c r="E2039" s="1" t="s">
        <v>4217</v>
      </c>
      <c r="F2039" s="1" t="s">
        <v>4218</v>
      </c>
      <c r="G2039" s="1">
        <v>12276.0</v>
      </c>
      <c r="H2039" s="1">
        <v>117.0</v>
      </c>
      <c r="I2039" s="1" t="s">
        <v>16</v>
      </c>
      <c r="J2039" s="1">
        <v>2.0E7</v>
      </c>
      <c r="K2039" s="1">
        <v>2016.0</v>
      </c>
      <c r="L2039" s="1">
        <v>6.3</v>
      </c>
      <c r="O2039" s="3"/>
      <c r="S2039" s="4"/>
    </row>
    <row r="2040" ht="14.25" customHeight="1">
      <c r="A2040" s="1" t="s">
        <v>4219</v>
      </c>
      <c r="B2040" s="1">
        <v>91.0</v>
      </c>
      <c r="C2040" s="1">
        <v>3.0079316E7</v>
      </c>
      <c r="D2040" s="1" t="s">
        <v>2551</v>
      </c>
      <c r="E2040" s="1" t="s">
        <v>4220</v>
      </c>
      <c r="F2040" s="1" t="s">
        <v>4221</v>
      </c>
      <c r="G2040" s="1">
        <v>75920.0</v>
      </c>
      <c r="H2040" s="1">
        <v>474.0</v>
      </c>
      <c r="I2040" s="1" t="s">
        <v>16</v>
      </c>
      <c r="J2040" s="1">
        <v>3.5E7</v>
      </c>
      <c r="K2040" s="1">
        <v>2002.0</v>
      </c>
      <c r="L2040" s="1">
        <v>5.5</v>
      </c>
      <c r="O2040" s="3"/>
      <c r="S2040" s="4"/>
    </row>
    <row r="2041" ht="14.25" customHeight="1">
      <c r="A2041" s="1" t="s">
        <v>4222</v>
      </c>
      <c r="B2041" s="1">
        <v>90.0</v>
      </c>
      <c r="C2041" s="1">
        <v>3.5033759E7</v>
      </c>
      <c r="D2041" s="1" t="s">
        <v>1720</v>
      </c>
      <c r="E2041" s="1" t="s">
        <v>2837</v>
      </c>
      <c r="F2041" s="1" t="s">
        <v>4223</v>
      </c>
      <c r="G2041" s="1">
        <v>55008.0</v>
      </c>
      <c r="H2041" s="1">
        <v>93.0</v>
      </c>
      <c r="I2041" s="1" t="s">
        <v>16</v>
      </c>
      <c r="J2041" s="1">
        <v>1.9E7</v>
      </c>
      <c r="K2041" s="1">
        <v>2011.0</v>
      </c>
      <c r="L2041" s="1">
        <v>6.3</v>
      </c>
      <c r="O2041" s="3"/>
      <c r="S2041" s="4"/>
    </row>
    <row r="2042" ht="14.25" customHeight="1">
      <c r="A2042" s="1" t="s">
        <v>4224</v>
      </c>
      <c r="B2042" s="1">
        <v>115.0</v>
      </c>
      <c r="C2042" s="1">
        <v>2.9753944E7</v>
      </c>
      <c r="D2042" s="1" t="s">
        <v>909</v>
      </c>
      <c r="E2042" s="1" t="s">
        <v>899</v>
      </c>
      <c r="F2042" s="1" t="s">
        <v>4225</v>
      </c>
      <c r="G2042" s="1">
        <v>90677.0</v>
      </c>
      <c r="H2042" s="1">
        <v>389.0</v>
      </c>
      <c r="I2042" s="1" t="s">
        <v>16</v>
      </c>
      <c r="J2042" s="1">
        <v>2.0E7</v>
      </c>
      <c r="K2042" s="1">
        <v>1998.0</v>
      </c>
      <c r="L2042" s="1">
        <v>6.5</v>
      </c>
      <c r="O2042" s="3"/>
      <c r="S2042" s="4"/>
    </row>
    <row r="2043" ht="14.25" customHeight="1">
      <c r="A2043" s="1" t="s">
        <v>1841</v>
      </c>
      <c r="B2043" s="1">
        <v>113.0</v>
      </c>
      <c r="C2043" s="1">
        <v>3.114657E7</v>
      </c>
      <c r="D2043" s="1" t="s">
        <v>1654</v>
      </c>
      <c r="E2043" s="1" t="s">
        <v>1907</v>
      </c>
      <c r="F2043" s="1" t="s">
        <v>4226</v>
      </c>
      <c r="G2043" s="1">
        <v>55441.0</v>
      </c>
      <c r="H2043" s="1">
        <v>165.0</v>
      </c>
      <c r="I2043" s="1" t="s">
        <v>16</v>
      </c>
      <c r="J2043" s="1">
        <v>2.0E7</v>
      </c>
      <c r="K2043" s="1">
        <v>2010.0</v>
      </c>
      <c r="L2043" s="1">
        <v>6.9</v>
      </c>
      <c r="O2043" s="3"/>
      <c r="S2043" s="4"/>
    </row>
    <row r="2044" ht="14.25" customHeight="1">
      <c r="A2044" s="1" t="s">
        <v>2251</v>
      </c>
      <c r="B2044" s="1">
        <v>113.0</v>
      </c>
      <c r="C2044" s="1">
        <v>2.7277055E7</v>
      </c>
      <c r="D2044" s="1" t="s">
        <v>2304</v>
      </c>
      <c r="E2044" s="1" t="s">
        <v>3003</v>
      </c>
      <c r="F2044" s="1" t="s">
        <v>4227</v>
      </c>
      <c r="G2044" s="1">
        <v>143137.0</v>
      </c>
      <c r="H2044" s="1">
        <v>602.0</v>
      </c>
      <c r="I2044" s="1" t="s">
        <v>16</v>
      </c>
      <c r="J2044" s="1">
        <v>2.0E7</v>
      </c>
      <c r="K2044" s="1">
        <v>2000.0</v>
      </c>
      <c r="L2044" s="1">
        <v>7.6</v>
      </c>
      <c r="O2044" s="3"/>
      <c r="S2044" s="4"/>
    </row>
    <row r="2045" ht="14.25" customHeight="1">
      <c r="A2045" s="1" t="s">
        <v>4228</v>
      </c>
      <c r="B2045" s="1">
        <v>87.0</v>
      </c>
      <c r="C2045" s="1">
        <v>2.6876529E7</v>
      </c>
      <c r="D2045" s="1" t="s">
        <v>2512</v>
      </c>
      <c r="E2045" s="1" t="s">
        <v>4229</v>
      </c>
      <c r="F2045" s="1" t="s">
        <v>4230</v>
      </c>
      <c r="G2045" s="1">
        <v>26624.0</v>
      </c>
      <c r="H2045" s="1">
        <v>189.0</v>
      </c>
      <c r="I2045" s="1" t="s">
        <v>16</v>
      </c>
      <c r="J2045" s="1">
        <v>2.7E7</v>
      </c>
      <c r="K2045" s="1">
        <v>2008.0</v>
      </c>
      <c r="L2045" s="1">
        <v>3.9</v>
      </c>
      <c r="O2045" s="3"/>
      <c r="S2045" s="4"/>
    </row>
    <row r="2046" ht="14.25" customHeight="1">
      <c r="A2046" s="1" t="s">
        <v>3824</v>
      </c>
      <c r="B2046" s="1">
        <v>101.0</v>
      </c>
      <c r="C2046" s="1">
        <v>5.3146E7</v>
      </c>
      <c r="D2046" s="1" t="s">
        <v>901</v>
      </c>
      <c r="E2046" s="1" t="s">
        <v>134</v>
      </c>
      <c r="F2046" s="1" t="s">
        <v>4231</v>
      </c>
      <c r="G2046" s="1">
        <v>9845.0</v>
      </c>
      <c r="H2046" s="1">
        <v>77.0</v>
      </c>
      <c r="I2046" s="1" t="s">
        <v>16</v>
      </c>
      <c r="J2046" s="1">
        <v>2.0E7</v>
      </c>
      <c r="K2046" s="1">
        <v>1996.0</v>
      </c>
      <c r="L2046" s="1">
        <v>6.1</v>
      </c>
      <c r="O2046" s="3"/>
      <c r="S2046" s="4"/>
    </row>
    <row r="2047" ht="14.25" customHeight="1">
      <c r="A2047" s="1" t="s">
        <v>620</v>
      </c>
      <c r="B2047" s="1">
        <v>111.0</v>
      </c>
      <c r="C2047" s="1">
        <v>3.0028592E7</v>
      </c>
      <c r="D2047" s="1" t="s">
        <v>2126</v>
      </c>
      <c r="E2047" s="1" t="s">
        <v>147</v>
      </c>
      <c r="F2047" s="1" t="s">
        <v>4232</v>
      </c>
      <c r="G2047" s="1">
        <v>152247.0</v>
      </c>
      <c r="H2047" s="1">
        <v>189.0</v>
      </c>
      <c r="I2047" s="1" t="s">
        <v>16</v>
      </c>
      <c r="J2047" s="1">
        <v>2.0E7</v>
      </c>
      <c r="K2047" s="1">
        <v>2008.0</v>
      </c>
      <c r="L2047" s="1">
        <v>7.3</v>
      </c>
      <c r="O2047" s="3"/>
      <c r="S2047" s="4"/>
    </row>
    <row r="2048" ht="14.25" customHeight="1">
      <c r="A2048" s="1" t="s">
        <v>650</v>
      </c>
      <c r="B2048" s="1">
        <v>108.0</v>
      </c>
      <c r="C2048" s="1">
        <v>3.4126138E7</v>
      </c>
      <c r="D2048" s="1" t="s">
        <v>2759</v>
      </c>
      <c r="E2048" s="1" t="s">
        <v>644</v>
      </c>
      <c r="F2048" s="1" t="s">
        <v>4233</v>
      </c>
      <c r="G2048" s="1">
        <v>666937.0</v>
      </c>
      <c r="H2048" s="1">
        <v>1514.0</v>
      </c>
      <c r="I2048" s="1" t="s">
        <v>16</v>
      </c>
      <c r="J2048" s="1">
        <v>2.0E7</v>
      </c>
      <c r="K2048" s="1">
        <v>2004.0</v>
      </c>
      <c r="L2048" s="1">
        <v>8.3</v>
      </c>
      <c r="O2048" s="3"/>
      <c r="S2048" s="4"/>
    </row>
    <row r="2049" ht="14.25" customHeight="1">
      <c r="A2049" s="1" t="s">
        <v>2068</v>
      </c>
      <c r="B2049" s="1">
        <v>105.0</v>
      </c>
      <c r="C2049" s="1">
        <v>2.5677801E7</v>
      </c>
      <c r="D2049" s="1" t="s">
        <v>1125</v>
      </c>
      <c r="E2049" s="1" t="s">
        <v>720</v>
      </c>
      <c r="F2049" s="1" t="s">
        <v>4234</v>
      </c>
      <c r="G2049" s="1">
        <v>41273.0</v>
      </c>
      <c r="H2049" s="1">
        <v>136.0</v>
      </c>
      <c r="I2049" s="1" t="s">
        <v>16</v>
      </c>
      <c r="J2049" s="1">
        <v>2.0E7</v>
      </c>
      <c r="K2049" s="1">
        <v>2010.0</v>
      </c>
      <c r="L2049" s="1">
        <v>5.8</v>
      </c>
      <c r="O2049" s="3"/>
      <c r="S2049" s="4"/>
    </row>
    <row r="2050" ht="14.25" customHeight="1">
      <c r="A2050" s="1" t="s">
        <v>218</v>
      </c>
      <c r="B2050" s="1">
        <v>109.0</v>
      </c>
      <c r="C2050" s="1">
        <v>2.6415649E7</v>
      </c>
      <c r="D2050" s="1" t="s">
        <v>197</v>
      </c>
      <c r="E2050" s="1" t="s">
        <v>252</v>
      </c>
      <c r="F2050" s="1" t="s">
        <v>4235</v>
      </c>
      <c r="G2050" s="1">
        <v>94892.0</v>
      </c>
      <c r="H2050" s="1">
        <v>189.0</v>
      </c>
      <c r="I2050" s="1" t="s">
        <v>16</v>
      </c>
      <c r="J2050" s="1">
        <v>2.0E7</v>
      </c>
      <c r="K2050" s="1">
        <v>2008.0</v>
      </c>
      <c r="L2050" s="1">
        <v>6.8</v>
      </c>
      <c r="O2050" s="3"/>
      <c r="S2050" s="4"/>
    </row>
    <row r="2051" ht="14.25" customHeight="1">
      <c r="A2051" s="1" t="s">
        <v>1030</v>
      </c>
      <c r="B2051" s="1">
        <v>109.0</v>
      </c>
      <c r="C2051" s="1">
        <v>2.6003149E7</v>
      </c>
      <c r="D2051" s="1" t="s">
        <v>797</v>
      </c>
      <c r="E2051" s="1" t="s">
        <v>1563</v>
      </c>
      <c r="F2051" s="1" t="s">
        <v>4236</v>
      </c>
      <c r="G2051" s="1">
        <v>185587.0</v>
      </c>
      <c r="H2051" s="1">
        <v>401.0</v>
      </c>
      <c r="I2051" s="1" t="s">
        <v>16</v>
      </c>
      <c r="J2051" s="1">
        <v>2.0E7</v>
      </c>
      <c r="K2051" s="1">
        <v>2013.0</v>
      </c>
      <c r="L2051" s="1">
        <v>7.0</v>
      </c>
      <c r="O2051" s="3"/>
      <c r="S2051" s="4"/>
    </row>
    <row r="2052" ht="14.25" customHeight="1">
      <c r="A2052" s="1" t="s">
        <v>4237</v>
      </c>
      <c r="B2052" s="1">
        <v>99.0</v>
      </c>
      <c r="C2052" s="1">
        <v>2.5584685E7</v>
      </c>
      <c r="D2052" s="1" t="s">
        <v>4238</v>
      </c>
      <c r="E2052" s="1" t="s">
        <v>4239</v>
      </c>
      <c r="F2052" s="1" t="s">
        <v>4240</v>
      </c>
      <c r="G2052" s="1">
        <v>15877.0</v>
      </c>
      <c r="H2052" s="1">
        <v>102.0</v>
      </c>
      <c r="I2052" s="1" t="s">
        <v>16</v>
      </c>
      <c r="J2052" s="1">
        <v>2.0E7</v>
      </c>
      <c r="K2052" s="1">
        <v>2007.0</v>
      </c>
      <c r="L2052" s="1">
        <v>5.9</v>
      </c>
      <c r="O2052" s="3"/>
      <c r="S2052" s="4"/>
    </row>
    <row r="2053" ht="14.25" customHeight="1">
      <c r="A2053" s="1" t="s">
        <v>4241</v>
      </c>
      <c r="B2053" s="1">
        <v>98.0</v>
      </c>
      <c r="C2053" s="1">
        <v>2.9975979E7</v>
      </c>
      <c r="D2053" s="1" t="s">
        <v>934</v>
      </c>
      <c r="E2053" s="1" t="s">
        <v>4242</v>
      </c>
      <c r="F2053" s="1" t="s">
        <v>4243</v>
      </c>
      <c r="G2053" s="1">
        <v>105797.0</v>
      </c>
      <c r="H2053" s="1">
        <v>281.0</v>
      </c>
      <c r="I2053" s="1" t="s">
        <v>16</v>
      </c>
      <c r="J2053" s="1">
        <v>2.0E7</v>
      </c>
      <c r="K2053" s="1">
        <v>2009.0</v>
      </c>
      <c r="L2053" s="1">
        <v>6.5</v>
      </c>
      <c r="O2053" s="3"/>
      <c r="S2053" s="4"/>
    </row>
    <row r="2054" ht="14.25" customHeight="1">
      <c r="A2054" s="1" t="s">
        <v>4244</v>
      </c>
      <c r="B2054" s="1">
        <v>104.0</v>
      </c>
      <c r="C2054" s="1">
        <v>3.1584722E7</v>
      </c>
      <c r="D2054" s="1" t="s">
        <v>699</v>
      </c>
      <c r="E2054" s="1" t="s">
        <v>3679</v>
      </c>
      <c r="F2054" s="1" t="s">
        <v>4245</v>
      </c>
      <c r="G2054" s="1">
        <v>101730.0</v>
      </c>
      <c r="H2054" s="1">
        <v>131.0</v>
      </c>
      <c r="I2054" s="1" t="s">
        <v>16</v>
      </c>
      <c r="J2054" s="1">
        <v>2.0E7</v>
      </c>
      <c r="K2054" s="1">
        <v>2010.0</v>
      </c>
      <c r="L2054" s="1">
        <v>6.4</v>
      </c>
      <c r="O2054" s="3"/>
      <c r="S2054" s="4"/>
    </row>
    <row r="2055" ht="14.25" customHeight="1">
      <c r="A2055" s="1" t="s">
        <v>4246</v>
      </c>
      <c r="B2055" s="1">
        <v>109.0</v>
      </c>
      <c r="C2055" s="1">
        <v>2.3179303E7</v>
      </c>
      <c r="D2055" s="1" t="s">
        <v>3809</v>
      </c>
      <c r="E2055" s="1" t="s">
        <v>4247</v>
      </c>
      <c r="F2055" s="1" t="s">
        <v>4248</v>
      </c>
      <c r="G2055" s="1">
        <v>32951.0</v>
      </c>
      <c r="H2055" s="1">
        <v>44.0</v>
      </c>
      <c r="I2055" s="1" t="s">
        <v>16</v>
      </c>
      <c r="J2055" s="1">
        <v>2.0E7</v>
      </c>
      <c r="K2055" s="1">
        <v>2011.0</v>
      </c>
      <c r="L2055" s="1">
        <v>5.8</v>
      </c>
      <c r="O2055" s="3"/>
      <c r="S2055" s="4"/>
    </row>
    <row r="2056" ht="14.25" customHeight="1">
      <c r="A2056" s="1" t="s">
        <v>4249</v>
      </c>
      <c r="B2056" s="1">
        <v>75.0</v>
      </c>
      <c r="C2056" s="1">
        <v>2.3078294E7</v>
      </c>
      <c r="D2056" s="1" t="s">
        <v>2657</v>
      </c>
      <c r="E2056" s="1" t="s">
        <v>1177</v>
      </c>
      <c r="F2056" s="1" t="s">
        <v>4250</v>
      </c>
      <c r="G2056" s="1">
        <v>25870.0</v>
      </c>
      <c r="H2056" s="1">
        <v>281.0</v>
      </c>
      <c r="I2056" s="1" t="s">
        <v>16</v>
      </c>
      <c r="J2056" s="1">
        <v>9000000.0</v>
      </c>
      <c r="K2056" s="1">
        <v>2006.0</v>
      </c>
      <c r="L2056" s="1">
        <v>5.1</v>
      </c>
      <c r="O2056" s="3"/>
      <c r="S2056" s="4"/>
    </row>
    <row r="2057" ht="14.25" customHeight="1">
      <c r="A2057" s="1" t="s">
        <v>2365</v>
      </c>
      <c r="B2057" s="1">
        <v>119.0</v>
      </c>
      <c r="C2057" s="1">
        <v>2.1413105E7</v>
      </c>
      <c r="D2057" s="1" t="s">
        <v>4251</v>
      </c>
      <c r="E2057" s="1" t="s">
        <v>46</v>
      </c>
      <c r="F2057" s="1" t="s">
        <v>4252</v>
      </c>
      <c r="G2057" s="1">
        <v>15230.0</v>
      </c>
      <c r="H2057" s="1">
        <v>97.0</v>
      </c>
      <c r="I2057" s="1" t="s">
        <v>16</v>
      </c>
      <c r="J2057" s="1">
        <v>2.0E7</v>
      </c>
      <c r="K2057" s="1">
        <v>1990.0</v>
      </c>
      <c r="L2057" s="1">
        <v>6.8</v>
      </c>
      <c r="O2057" s="3"/>
      <c r="S2057" s="4"/>
    </row>
    <row r="2058" ht="14.25" customHeight="1">
      <c r="A2058" s="1" t="s">
        <v>4253</v>
      </c>
      <c r="B2058" s="1">
        <v>90.0</v>
      </c>
      <c r="C2058" s="1">
        <v>2.5077977E7</v>
      </c>
      <c r="D2058" s="1" t="s">
        <v>837</v>
      </c>
      <c r="E2058" s="1" t="s">
        <v>4254</v>
      </c>
      <c r="F2058" s="1" t="s">
        <v>4255</v>
      </c>
      <c r="G2058" s="1">
        <v>10986.0</v>
      </c>
      <c r="H2058" s="1">
        <v>84.0</v>
      </c>
      <c r="I2058" s="1" t="s">
        <v>16</v>
      </c>
      <c r="J2058" s="1">
        <v>2.0E7</v>
      </c>
      <c r="K2058" s="1">
        <v>2010.0</v>
      </c>
      <c r="L2058" s="1">
        <v>5.3</v>
      </c>
      <c r="O2058" s="3"/>
      <c r="S2058" s="4"/>
    </row>
    <row r="2059" ht="14.25" customHeight="1">
      <c r="A2059" s="1" t="s">
        <v>875</v>
      </c>
      <c r="B2059" s="1">
        <v>97.0</v>
      </c>
      <c r="C2059" s="1">
        <v>2.3292105E7</v>
      </c>
      <c r="D2059" s="1" t="s">
        <v>3506</v>
      </c>
      <c r="E2059" s="1" t="s">
        <v>3822</v>
      </c>
      <c r="F2059" s="1" t="s">
        <v>4256</v>
      </c>
      <c r="G2059" s="1">
        <v>39541.0</v>
      </c>
      <c r="H2059" s="1">
        <v>334.0</v>
      </c>
      <c r="I2059" s="1" t="s">
        <v>16</v>
      </c>
      <c r="J2059" s="1">
        <v>2.0E7</v>
      </c>
      <c r="K2059" s="1">
        <v>2006.0</v>
      </c>
      <c r="L2059" s="1">
        <v>5.3</v>
      </c>
      <c r="O2059" s="3"/>
      <c r="S2059" s="4"/>
    </row>
    <row r="2060" ht="14.25" customHeight="1">
      <c r="A2060" s="1" t="s">
        <v>1980</v>
      </c>
      <c r="B2060" s="1">
        <v>89.0</v>
      </c>
      <c r="C2060" s="1">
        <v>2.0916309E7</v>
      </c>
      <c r="D2060" s="1" t="s">
        <v>222</v>
      </c>
      <c r="E2060" s="1" t="s">
        <v>223</v>
      </c>
      <c r="F2060" s="1" t="s">
        <v>4257</v>
      </c>
      <c r="G2060" s="1">
        <v>5332.0</v>
      </c>
      <c r="H2060" s="1">
        <v>37.0</v>
      </c>
      <c r="I2060" s="1" t="s">
        <v>16</v>
      </c>
      <c r="J2060" s="1">
        <v>4.0E7</v>
      </c>
      <c r="K2060" s="1">
        <v>2009.0</v>
      </c>
      <c r="L2060" s="1">
        <v>4.9</v>
      </c>
      <c r="O2060" s="3"/>
      <c r="S2060" s="4"/>
    </row>
    <row r="2061" ht="14.25" customHeight="1">
      <c r="A2061" s="1" t="s">
        <v>2409</v>
      </c>
      <c r="B2061" s="1">
        <v>106.0</v>
      </c>
      <c r="C2061" s="1">
        <v>2.12E7</v>
      </c>
      <c r="D2061" s="1" t="s">
        <v>3596</v>
      </c>
      <c r="E2061" s="1" t="s">
        <v>4258</v>
      </c>
      <c r="F2061" s="1" t="s">
        <v>4259</v>
      </c>
      <c r="G2061" s="1">
        <v>34774.0</v>
      </c>
      <c r="H2061" s="1">
        <v>162.0</v>
      </c>
      <c r="I2061" s="1" t="s">
        <v>16</v>
      </c>
      <c r="J2061" s="1">
        <v>2.0E7</v>
      </c>
      <c r="K2061" s="1">
        <v>1995.0</v>
      </c>
      <c r="L2061" s="1">
        <v>6.8</v>
      </c>
      <c r="O2061" s="3"/>
      <c r="S2061" s="4"/>
    </row>
    <row r="2062" ht="14.25" customHeight="1">
      <c r="A2062" s="1" t="s">
        <v>4260</v>
      </c>
      <c r="B2062" s="1">
        <v>96.0</v>
      </c>
      <c r="C2062" s="1">
        <v>2.8876924E7</v>
      </c>
      <c r="D2062" s="1" t="s">
        <v>4261</v>
      </c>
      <c r="E2062" s="1" t="s">
        <v>4262</v>
      </c>
      <c r="F2062" s="1" t="s">
        <v>4263</v>
      </c>
      <c r="G2062" s="1">
        <v>4303.0</v>
      </c>
      <c r="H2062" s="1">
        <v>35.0</v>
      </c>
      <c r="I2062" s="1" t="s">
        <v>16</v>
      </c>
      <c r="J2062" s="1">
        <v>2.0E7</v>
      </c>
      <c r="K2062" s="1">
        <v>2016.0</v>
      </c>
      <c r="L2062" s="1">
        <v>7.1</v>
      </c>
      <c r="O2062" s="3"/>
      <c r="S2062" s="4"/>
    </row>
    <row r="2063" ht="14.25" customHeight="1">
      <c r="A2063" s="1" t="s">
        <v>2158</v>
      </c>
      <c r="B2063" s="1">
        <v>104.0</v>
      </c>
      <c r="C2063" s="1">
        <v>2.0241395E7</v>
      </c>
      <c r="D2063" s="1" t="s">
        <v>1981</v>
      </c>
      <c r="E2063" s="1" t="s">
        <v>4264</v>
      </c>
      <c r="F2063" s="1" t="s">
        <v>4265</v>
      </c>
      <c r="G2063" s="1">
        <v>42664.0</v>
      </c>
      <c r="H2063" s="1">
        <v>403.0</v>
      </c>
      <c r="I2063" s="1" t="s">
        <v>16</v>
      </c>
      <c r="J2063" s="1">
        <v>2.0E7</v>
      </c>
      <c r="K2063" s="1">
        <v>1998.0</v>
      </c>
      <c r="L2063" s="1">
        <v>6.1</v>
      </c>
      <c r="O2063" s="3"/>
      <c r="S2063" s="4"/>
    </row>
    <row r="2064" ht="14.25" customHeight="1">
      <c r="A2064" s="1" t="s">
        <v>4266</v>
      </c>
      <c r="B2064" s="1">
        <v>108.0</v>
      </c>
      <c r="C2064" s="1">
        <v>3.2E7</v>
      </c>
      <c r="D2064" s="1" t="s">
        <v>1239</v>
      </c>
      <c r="E2064" s="1" t="s">
        <v>4267</v>
      </c>
      <c r="F2064" s="1" t="s">
        <v>4268</v>
      </c>
      <c r="G2064" s="1">
        <v>422432.0</v>
      </c>
      <c r="H2064" s="1">
        <v>1040.0</v>
      </c>
      <c r="I2064" s="1" t="s">
        <v>16</v>
      </c>
      <c r="J2064" s="1">
        <v>806947.0</v>
      </c>
      <c r="K2064" s="1">
        <v>1960.0</v>
      </c>
      <c r="L2064" s="1">
        <v>8.5</v>
      </c>
      <c r="O2064" s="3"/>
      <c r="S2064" s="4"/>
    </row>
    <row r="2065" ht="14.25" customHeight="1">
      <c r="A2065" s="1" t="s">
        <v>2106</v>
      </c>
      <c r="B2065" s="1">
        <v>112.0</v>
      </c>
      <c r="C2065" s="1">
        <v>1.9151864E7</v>
      </c>
      <c r="D2065" s="1" t="s">
        <v>699</v>
      </c>
      <c r="E2065" s="1" t="s">
        <v>2672</v>
      </c>
      <c r="F2065" s="1" t="s">
        <v>4269</v>
      </c>
      <c r="G2065" s="1">
        <v>36983.0</v>
      </c>
      <c r="H2065" s="1">
        <v>100.0</v>
      </c>
      <c r="I2065" s="1" t="s">
        <v>16</v>
      </c>
      <c r="J2065" s="1">
        <v>4.0E7</v>
      </c>
      <c r="K2065" s="1">
        <v>2008.0</v>
      </c>
      <c r="L2065" s="1">
        <v>5.9</v>
      </c>
      <c r="O2065" s="3"/>
      <c r="S2065" s="4"/>
    </row>
    <row r="2066" ht="14.25" customHeight="1">
      <c r="A2066" s="1" t="s">
        <v>4270</v>
      </c>
      <c r="B2066" s="1">
        <v>104.0</v>
      </c>
      <c r="C2066" s="1">
        <v>2.3393765E7</v>
      </c>
      <c r="D2066" s="1" t="s">
        <v>92</v>
      </c>
      <c r="E2066" s="1" t="s">
        <v>2088</v>
      </c>
      <c r="F2066" s="1" t="s">
        <v>4271</v>
      </c>
      <c r="G2066" s="1">
        <v>31323.0</v>
      </c>
      <c r="H2066" s="1">
        <v>76.0</v>
      </c>
      <c r="I2066" s="1" t="s">
        <v>16</v>
      </c>
      <c r="J2066" s="1">
        <v>2.0E7</v>
      </c>
      <c r="K2066" s="1">
        <v>2014.0</v>
      </c>
      <c r="L2066" s="1">
        <v>6.3</v>
      </c>
      <c r="O2066" s="3"/>
      <c r="S2066" s="4"/>
    </row>
    <row r="2067" ht="14.25" customHeight="1">
      <c r="A2067" s="1" t="s">
        <v>1349</v>
      </c>
      <c r="B2067" s="1">
        <v>113.0</v>
      </c>
      <c r="C2067" s="1">
        <v>1.888288E7</v>
      </c>
      <c r="D2067" s="1" t="s">
        <v>1059</v>
      </c>
      <c r="E2067" s="1" t="s">
        <v>1937</v>
      </c>
      <c r="F2067" s="1" t="s">
        <v>4272</v>
      </c>
      <c r="G2067" s="1">
        <v>20539.0</v>
      </c>
      <c r="H2067" s="1">
        <v>125.0</v>
      </c>
      <c r="I2067" s="1" t="s">
        <v>16</v>
      </c>
      <c r="J2067" s="1">
        <v>2.0E7</v>
      </c>
      <c r="K2067" s="1">
        <v>2007.0</v>
      </c>
      <c r="L2067" s="1">
        <v>5.9</v>
      </c>
      <c r="O2067" s="3"/>
      <c r="S2067" s="4"/>
    </row>
    <row r="2068" ht="14.25" customHeight="1">
      <c r="A2068" s="1" t="s">
        <v>4273</v>
      </c>
      <c r="B2068" s="1">
        <v>98.0</v>
      </c>
      <c r="C2068" s="1">
        <v>8500000.0</v>
      </c>
      <c r="D2068" s="1" t="s">
        <v>828</v>
      </c>
      <c r="E2068" s="1" t="s">
        <v>4274</v>
      </c>
      <c r="F2068" s="1" t="s">
        <v>4275</v>
      </c>
      <c r="G2068" s="1">
        <v>2061.0</v>
      </c>
      <c r="H2068" s="1">
        <v>34.0</v>
      </c>
      <c r="I2068" s="1" t="s">
        <v>16</v>
      </c>
      <c r="J2068" s="1">
        <v>2.0E7</v>
      </c>
      <c r="K2068" s="1">
        <v>1981.0</v>
      </c>
      <c r="L2068" s="1">
        <v>5.4</v>
      </c>
      <c r="O2068" s="3"/>
      <c r="S2068" s="4"/>
    </row>
    <row r="2069" ht="14.25" customHeight="1">
      <c r="A2069" s="1" t="s">
        <v>568</v>
      </c>
      <c r="B2069" s="1">
        <v>114.0</v>
      </c>
      <c r="C2069" s="1">
        <v>1.8252684E7</v>
      </c>
      <c r="D2069" s="1" t="s">
        <v>1599</v>
      </c>
      <c r="E2069" s="1" t="s">
        <v>184</v>
      </c>
      <c r="F2069" s="1" t="s">
        <v>4276</v>
      </c>
      <c r="G2069" s="1">
        <v>18366.0</v>
      </c>
      <c r="H2069" s="1">
        <v>219.0</v>
      </c>
      <c r="I2069" s="1" t="s">
        <v>16</v>
      </c>
      <c r="J2069" s="1">
        <v>3.0E7</v>
      </c>
      <c r="K2069" s="1">
        <v>1998.0</v>
      </c>
      <c r="L2069" s="1">
        <v>6.9</v>
      </c>
      <c r="O2069" s="3"/>
      <c r="S2069" s="4"/>
    </row>
    <row r="2070" ht="14.25" customHeight="1">
      <c r="A2070" s="1" t="s">
        <v>4277</v>
      </c>
      <c r="B2070" s="1">
        <v>124.0</v>
      </c>
      <c r="C2070" s="1">
        <v>1.9661987E7</v>
      </c>
      <c r="D2070" s="1" t="s">
        <v>1391</v>
      </c>
      <c r="E2070" s="1" t="s">
        <v>923</v>
      </c>
      <c r="F2070" s="1" t="s">
        <v>4278</v>
      </c>
      <c r="G2070" s="1">
        <v>83786.0</v>
      </c>
      <c r="H2070" s="1">
        <v>231.0</v>
      </c>
      <c r="I2070" s="1" t="s">
        <v>16</v>
      </c>
      <c r="J2070" s="1">
        <v>2.0E7</v>
      </c>
      <c r="K2070" s="1">
        <v>2007.0</v>
      </c>
      <c r="L2070" s="1">
        <v>7.5</v>
      </c>
      <c r="O2070" s="3"/>
      <c r="S2070" s="4"/>
    </row>
    <row r="2071" ht="14.25" customHeight="1">
      <c r="A2071" s="1" t="s">
        <v>2359</v>
      </c>
      <c r="B2071" s="1">
        <v>148.0</v>
      </c>
      <c r="C2071" s="1">
        <v>1.8352454E7</v>
      </c>
      <c r="D2071" s="1" t="s">
        <v>4279</v>
      </c>
      <c r="E2071" s="1" t="s">
        <v>1050</v>
      </c>
      <c r="F2071" s="1" t="s">
        <v>4280</v>
      </c>
      <c r="G2071" s="1">
        <v>426359.0</v>
      </c>
      <c r="H2071" s="1">
        <v>760.0</v>
      </c>
      <c r="I2071" s="1" t="s">
        <v>16</v>
      </c>
      <c r="J2071" s="1">
        <v>1.5E7</v>
      </c>
      <c r="K2071" s="1">
        <v>2007.0</v>
      </c>
      <c r="L2071" s="1">
        <v>8.2</v>
      </c>
      <c r="O2071" s="3"/>
      <c r="S2071" s="4"/>
    </row>
    <row r="2072" ht="14.25" customHeight="1">
      <c r="A2072" s="1" t="s">
        <v>1065</v>
      </c>
      <c r="B2072" s="1">
        <v>108.0</v>
      </c>
      <c r="C2072" s="1">
        <v>1.7803796E7</v>
      </c>
      <c r="D2072" s="1" t="s">
        <v>828</v>
      </c>
      <c r="E2072" s="1" t="s">
        <v>1817</v>
      </c>
      <c r="F2072" s="1" t="s">
        <v>4281</v>
      </c>
      <c r="G2072" s="1">
        <v>26100.0</v>
      </c>
      <c r="H2072" s="1">
        <v>97.0</v>
      </c>
      <c r="I2072" s="1" t="s">
        <v>16</v>
      </c>
      <c r="J2072" s="1">
        <v>2.0E7</v>
      </c>
      <c r="K2072" s="1">
        <v>2006.0</v>
      </c>
      <c r="L2072" s="1">
        <v>5.9</v>
      </c>
      <c r="O2072" s="3"/>
      <c r="S2072" s="4"/>
    </row>
    <row r="2073" ht="14.25" customHeight="1">
      <c r="A2073" s="1" t="s">
        <v>4282</v>
      </c>
      <c r="B2073" s="1">
        <v>95.0</v>
      </c>
      <c r="C2073" s="1">
        <v>1.7529157E7</v>
      </c>
      <c r="D2073" s="1" t="s">
        <v>4283</v>
      </c>
      <c r="E2073" s="1" t="s">
        <v>2104</v>
      </c>
      <c r="F2073" s="1" t="s">
        <v>4284</v>
      </c>
      <c r="G2073" s="1">
        <v>49888.0</v>
      </c>
      <c r="H2073" s="1">
        <v>220.0</v>
      </c>
      <c r="I2073" s="1" t="s">
        <v>16</v>
      </c>
      <c r="J2073" s="1">
        <v>2.0E7</v>
      </c>
      <c r="K2073" s="1">
        <v>2012.0</v>
      </c>
      <c r="L2073" s="1">
        <v>5.0</v>
      </c>
      <c r="O2073" s="3"/>
      <c r="S2073" s="4"/>
    </row>
    <row r="2074" ht="14.25" customHeight="1">
      <c r="A2074" s="1" t="s">
        <v>1980</v>
      </c>
      <c r="B2074" s="1">
        <v>108.0</v>
      </c>
      <c r="C2074" s="1">
        <v>2.575384E7</v>
      </c>
      <c r="D2074" s="1" t="s">
        <v>4285</v>
      </c>
      <c r="E2074" s="1" t="s">
        <v>734</v>
      </c>
      <c r="F2074" s="1" t="s">
        <v>4286</v>
      </c>
      <c r="G2074" s="1">
        <v>219091.0</v>
      </c>
      <c r="H2074" s="1">
        <v>592.0</v>
      </c>
      <c r="I2074" s="1" t="s">
        <v>16</v>
      </c>
      <c r="J2074" s="1">
        <v>1.9E7</v>
      </c>
      <c r="K2074" s="1">
        <v>1996.0</v>
      </c>
      <c r="L2074" s="1">
        <v>7.3</v>
      </c>
      <c r="O2074" s="3"/>
      <c r="S2074" s="4"/>
    </row>
    <row r="2075" ht="14.25" customHeight="1">
      <c r="A2075" s="1" t="s">
        <v>4287</v>
      </c>
      <c r="B2075" s="1">
        <v>68.0</v>
      </c>
      <c r="C2075" s="1">
        <v>1.8081626E7</v>
      </c>
      <c r="D2075" s="1" t="s">
        <v>4288</v>
      </c>
      <c r="E2075" s="1" t="s">
        <v>4179</v>
      </c>
      <c r="F2075" s="1" t="s">
        <v>4289</v>
      </c>
      <c r="G2075" s="1">
        <v>4180.0</v>
      </c>
      <c r="H2075" s="1">
        <v>32.0</v>
      </c>
      <c r="I2075" s="1" t="s">
        <v>16</v>
      </c>
      <c r="J2075" s="1">
        <v>2.0E7</v>
      </c>
      <c r="K2075" s="1">
        <v>2005.0</v>
      </c>
      <c r="L2075" s="1">
        <v>6.4</v>
      </c>
      <c r="O2075" s="3"/>
      <c r="S2075" s="4"/>
    </row>
    <row r="2076" ht="14.25" customHeight="1">
      <c r="A2076" s="1" t="s">
        <v>3592</v>
      </c>
      <c r="B2076" s="1">
        <v>103.0</v>
      </c>
      <c r="C2076" s="1">
        <v>1.751822E7</v>
      </c>
      <c r="D2076" s="1" t="s">
        <v>593</v>
      </c>
      <c r="E2076" s="1" t="s">
        <v>96</v>
      </c>
      <c r="F2076" s="1" t="s">
        <v>4290</v>
      </c>
      <c r="G2076" s="1">
        <v>9105.0</v>
      </c>
      <c r="H2076" s="1">
        <v>76.0</v>
      </c>
      <c r="I2076" s="1" t="s">
        <v>16</v>
      </c>
      <c r="J2076" s="1">
        <v>2.0E7</v>
      </c>
      <c r="K2076" s="1">
        <v>1995.0</v>
      </c>
      <c r="L2076" s="1">
        <v>6.6</v>
      </c>
      <c r="O2076" s="3"/>
      <c r="S2076" s="4"/>
    </row>
    <row r="2077" ht="14.25" customHeight="1">
      <c r="A2077" s="1" t="s">
        <v>4291</v>
      </c>
      <c r="B2077" s="1">
        <v>99.0</v>
      </c>
      <c r="C2077" s="1">
        <v>1.7104669E7</v>
      </c>
      <c r="D2077" s="1" t="s">
        <v>4292</v>
      </c>
      <c r="E2077" s="1" t="s">
        <v>4293</v>
      </c>
      <c r="F2077" s="1" t="s">
        <v>4294</v>
      </c>
      <c r="G2077" s="1">
        <v>99353.0</v>
      </c>
      <c r="H2077" s="1">
        <v>354.0</v>
      </c>
      <c r="I2077" s="1" t="s">
        <v>2884</v>
      </c>
      <c r="J2077" s="1">
        <v>2.0E7</v>
      </c>
      <c r="K2077" s="1">
        <v>2004.0</v>
      </c>
      <c r="L2077" s="1">
        <v>7.8</v>
      </c>
      <c r="O2077" s="3"/>
      <c r="S2077" s="4"/>
    </row>
    <row r="2078" ht="14.25" customHeight="1">
      <c r="A2078" s="1" t="s">
        <v>4295</v>
      </c>
      <c r="B2078" s="1">
        <v>88.0</v>
      </c>
      <c r="C2078" s="1">
        <v>1.6988996E7</v>
      </c>
      <c r="D2078" s="1" t="s">
        <v>4296</v>
      </c>
      <c r="E2078" s="1" t="s">
        <v>927</v>
      </c>
      <c r="F2078" s="1" t="s">
        <v>4297</v>
      </c>
      <c r="G2078" s="1">
        <v>3875.0</v>
      </c>
      <c r="H2078" s="1">
        <v>75.0</v>
      </c>
      <c r="I2078" s="1" t="s">
        <v>16</v>
      </c>
      <c r="J2078" s="1">
        <v>3.5E7</v>
      </c>
      <c r="K2078" s="1">
        <v>2002.0</v>
      </c>
      <c r="L2078" s="1">
        <v>4.0</v>
      </c>
      <c r="O2078" s="3"/>
      <c r="S2078" s="4"/>
    </row>
    <row r="2079" ht="14.25" customHeight="1">
      <c r="A2079" s="1" t="s">
        <v>54</v>
      </c>
      <c r="B2079" s="1">
        <v>128.0</v>
      </c>
      <c r="C2079" s="1">
        <v>1.5797907E7</v>
      </c>
      <c r="D2079" s="1" t="s">
        <v>1391</v>
      </c>
      <c r="E2079" s="1" t="s">
        <v>4298</v>
      </c>
      <c r="F2079" s="1" t="s">
        <v>4299</v>
      </c>
      <c r="G2079" s="1">
        <v>68119.0</v>
      </c>
      <c r="H2079" s="1">
        <v>230.0</v>
      </c>
      <c r="I2079" s="1" t="s">
        <v>4300</v>
      </c>
      <c r="J2079" s="1">
        <v>2.0E7</v>
      </c>
      <c r="K2079" s="1">
        <v>2007.0</v>
      </c>
      <c r="L2079" s="1">
        <v>7.6</v>
      </c>
      <c r="O2079" s="3"/>
      <c r="S2079" s="4"/>
    </row>
    <row r="2080" ht="14.25" customHeight="1">
      <c r="A2080" s="1" t="s">
        <v>476</v>
      </c>
      <c r="B2080" s="1">
        <v>124.0</v>
      </c>
      <c r="C2080" s="1">
        <v>1.6248701E7</v>
      </c>
      <c r="D2080" s="1" t="s">
        <v>1391</v>
      </c>
      <c r="E2080" s="1" t="s">
        <v>90</v>
      </c>
      <c r="F2080" s="1" t="s">
        <v>4301</v>
      </c>
      <c r="G2080" s="1">
        <v>189683.0</v>
      </c>
      <c r="H2080" s="1">
        <v>559.0</v>
      </c>
      <c r="I2080" s="1" t="s">
        <v>16</v>
      </c>
      <c r="J2080" s="1">
        <v>2.0E7</v>
      </c>
      <c r="K2080" s="1">
        <v>2003.0</v>
      </c>
      <c r="L2080" s="1">
        <v>7.7</v>
      </c>
      <c r="O2080" s="3"/>
      <c r="S2080" s="4"/>
    </row>
    <row r="2081" ht="14.25" customHeight="1">
      <c r="A2081" s="1" t="s">
        <v>4302</v>
      </c>
      <c r="B2081" s="1">
        <v>84.0</v>
      </c>
      <c r="C2081" s="1">
        <v>1.5712072E7</v>
      </c>
      <c r="D2081" s="1" t="s">
        <v>197</v>
      </c>
      <c r="E2081" s="1" t="s">
        <v>4303</v>
      </c>
      <c r="F2081" s="1" t="s">
        <v>4304</v>
      </c>
      <c r="G2081" s="1">
        <v>13210.0</v>
      </c>
      <c r="H2081" s="1">
        <v>138.0</v>
      </c>
      <c r="I2081" s="1" t="s">
        <v>16</v>
      </c>
      <c r="J2081" s="1">
        <v>2.0E7</v>
      </c>
      <c r="K2081" s="1">
        <v>2004.0</v>
      </c>
      <c r="L2081" s="1">
        <v>5.8</v>
      </c>
      <c r="O2081" s="3"/>
      <c r="S2081" s="4"/>
    </row>
    <row r="2082" ht="14.25" customHeight="1">
      <c r="A2082" s="1" t="s">
        <v>2447</v>
      </c>
      <c r="B2082" s="1">
        <v>122.0</v>
      </c>
      <c r="C2082" s="1">
        <v>1.91449475E8</v>
      </c>
      <c r="D2082" s="1" t="s">
        <v>292</v>
      </c>
      <c r="E2082" s="1" t="s">
        <v>1050</v>
      </c>
      <c r="F2082" s="1" t="s">
        <v>2846</v>
      </c>
      <c r="G2082" s="1">
        <v>348010.0</v>
      </c>
      <c r="H2082" s="1">
        <v>1535.0</v>
      </c>
      <c r="I2082" s="1" t="s">
        <v>16</v>
      </c>
      <c r="J2082" s="1">
        <v>3.7E7</v>
      </c>
      <c r="K2082" s="1">
        <v>2008.0</v>
      </c>
      <c r="L2082" s="1">
        <v>5.2</v>
      </c>
      <c r="O2082" s="3"/>
      <c r="S2082" s="4"/>
    </row>
    <row r="2083" ht="14.25" customHeight="1">
      <c r="A2083" s="1" t="s">
        <v>4305</v>
      </c>
      <c r="B2083" s="1">
        <v>101.0</v>
      </c>
      <c r="C2083" s="1">
        <v>1.5408822E7</v>
      </c>
      <c r="D2083" s="1" t="s">
        <v>699</v>
      </c>
      <c r="E2083" s="1" t="s">
        <v>4306</v>
      </c>
      <c r="F2083" s="1" t="s">
        <v>4307</v>
      </c>
      <c r="G2083" s="1">
        <v>14147.0</v>
      </c>
      <c r="H2083" s="1">
        <v>92.0</v>
      </c>
      <c r="I2083" s="1" t="s">
        <v>16</v>
      </c>
      <c r="J2083" s="1">
        <v>2.0E7</v>
      </c>
      <c r="K2083" s="1">
        <v>2003.0</v>
      </c>
      <c r="L2083" s="1">
        <v>5.6</v>
      </c>
      <c r="O2083" s="3"/>
      <c r="S2083" s="4"/>
    </row>
    <row r="2084" ht="14.25" customHeight="1">
      <c r="A2084" s="1" t="s">
        <v>4308</v>
      </c>
      <c r="B2084" s="1">
        <v>98.0</v>
      </c>
      <c r="C2084" s="1">
        <v>1.5464026E7</v>
      </c>
      <c r="D2084" s="1" t="s">
        <v>699</v>
      </c>
      <c r="E2084" s="1" t="s">
        <v>4309</v>
      </c>
      <c r="F2084" s="1" t="s">
        <v>4310</v>
      </c>
      <c r="G2084" s="1">
        <v>23076.0</v>
      </c>
      <c r="H2084" s="1">
        <v>158.0</v>
      </c>
      <c r="I2084" s="1" t="s">
        <v>16</v>
      </c>
      <c r="J2084" s="1">
        <v>2.0E7</v>
      </c>
      <c r="K2084" s="1">
        <v>2000.0</v>
      </c>
      <c r="L2084" s="1">
        <v>5.3</v>
      </c>
      <c r="O2084" s="3"/>
      <c r="S2084" s="4"/>
    </row>
    <row r="2085" ht="14.25" customHeight="1">
      <c r="A2085" s="1" t="s">
        <v>4311</v>
      </c>
      <c r="B2085" s="1">
        <v>225.0</v>
      </c>
      <c r="C2085" s="1">
        <v>8000000.0</v>
      </c>
      <c r="D2085" s="1" t="s">
        <v>2369</v>
      </c>
      <c r="E2085" s="1" t="s">
        <v>1332</v>
      </c>
      <c r="F2085" s="1" t="s">
        <v>4312</v>
      </c>
      <c r="G2085" s="1">
        <v>6484.0</v>
      </c>
      <c r="H2085" s="1">
        <v>100.0</v>
      </c>
      <c r="I2085" s="1" t="s">
        <v>16</v>
      </c>
      <c r="J2085" s="1">
        <v>2.0E7</v>
      </c>
      <c r="K2085" s="1">
        <v>1965.0</v>
      </c>
      <c r="L2085" s="1">
        <v>6.6</v>
      </c>
      <c r="O2085" s="3"/>
      <c r="S2085" s="4"/>
    </row>
    <row r="2086" ht="14.25" customHeight="1">
      <c r="A2086" s="1" t="s">
        <v>3312</v>
      </c>
      <c r="B2086" s="1">
        <v>88.0</v>
      </c>
      <c r="C2086" s="1">
        <v>1.4174654E7</v>
      </c>
      <c r="D2086" s="1" t="s">
        <v>828</v>
      </c>
      <c r="E2086" s="1" t="s">
        <v>3313</v>
      </c>
      <c r="F2086" s="1" t="s">
        <v>4313</v>
      </c>
      <c r="G2086" s="1">
        <v>74945.0</v>
      </c>
      <c r="H2086" s="1">
        <v>359.0</v>
      </c>
      <c r="I2086" s="1" t="s">
        <v>16</v>
      </c>
      <c r="J2086" s="1">
        <v>2.5E7</v>
      </c>
      <c r="K2086" s="1">
        <v>2008.0</v>
      </c>
      <c r="L2086" s="1">
        <v>1.9</v>
      </c>
      <c r="O2086" s="3"/>
      <c r="S2086" s="4"/>
    </row>
    <row r="2087" ht="14.25" customHeight="1">
      <c r="A2087" s="1" t="s">
        <v>2576</v>
      </c>
      <c r="B2087" s="1">
        <v>88.0</v>
      </c>
      <c r="C2087" s="1">
        <v>1.5988876E7</v>
      </c>
      <c r="D2087" s="1" t="s">
        <v>146</v>
      </c>
      <c r="E2087" s="1" t="s">
        <v>4314</v>
      </c>
      <c r="F2087" s="1" t="s">
        <v>4315</v>
      </c>
      <c r="G2087" s="1">
        <v>26236.0</v>
      </c>
      <c r="H2087" s="1">
        <v>110.0</v>
      </c>
      <c r="I2087" s="1" t="s">
        <v>16</v>
      </c>
      <c r="J2087" s="1">
        <v>2.7E7</v>
      </c>
      <c r="K2087" s="1">
        <v>2009.0</v>
      </c>
      <c r="L2087" s="1">
        <v>5.7</v>
      </c>
      <c r="O2087" s="3"/>
      <c r="S2087" s="4"/>
    </row>
    <row r="2088" ht="14.25" customHeight="1">
      <c r="A2088" s="1" t="s">
        <v>1034</v>
      </c>
      <c r="B2088" s="1">
        <v>94.0</v>
      </c>
      <c r="C2088" s="1">
        <v>1.3801755E7</v>
      </c>
      <c r="D2088" s="1" t="s">
        <v>180</v>
      </c>
      <c r="E2088" s="1" t="s">
        <v>899</v>
      </c>
      <c r="F2088" s="1" t="s">
        <v>4316</v>
      </c>
      <c r="G2088" s="1">
        <v>23928.0</v>
      </c>
      <c r="H2088" s="1">
        <v>100.0</v>
      </c>
      <c r="I2088" s="1" t="s">
        <v>16</v>
      </c>
      <c r="J2088" s="1">
        <v>2.0E7</v>
      </c>
      <c r="K2088" s="1">
        <v>1997.0</v>
      </c>
      <c r="L2088" s="1">
        <v>6.6</v>
      </c>
      <c r="O2088" s="3"/>
      <c r="S2088" s="4"/>
    </row>
    <row r="2089" ht="14.25" customHeight="1">
      <c r="A2089" s="1" t="s">
        <v>4317</v>
      </c>
      <c r="B2089" s="1">
        <v>117.0</v>
      </c>
      <c r="C2089" s="1">
        <v>1.3987482E7</v>
      </c>
      <c r="D2089" s="1" t="s">
        <v>699</v>
      </c>
      <c r="E2089" s="1" t="s">
        <v>459</v>
      </c>
      <c r="F2089" s="1" t="s">
        <v>4318</v>
      </c>
      <c r="G2089" s="1">
        <v>58957.0</v>
      </c>
      <c r="H2089" s="1">
        <v>91.0</v>
      </c>
      <c r="I2089" s="1" t="s">
        <v>16</v>
      </c>
      <c r="J2089" s="1">
        <v>2.0E7</v>
      </c>
      <c r="K2089" s="1">
        <v>2011.0</v>
      </c>
      <c r="L2089" s="1">
        <v>6.0</v>
      </c>
      <c r="O2089" s="3"/>
      <c r="S2089" s="4"/>
    </row>
    <row r="2090" ht="14.25" customHeight="1">
      <c r="A2090" s="1" t="s">
        <v>4319</v>
      </c>
      <c r="B2090" s="1">
        <v>95.0</v>
      </c>
      <c r="C2090" s="1">
        <v>1.429157E7</v>
      </c>
      <c r="D2090" s="1" t="s">
        <v>99</v>
      </c>
      <c r="E2090" s="1" t="s">
        <v>2266</v>
      </c>
      <c r="F2090" s="1" t="s">
        <v>4320</v>
      </c>
      <c r="G2090" s="1">
        <v>82082.0</v>
      </c>
      <c r="H2090" s="1">
        <v>236.0</v>
      </c>
      <c r="I2090" s="1" t="s">
        <v>16</v>
      </c>
      <c r="J2090" s="1">
        <v>2.0E7</v>
      </c>
      <c r="K2090" s="1">
        <v>2012.0</v>
      </c>
      <c r="L2090" s="1">
        <v>6.1</v>
      </c>
      <c r="O2090" s="3"/>
      <c r="S2090" s="4"/>
    </row>
    <row r="2091" ht="14.25" customHeight="1">
      <c r="A2091" s="1" t="s">
        <v>1274</v>
      </c>
      <c r="B2091" s="1">
        <v>99.0</v>
      </c>
      <c r="C2091" s="1">
        <v>1.2181484E7</v>
      </c>
      <c r="D2091" s="1" t="s">
        <v>828</v>
      </c>
      <c r="E2091" s="1" t="s">
        <v>204</v>
      </c>
      <c r="F2091" s="1" t="s">
        <v>4321</v>
      </c>
      <c r="G2091" s="1">
        <v>26390.0</v>
      </c>
      <c r="H2091" s="1">
        <v>176.0</v>
      </c>
      <c r="I2091" s="1" t="s">
        <v>16</v>
      </c>
      <c r="J2091" s="1">
        <v>4.0E7</v>
      </c>
      <c r="K2091" s="1">
        <v>2004.0</v>
      </c>
      <c r="L2091" s="1">
        <v>4.8</v>
      </c>
      <c r="O2091" s="3"/>
      <c r="S2091" s="4"/>
    </row>
    <row r="2092" ht="14.25" customHeight="1">
      <c r="A2092" s="1" t="s">
        <v>1839</v>
      </c>
      <c r="B2092" s="1">
        <v>96.0</v>
      </c>
      <c r="C2092" s="1">
        <v>1.3630226E7</v>
      </c>
      <c r="D2092" s="1" t="s">
        <v>587</v>
      </c>
      <c r="E2092" s="1" t="s">
        <v>147</v>
      </c>
      <c r="F2092" s="1" t="s">
        <v>4322</v>
      </c>
      <c r="G2092" s="1">
        <v>112516.0</v>
      </c>
      <c r="H2092" s="1">
        <v>223.0</v>
      </c>
      <c r="I2092" s="1" t="s">
        <v>16</v>
      </c>
      <c r="J2092" s="1">
        <v>2.0E7</v>
      </c>
      <c r="K2092" s="1">
        <v>2009.0</v>
      </c>
      <c r="L2092" s="1">
        <v>6.2</v>
      </c>
      <c r="O2092" s="3"/>
      <c r="S2092" s="4"/>
    </row>
    <row r="2093" ht="14.25" customHeight="1">
      <c r="A2093" s="1" t="s">
        <v>3268</v>
      </c>
      <c r="B2093" s="1">
        <v>98.0</v>
      </c>
      <c r="C2093" s="1">
        <v>1.3383737E7</v>
      </c>
      <c r="D2093" s="1" t="s">
        <v>427</v>
      </c>
      <c r="E2093" s="1" t="s">
        <v>194</v>
      </c>
      <c r="F2093" s="1" t="s">
        <v>4323</v>
      </c>
      <c r="G2093" s="1">
        <v>29385.0</v>
      </c>
      <c r="H2093" s="1">
        <v>86.0</v>
      </c>
      <c r="I2093" s="1" t="s">
        <v>16</v>
      </c>
      <c r="J2093" s="1">
        <v>2.0E7</v>
      </c>
      <c r="K2093" s="1">
        <v>1994.0</v>
      </c>
      <c r="L2093" s="1">
        <v>7.5</v>
      </c>
      <c r="O2093" s="3"/>
      <c r="S2093" s="4"/>
    </row>
    <row r="2094" ht="14.25" customHeight="1">
      <c r="A2094" s="1" t="s">
        <v>4324</v>
      </c>
      <c r="B2094" s="1">
        <v>123.0</v>
      </c>
      <c r="C2094" s="1">
        <v>1.3391174E7</v>
      </c>
      <c r="D2094" s="1" t="s">
        <v>2369</v>
      </c>
      <c r="E2094" s="1" t="s">
        <v>4325</v>
      </c>
      <c r="F2094" s="1" t="s">
        <v>4326</v>
      </c>
      <c r="G2094" s="1">
        <v>5796.0</v>
      </c>
      <c r="H2094" s="1">
        <v>177.0</v>
      </c>
      <c r="I2094" s="1" t="s">
        <v>16</v>
      </c>
      <c r="J2094" s="1">
        <v>2.0E7</v>
      </c>
      <c r="K2094" s="1">
        <v>2006.0</v>
      </c>
      <c r="L2094" s="1">
        <v>6.3</v>
      </c>
      <c r="O2094" s="3"/>
      <c r="S2094" s="4"/>
    </row>
    <row r="2095" ht="14.25" customHeight="1">
      <c r="A2095" s="1" t="s">
        <v>502</v>
      </c>
      <c r="B2095" s="1">
        <v>101.0</v>
      </c>
      <c r="C2095" s="1">
        <v>1.2987647E7</v>
      </c>
      <c r="D2095" s="1" t="s">
        <v>4327</v>
      </c>
      <c r="E2095" s="1" t="s">
        <v>1168</v>
      </c>
      <c r="F2095" s="1" t="s">
        <v>4328</v>
      </c>
      <c r="G2095" s="1">
        <v>24019.0</v>
      </c>
      <c r="H2095" s="1">
        <v>199.0</v>
      </c>
      <c r="I2095" s="1" t="s">
        <v>16</v>
      </c>
      <c r="J2095" s="1">
        <v>3.0E7</v>
      </c>
      <c r="K2095" s="1">
        <v>2002.0</v>
      </c>
      <c r="L2095" s="1">
        <v>7.1</v>
      </c>
      <c r="O2095" s="3"/>
      <c r="S2095" s="4"/>
    </row>
    <row r="2096" ht="14.25" customHeight="1">
      <c r="A2096" s="1" t="s">
        <v>17</v>
      </c>
      <c r="B2096" s="1">
        <v>102.0</v>
      </c>
      <c r="C2096" s="1">
        <v>1.2469811E7</v>
      </c>
      <c r="D2096" s="1" t="s">
        <v>1059</v>
      </c>
      <c r="E2096" s="1" t="s">
        <v>301</v>
      </c>
      <c r="F2096" s="1" t="s">
        <v>4329</v>
      </c>
      <c r="G2096" s="1">
        <v>69172.0</v>
      </c>
      <c r="H2096" s="1">
        <v>316.0</v>
      </c>
      <c r="I2096" s="1" t="s">
        <v>16</v>
      </c>
      <c r="J2096" s="1">
        <v>2.2E7</v>
      </c>
      <c r="K2096" s="1">
        <v>2005.0</v>
      </c>
      <c r="L2096" s="1">
        <v>6.6</v>
      </c>
      <c r="O2096" s="3"/>
      <c r="S2096" s="4"/>
    </row>
    <row r="2097" ht="14.25" customHeight="1">
      <c r="A2097" s="1" t="s">
        <v>1776</v>
      </c>
      <c r="B2097" s="1">
        <v>94.0</v>
      </c>
      <c r="C2097" s="1">
        <v>1.2398628E7</v>
      </c>
      <c r="D2097" s="1" t="s">
        <v>4330</v>
      </c>
      <c r="E2097" s="1" t="s">
        <v>2456</v>
      </c>
      <c r="F2097" s="1" t="s">
        <v>4331</v>
      </c>
      <c r="G2097" s="1">
        <v>21542.0</v>
      </c>
      <c r="H2097" s="1">
        <v>88.0</v>
      </c>
      <c r="I2097" s="1" t="s">
        <v>16</v>
      </c>
      <c r="J2097" s="1">
        <v>2.0E7</v>
      </c>
      <c r="K2097" s="1">
        <v>2002.0</v>
      </c>
      <c r="L2097" s="1">
        <v>6.1</v>
      </c>
      <c r="O2097" s="3"/>
      <c r="S2097" s="4"/>
    </row>
    <row r="2098" ht="14.25" customHeight="1">
      <c r="A2098" s="1" t="s">
        <v>1797</v>
      </c>
      <c r="B2098" s="1">
        <v>102.0</v>
      </c>
      <c r="C2098" s="1">
        <v>1.321403E7</v>
      </c>
      <c r="D2098" s="1" t="s">
        <v>1046</v>
      </c>
      <c r="E2098" s="1" t="s">
        <v>4332</v>
      </c>
      <c r="F2098" s="1" t="s">
        <v>4333</v>
      </c>
      <c r="G2098" s="1">
        <v>60516.0</v>
      </c>
      <c r="H2098" s="1">
        <v>147.0</v>
      </c>
      <c r="I2098" s="1" t="s">
        <v>16</v>
      </c>
      <c r="J2098" s="1">
        <v>2.0E7</v>
      </c>
      <c r="K2098" s="1">
        <v>2008.0</v>
      </c>
      <c r="L2098" s="1">
        <v>6.7</v>
      </c>
      <c r="O2098" s="3"/>
      <c r="S2098" s="4"/>
    </row>
    <row r="2099" ht="14.25" customHeight="1">
      <c r="A2099" s="1" t="s">
        <v>875</v>
      </c>
      <c r="B2099" s="1">
        <v>108.0</v>
      </c>
      <c r="C2099" s="1">
        <v>1.2232937E7</v>
      </c>
      <c r="D2099" s="1" t="s">
        <v>146</v>
      </c>
      <c r="E2099" s="1" t="s">
        <v>4334</v>
      </c>
      <c r="F2099" s="1" t="s">
        <v>4335</v>
      </c>
      <c r="G2099" s="1">
        <v>22823.0</v>
      </c>
      <c r="H2099" s="1">
        <v>113.0</v>
      </c>
      <c r="I2099" s="1" t="s">
        <v>16</v>
      </c>
      <c r="J2099" s="1">
        <v>2.2E7</v>
      </c>
      <c r="K2099" s="1">
        <v>2009.0</v>
      </c>
      <c r="L2099" s="1">
        <v>5.6</v>
      </c>
      <c r="O2099" s="3"/>
      <c r="S2099" s="4"/>
    </row>
    <row r="2100" ht="14.25" customHeight="1">
      <c r="A2100" s="1" t="s">
        <v>247</v>
      </c>
      <c r="B2100" s="1">
        <v>116.0</v>
      </c>
      <c r="C2100" s="1">
        <v>1.213442E7</v>
      </c>
      <c r="D2100" s="1" t="s">
        <v>4336</v>
      </c>
      <c r="E2100" s="1" t="s">
        <v>210</v>
      </c>
      <c r="F2100" s="1" t="s">
        <v>4337</v>
      </c>
      <c r="G2100" s="1">
        <v>92237.0</v>
      </c>
      <c r="H2100" s="1">
        <v>366.0</v>
      </c>
      <c r="I2100" s="1" t="s">
        <v>16</v>
      </c>
      <c r="J2100" s="1">
        <v>2.0E7</v>
      </c>
      <c r="K2100" s="1">
        <v>2010.0</v>
      </c>
      <c r="L2100" s="1">
        <v>7.2</v>
      </c>
      <c r="O2100" s="3"/>
      <c r="S2100" s="4"/>
    </row>
    <row r="2101" ht="14.25" customHeight="1">
      <c r="A2101" s="1" t="s">
        <v>4338</v>
      </c>
      <c r="B2101" s="1">
        <v>93.0</v>
      </c>
      <c r="C2101" s="1">
        <v>1.1784E7</v>
      </c>
      <c r="D2101" s="1" t="s">
        <v>3527</v>
      </c>
      <c r="E2101" s="1" t="s">
        <v>3848</v>
      </c>
      <c r="F2101" s="1" t="s">
        <v>4339</v>
      </c>
      <c r="G2101" s="1">
        <v>6701.0</v>
      </c>
      <c r="H2101" s="1">
        <v>26.0</v>
      </c>
      <c r="I2101" s="1" t="s">
        <v>16</v>
      </c>
      <c r="J2101" s="1">
        <v>2.0E7</v>
      </c>
      <c r="K2101" s="1">
        <v>1994.0</v>
      </c>
      <c r="L2101" s="1">
        <v>4.3</v>
      </c>
      <c r="O2101" s="3"/>
      <c r="S2101" s="4"/>
    </row>
    <row r="2102" ht="14.25" customHeight="1">
      <c r="A2102" s="1" t="s">
        <v>650</v>
      </c>
      <c r="B2102" s="1">
        <v>102.0</v>
      </c>
      <c r="C2102" s="1">
        <v>1.1169531E7</v>
      </c>
      <c r="D2102" s="1" t="s">
        <v>828</v>
      </c>
      <c r="E2102" s="1" t="s">
        <v>4340</v>
      </c>
      <c r="F2102" s="1" t="s">
        <v>4341</v>
      </c>
      <c r="G2102" s="1">
        <v>79855.0</v>
      </c>
      <c r="H2102" s="1">
        <v>235.0</v>
      </c>
      <c r="I2102" s="1" t="s">
        <v>16</v>
      </c>
      <c r="J2102" s="1">
        <v>2.0E7</v>
      </c>
      <c r="K2102" s="1">
        <v>2008.0</v>
      </c>
      <c r="L2102" s="1">
        <v>6.4</v>
      </c>
      <c r="O2102" s="3"/>
      <c r="S2102" s="4"/>
    </row>
    <row r="2103" ht="14.25" customHeight="1">
      <c r="A2103" s="1" t="s">
        <v>2251</v>
      </c>
      <c r="B2103" s="1">
        <v>103.0</v>
      </c>
      <c r="C2103" s="1">
        <v>1.1034436E7</v>
      </c>
      <c r="D2103" s="1" t="s">
        <v>4342</v>
      </c>
      <c r="E2103" s="1" t="s">
        <v>1009</v>
      </c>
      <c r="F2103" s="1" t="s">
        <v>4343</v>
      </c>
      <c r="G2103" s="1">
        <v>13505.0</v>
      </c>
      <c r="H2103" s="1">
        <v>180.0</v>
      </c>
      <c r="I2103" s="1" t="s">
        <v>16</v>
      </c>
      <c r="J2103" s="1">
        <v>2.0E7</v>
      </c>
      <c r="K2103" s="1">
        <v>2005.0</v>
      </c>
      <c r="L2103" s="1">
        <v>7.1</v>
      </c>
      <c r="O2103" s="3"/>
      <c r="S2103" s="4"/>
    </row>
    <row r="2104" ht="14.25" customHeight="1">
      <c r="A2104" s="1" t="s">
        <v>3872</v>
      </c>
      <c r="B2104" s="1">
        <v>115.0</v>
      </c>
      <c r="C2104" s="1">
        <v>1.2626905E7</v>
      </c>
      <c r="D2104" s="1" t="s">
        <v>197</v>
      </c>
      <c r="E2104" s="1" t="s">
        <v>644</v>
      </c>
      <c r="F2104" s="1" t="s">
        <v>4344</v>
      </c>
      <c r="G2104" s="1">
        <v>32567.0</v>
      </c>
      <c r="H2104" s="1">
        <v>106.0</v>
      </c>
      <c r="I2104" s="1" t="s">
        <v>16</v>
      </c>
      <c r="J2104" s="1">
        <v>2.0E7</v>
      </c>
      <c r="K2104" s="1">
        <v>2016.0</v>
      </c>
      <c r="L2104" s="1">
        <v>6.3</v>
      </c>
      <c r="O2104" s="3"/>
      <c r="S2104" s="4"/>
    </row>
    <row r="2105" ht="14.25" customHeight="1">
      <c r="A2105" s="1" t="s">
        <v>3268</v>
      </c>
      <c r="B2105" s="1">
        <v>96.0</v>
      </c>
      <c r="C2105" s="1">
        <v>1.0569071E7</v>
      </c>
      <c r="D2105" s="1" t="s">
        <v>828</v>
      </c>
      <c r="E2105" s="1" t="s">
        <v>3268</v>
      </c>
      <c r="F2105" s="1" t="s">
        <v>4345</v>
      </c>
      <c r="G2105" s="1">
        <v>35586.0</v>
      </c>
      <c r="H2105" s="1">
        <v>131.0</v>
      </c>
      <c r="I2105" s="1" t="s">
        <v>16</v>
      </c>
      <c r="J2105" s="1">
        <v>2.0E7</v>
      </c>
      <c r="K2105" s="1">
        <v>1997.0</v>
      </c>
      <c r="L2105" s="1">
        <v>7.4</v>
      </c>
      <c r="O2105" s="3"/>
      <c r="S2105" s="4"/>
    </row>
    <row r="2106" ht="14.25" customHeight="1">
      <c r="A2106" s="1" t="s">
        <v>4346</v>
      </c>
      <c r="B2106" s="1">
        <v>98.0</v>
      </c>
      <c r="C2106" s="1">
        <v>1.0544143E7</v>
      </c>
      <c r="D2106" s="1" t="s">
        <v>699</v>
      </c>
      <c r="E2106" s="1" t="s">
        <v>2547</v>
      </c>
      <c r="F2106" s="1" t="s">
        <v>4347</v>
      </c>
      <c r="G2106" s="1">
        <v>16372.0</v>
      </c>
      <c r="H2106" s="1">
        <v>121.0</v>
      </c>
      <c r="I2106" s="1" t="s">
        <v>16</v>
      </c>
      <c r="J2106" s="1">
        <v>2.0E7</v>
      </c>
      <c r="K2106" s="1">
        <v>1999.0</v>
      </c>
      <c r="L2106" s="1">
        <v>6.1</v>
      </c>
      <c r="O2106" s="3"/>
      <c r="S2106" s="4"/>
    </row>
    <row r="2107" ht="14.25" customHeight="1">
      <c r="A2107" s="1" t="s">
        <v>3783</v>
      </c>
      <c r="B2107" s="1">
        <v>101.0</v>
      </c>
      <c r="C2107" s="1">
        <v>1.3650738E7</v>
      </c>
      <c r="D2107" s="1" t="s">
        <v>1059</v>
      </c>
      <c r="E2107" s="1" t="s">
        <v>282</v>
      </c>
      <c r="F2107" s="1" t="s">
        <v>4348</v>
      </c>
      <c r="G2107" s="1">
        <v>61360.0</v>
      </c>
      <c r="H2107" s="1">
        <v>129.0</v>
      </c>
      <c r="I2107" s="1" t="s">
        <v>16</v>
      </c>
      <c r="J2107" s="1">
        <v>2.0E7</v>
      </c>
      <c r="K2107" s="1">
        <v>2015.0</v>
      </c>
      <c r="L2107" s="1">
        <v>6.6</v>
      </c>
      <c r="O2107" s="3"/>
      <c r="S2107" s="4"/>
    </row>
    <row r="2108" ht="14.25" customHeight="1">
      <c r="A2108" s="1" t="s">
        <v>2038</v>
      </c>
      <c r="B2108" s="1">
        <v>106.0</v>
      </c>
      <c r="C2108" s="1">
        <v>1.0555348E7</v>
      </c>
      <c r="D2108" s="1" t="s">
        <v>427</v>
      </c>
      <c r="E2108" s="1" t="s">
        <v>725</v>
      </c>
      <c r="F2108" s="1" t="s">
        <v>4349</v>
      </c>
      <c r="G2108" s="1">
        <v>17349.0</v>
      </c>
      <c r="H2108" s="1">
        <v>42.0</v>
      </c>
      <c r="I2108" s="1" t="s">
        <v>16</v>
      </c>
      <c r="J2108" s="1">
        <v>2.0E7</v>
      </c>
      <c r="K2108" s="1">
        <v>1989.0</v>
      </c>
      <c r="L2108" s="1">
        <v>6.0</v>
      </c>
      <c r="O2108" s="3"/>
      <c r="S2108" s="4"/>
    </row>
    <row r="2109" ht="14.25" customHeight="1">
      <c r="A2109" s="1" t="s">
        <v>3268</v>
      </c>
      <c r="B2109" s="1">
        <v>101.0</v>
      </c>
      <c r="C2109" s="1">
        <v>9714482.0</v>
      </c>
      <c r="D2109" s="1" t="s">
        <v>4350</v>
      </c>
      <c r="E2109" s="1" t="s">
        <v>2290</v>
      </c>
      <c r="F2109" s="1" t="s">
        <v>4351</v>
      </c>
      <c r="G2109" s="1">
        <v>30083.0</v>
      </c>
      <c r="H2109" s="1">
        <v>140.0</v>
      </c>
      <c r="I2109" s="1" t="s">
        <v>16</v>
      </c>
      <c r="J2109" s="1">
        <v>2.0E7</v>
      </c>
      <c r="K2109" s="1">
        <v>1996.0</v>
      </c>
      <c r="L2109" s="1">
        <v>6.8</v>
      </c>
      <c r="O2109" s="3"/>
      <c r="S2109" s="4"/>
    </row>
    <row r="2110" ht="14.25" customHeight="1">
      <c r="A2110" s="1" t="s">
        <v>145</v>
      </c>
      <c r="B2110" s="1">
        <v>111.0</v>
      </c>
      <c r="C2110" s="1">
        <v>9525276.0</v>
      </c>
      <c r="D2110" s="1" t="s">
        <v>146</v>
      </c>
      <c r="E2110" s="1" t="s">
        <v>4352</v>
      </c>
      <c r="F2110" s="1" t="s">
        <v>4353</v>
      </c>
      <c r="G2110" s="1">
        <v>60156.0</v>
      </c>
      <c r="H2110" s="1">
        <v>299.0</v>
      </c>
      <c r="I2110" s="1" t="s">
        <v>16</v>
      </c>
      <c r="J2110" s="1">
        <v>2.0E7</v>
      </c>
      <c r="K2110" s="1">
        <v>2007.0</v>
      </c>
      <c r="L2110" s="1">
        <v>6.8</v>
      </c>
      <c r="O2110" s="3"/>
      <c r="S2110" s="4"/>
    </row>
    <row r="2111" ht="14.25" customHeight="1">
      <c r="A2111" s="1" t="s">
        <v>2829</v>
      </c>
      <c r="B2111" s="1">
        <v>99.0</v>
      </c>
      <c r="C2111" s="1">
        <v>8855646.0</v>
      </c>
      <c r="D2111" s="1" t="s">
        <v>2805</v>
      </c>
      <c r="E2111" s="1" t="s">
        <v>725</v>
      </c>
      <c r="F2111" s="1" t="s">
        <v>4354</v>
      </c>
      <c r="G2111" s="1">
        <v>49855.0</v>
      </c>
      <c r="H2111" s="1">
        <v>117.0</v>
      </c>
      <c r="I2111" s="1" t="s">
        <v>16</v>
      </c>
      <c r="J2111" s="1">
        <v>2.1E7</v>
      </c>
      <c r="K2111" s="1">
        <v>2009.0</v>
      </c>
      <c r="L2111" s="1">
        <v>7.2</v>
      </c>
      <c r="O2111" s="3"/>
      <c r="S2111" s="4"/>
    </row>
    <row r="2112" ht="14.25" customHeight="1">
      <c r="A2112" s="1" t="s">
        <v>4355</v>
      </c>
      <c r="B2112" s="1">
        <v>88.0</v>
      </c>
      <c r="C2112" s="1">
        <v>9109322.0</v>
      </c>
      <c r="D2112" s="1" t="s">
        <v>1101</v>
      </c>
      <c r="E2112" s="1" t="s">
        <v>4356</v>
      </c>
      <c r="F2112" s="1" t="s">
        <v>4357</v>
      </c>
      <c r="G2112" s="1">
        <v>25371.0</v>
      </c>
      <c r="H2112" s="1">
        <v>129.0</v>
      </c>
      <c r="I2112" s="1" t="s">
        <v>16</v>
      </c>
      <c r="J2112" s="1">
        <v>2.0E7</v>
      </c>
      <c r="K2112" s="1">
        <v>2004.0</v>
      </c>
      <c r="L2112" s="1">
        <v>1.9</v>
      </c>
      <c r="O2112" s="3"/>
      <c r="S2112" s="4"/>
    </row>
    <row r="2113" ht="14.25" customHeight="1">
      <c r="A2113" s="1" t="s">
        <v>1100</v>
      </c>
      <c r="B2113" s="1">
        <v>83.0</v>
      </c>
      <c r="C2113" s="1">
        <v>8326035.0</v>
      </c>
      <c r="D2113" s="1" t="s">
        <v>728</v>
      </c>
      <c r="E2113" s="1" t="s">
        <v>534</v>
      </c>
      <c r="F2113" s="1" t="s">
        <v>4358</v>
      </c>
      <c r="G2113" s="1">
        <v>21933.0</v>
      </c>
      <c r="H2113" s="1">
        <v>76.0</v>
      </c>
      <c r="I2113" s="1" t="s">
        <v>16</v>
      </c>
      <c r="J2113" s="1">
        <v>3.3E7</v>
      </c>
      <c r="K2113" s="1">
        <v>2005.0</v>
      </c>
      <c r="L2113" s="1">
        <v>5.5</v>
      </c>
      <c r="O2113" s="3"/>
      <c r="S2113" s="4"/>
    </row>
    <row r="2114" ht="14.25" customHeight="1">
      <c r="A2114" s="1" t="s">
        <v>1100</v>
      </c>
      <c r="B2114" s="1">
        <v>91.0</v>
      </c>
      <c r="C2114" s="1">
        <v>8104069.0</v>
      </c>
      <c r="D2114" s="1" t="s">
        <v>728</v>
      </c>
      <c r="E2114" s="1" t="s">
        <v>3149</v>
      </c>
      <c r="F2114" s="1" t="s">
        <v>4359</v>
      </c>
      <c r="G2114" s="1">
        <v>9785.0</v>
      </c>
      <c r="H2114" s="1">
        <v>26.0</v>
      </c>
      <c r="I2114" s="1" t="s">
        <v>16</v>
      </c>
      <c r="J2114" s="1">
        <v>2.0E7</v>
      </c>
      <c r="K2114" s="1">
        <v>2007.0</v>
      </c>
      <c r="L2114" s="1">
        <v>4.5</v>
      </c>
      <c r="O2114" s="3"/>
      <c r="S2114" s="4"/>
    </row>
    <row r="2115" ht="14.25" customHeight="1">
      <c r="A2115" s="1" t="s">
        <v>1492</v>
      </c>
      <c r="B2115" s="1">
        <v>108.0</v>
      </c>
      <c r="C2115" s="1">
        <v>8054280.0</v>
      </c>
      <c r="D2115" s="1" t="s">
        <v>1259</v>
      </c>
      <c r="E2115" s="1" t="s">
        <v>4360</v>
      </c>
      <c r="F2115" s="1" t="s">
        <v>4361</v>
      </c>
      <c r="G2115" s="1">
        <v>6838.0</v>
      </c>
      <c r="H2115" s="1">
        <v>117.0</v>
      </c>
      <c r="I2115" s="1" t="s">
        <v>16</v>
      </c>
      <c r="J2115" s="1">
        <v>2.0E7</v>
      </c>
      <c r="K2115" s="1">
        <v>2004.0</v>
      </c>
      <c r="L2115" s="1">
        <v>6.3</v>
      </c>
      <c r="O2115" s="3"/>
      <c r="S2115" s="4"/>
    </row>
    <row r="2116" ht="14.25" customHeight="1">
      <c r="A2116" s="1" t="s">
        <v>2820</v>
      </c>
      <c r="B2116" s="1">
        <v>148.0</v>
      </c>
      <c r="C2116" s="1">
        <v>8093318.0</v>
      </c>
      <c r="D2116" s="1" t="s">
        <v>4362</v>
      </c>
      <c r="E2116" s="1" t="s">
        <v>4363</v>
      </c>
      <c r="F2116" s="1" t="s">
        <v>4364</v>
      </c>
      <c r="G2116" s="1">
        <v>61935.0</v>
      </c>
      <c r="H2116" s="1">
        <v>242.0</v>
      </c>
      <c r="I2116" s="1" t="s">
        <v>16</v>
      </c>
      <c r="J2116" s="1">
        <v>2.0E7</v>
      </c>
      <c r="K2116" s="1">
        <v>2014.0</v>
      </c>
      <c r="L2116" s="1">
        <v>6.7</v>
      </c>
      <c r="O2116" s="3"/>
      <c r="S2116" s="4"/>
    </row>
    <row r="2117" ht="14.25" customHeight="1">
      <c r="A2117" s="1" t="s">
        <v>4365</v>
      </c>
      <c r="B2117" s="1">
        <v>77.0</v>
      </c>
      <c r="C2117" s="1">
        <v>7382993.0</v>
      </c>
      <c r="D2117" s="1" t="s">
        <v>118</v>
      </c>
      <c r="E2117" s="1" t="s">
        <v>2628</v>
      </c>
      <c r="F2117" s="1" t="s">
        <v>4366</v>
      </c>
      <c r="G2117" s="1">
        <v>3851.0</v>
      </c>
      <c r="H2117" s="1">
        <v>114.0</v>
      </c>
      <c r="I2117" s="1" t="s">
        <v>16</v>
      </c>
      <c r="J2117" s="1">
        <v>2.0E7</v>
      </c>
      <c r="K2117" s="1">
        <v>2006.0</v>
      </c>
      <c r="L2117" s="1">
        <v>2.8</v>
      </c>
      <c r="O2117" s="3"/>
      <c r="S2117" s="4"/>
    </row>
    <row r="2118" ht="14.25" customHeight="1">
      <c r="A2118" s="1" t="s">
        <v>4367</v>
      </c>
      <c r="B2118" s="1">
        <v>110.0</v>
      </c>
      <c r="C2118" s="1">
        <v>8888355.0</v>
      </c>
      <c r="D2118" s="1" t="s">
        <v>2466</v>
      </c>
      <c r="E2118" s="1" t="s">
        <v>4368</v>
      </c>
      <c r="F2118" s="1" t="s">
        <v>4369</v>
      </c>
      <c r="G2118" s="1">
        <v>7894.0</v>
      </c>
      <c r="H2118" s="1">
        <v>25.0</v>
      </c>
      <c r="I2118" s="1" t="s">
        <v>16</v>
      </c>
      <c r="J2118" s="1">
        <v>2.0E7</v>
      </c>
      <c r="K2118" s="1">
        <v>2013.0</v>
      </c>
      <c r="L2118" s="1">
        <v>5.0</v>
      </c>
      <c r="O2118" s="3"/>
      <c r="S2118" s="4"/>
    </row>
    <row r="2119" ht="14.25" customHeight="1">
      <c r="A2119" s="1" t="s">
        <v>2271</v>
      </c>
      <c r="B2119" s="1">
        <v>83.0</v>
      </c>
      <c r="C2119" s="1">
        <v>7001720.0</v>
      </c>
      <c r="D2119" s="1" t="s">
        <v>1148</v>
      </c>
      <c r="E2119" s="1" t="s">
        <v>4370</v>
      </c>
      <c r="F2119" s="1" t="s">
        <v>4371</v>
      </c>
      <c r="G2119" s="1">
        <v>8560.0</v>
      </c>
      <c r="H2119" s="1">
        <v>205.0</v>
      </c>
      <c r="I2119" s="1" t="s">
        <v>16</v>
      </c>
      <c r="J2119" s="1">
        <v>1.2E7</v>
      </c>
      <c r="K2119" s="1">
        <v>2008.0</v>
      </c>
      <c r="L2119" s="1">
        <v>4.3</v>
      </c>
      <c r="O2119" s="3"/>
      <c r="S2119" s="4"/>
    </row>
    <row r="2120" ht="14.25" customHeight="1">
      <c r="A2120" s="1" t="s">
        <v>1980</v>
      </c>
      <c r="B2120" s="1">
        <v>107.0</v>
      </c>
      <c r="C2120" s="1">
        <v>7268659.0</v>
      </c>
      <c r="D2120" s="1" t="s">
        <v>180</v>
      </c>
      <c r="E2120" s="1" t="s">
        <v>2351</v>
      </c>
      <c r="F2120" s="1" t="s">
        <v>4372</v>
      </c>
      <c r="G2120" s="1">
        <v>59248.0</v>
      </c>
      <c r="H2120" s="1">
        <v>164.0</v>
      </c>
      <c r="I2120" s="1" t="s">
        <v>16</v>
      </c>
      <c r="J2120" s="1">
        <v>2.0E7</v>
      </c>
      <c r="K2120" s="1">
        <v>2013.0</v>
      </c>
      <c r="L2120" s="1">
        <v>5.6</v>
      </c>
      <c r="O2120" s="3"/>
      <c r="S2120" s="4"/>
    </row>
    <row r="2121" ht="14.25" customHeight="1">
      <c r="A2121" s="1" t="s">
        <v>4373</v>
      </c>
      <c r="B2121" s="1">
        <v>100.0</v>
      </c>
      <c r="C2121" s="1">
        <v>6852144.0</v>
      </c>
      <c r="D2121" s="1" t="s">
        <v>1486</v>
      </c>
      <c r="E2121" s="1" t="s">
        <v>3108</v>
      </c>
      <c r="F2121" s="1" t="s">
        <v>4374</v>
      </c>
      <c r="G2121" s="1">
        <v>15169.0</v>
      </c>
      <c r="H2121" s="1">
        <v>213.0</v>
      </c>
      <c r="I2121" s="1" t="s">
        <v>16</v>
      </c>
      <c r="J2121" s="1">
        <v>2.2E7</v>
      </c>
      <c r="K2121" s="1">
        <v>2003.0</v>
      </c>
      <c r="L2121" s="1">
        <v>6.2</v>
      </c>
      <c r="O2121" s="3"/>
      <c r="S2121" s="4"/>
    </row>
    <row r="2122" ht="14.25" customHeight="1">
      <c r="A2122" s="1" t="s">
        <v>3739</v>
      </c>
      <c r="B2122" s="1">
        <v>87.0</v>
      </c>
      <c r="C2122" s="1">
        <v>6563357.0</v>
      </c>
      <c r="D2122" s="1" t="s">
        <v>1720</v>
      </c>
      <c r="E2122" s="1" t="s">
        <v>4375</v>
      </c>
      <c r="F2122" s="1" t="s">
        <v>4376</v>
      </c>
      <c r="G2122" s="1">
        <v>18571.0</v>
      </c>
      <c r="H2122" s="1">
        <v>120.0</v>
      </c>
      <c r="I2122" s="1" t="s">
        <v>16</v>
      </c>
      <c r="J2122" s="1">
        <v>2.0E7</v>
      </c>
      <c r="K2122" s="1">
        <v>2008.0</v>
      </c>
      <c r="L2122" s="1">
        <v>5.3</v>
      </c>
      <c r="O2122" s="3"/>
      <c r="S2122" s="4"/>
    </row>
    <row r="2123" ht="14.25" customHeight="1">
      <c r="A2123" s="1" t="s">
        <v>4377</v>
      </c>
      <c r="B2123" s="1">
        <v>154.0</v>
      </c>
      <c r="C2123" s="1">
        <v>6201757.0</v>
      </c>
      <c r="D2123" s="1" t="s">
        <v>4378</v>
      </c>
      <c r="E2123" s="1" t="s">
        <v>194</v>
      </c>
      <c r="F2123" s="1" t="s">
        <v>4379</v>
      </c>
      <c r="G2123" s="1">
        <v>10037.0</v>
      </c>
      <c r="H2123" s="1">
        <v>202.0</v>
      </c>
      <c r="I2123" s="1" t="s">
        <v>16</v>
      </c>
      <c r="J2123" s="1">
        <v>1.0E7</v>
      </c>
      <c r="K2123" s="1">
        <v>1999.0</v>
      </c>
      <c r="L2123" s="1">
        <v>7.4</v>
      </c>
      <c r="O2123" s="3"/>
      <c r="S2123" s="4"/>
    </row>
    <row r="2124" ht="14.25" customHeight="1">
      <c r="A2124" s="1" t="s">
        <v>4380</v>
      </c>
      <c r="B2124" s="1">
        <v>106.0</v>
      </c>
      <c r="C2124" s="1">
        <v>6420319.0</v>
      </c>
      <c r="D2124" s="1" t="s">
        <v>1384</v>
      </c>
      <c r="E2124" s="1" t="s">
        <v>1907</v>
      </c>
      <c r="F2124" s="1" t="s">
        <v>4381</v>
      </c>
      <c r="G2124" s="1">
        <v>15978.0</v>
      </c>
      <c r="H2124" s="1">
        <v>122.0</v>
      </c>
      <c r="I2124" s="1" t="s">
        <v>16</v>
      </c>
      <c r="J2124" s="1">
        <v>2.0E7</v>
      </c>
      <c r="K2124" s="1">
        <v>2015.0</v>
      </c>
      <c r="L2124" s="1">
        <v>7.4</v>
      </c>
      <c r="O2124" s="3"/>
      <c r="S2124" s="4"/>
    </row>
    <row r="2125" ht="14.25" customHeight="1">
      <c r="A2125" s="1" t="s">
        <v>2170</v>
      </c>
      <c r="B2125" s="1">
        <v>99.0</v>
      </c>
      <c r="C2125" s="1">
        <v>5702083.0</v>
      </c>
      <c r="D2125" s="1" t="s">
        <v>1464</v>
      </c>
      <c r="E2125" s="1" t="s">
        <v>576</v>
      </c>
      <c r="F2125" s="1" t="s">
        <v>4382</v>
      </c>
      <c r="G2125" s="1">
        <v>80617.0</v>
      </c>
      <c r="H2125" s="1">
        <v>190.0</v>
      </c>
      <c r="I2125" s="1" t="s">
        <v>16</v>
      </c>
      <c r="J2125" s="1">
        <v>1.5E7</v>
      </c>
      <c r="K2125" s="1">
        <v>2011.0</v>
      </c>
      <c r="L2125" s="1">
        <v>6.5</v>
      </c>
      <c r="O2125" s="3"/>
      <c r="S2125" s="4"/>
    </row>
    <row r="2126" ht="14.25" customHeight="1">
      <c r="A2126" s="1" t="s">
        <v>3582</v>
      </c>
      <c r="B2126" s="1">
        <v>100.0</v>
      </c>
      <c r="C2126" s="1">
        <v>5480996.0</v>
      </c>
      <c r="D2126" s="1" t="s">
        <v>4383</v>
      </c>
      <c r="E2126" s="1" t="s">
        <v>96</v>
      </c>
      <c r="F2126" s="1" t="s">
        <v>4384</v>
      </c>
      <c r="G2126" s="1">
        <v>89383.0</v>
      </c>
      <c r="H2126" s="1">
        <v>293.0</v>
      </c>
      <c r="I2126" s="1" t="s">
        <v>16</v>
      </c>
      <c r="J2126" s="1">
        <v>8700000.0</v>
      </c>
      <c r="K2126" s="1">
        <v>2006.0</v>
      </c>
      <c r="L2126" s="1">
        <v>7.1</v>
      </c>
      <c r="O2126" s="3"/>
      <c r="S2126" s="4"/>
    </row>
    <row r="2127" ht="14.25" customHeight="1">
      <c r="A2127" s="1" t="s">
        <v>316</v>
      </c>
      <c r="B2127" s="1">
        <v>116.0</v>
      </c>
      <c r="C2127" s="1">
        <v>6002756.0</v>
      </c>
      <c r="D2127" s="1" t="s">
        <v>681</v>
      </c>
      <c r="E2127" s="1" t="s">
        <v>275</v>
      </c>
      <c r="F2127" s="1" t="s">
        <v>4385</v>
      </c>
      <c r="G2127" s="1">
        <v>24997.0</v>
      </c>
      <c r="H2127" s="1">
        <v>75.0</v>
      </c>
      <c r="I2127" s="1" t="s">
        <v>16</v>
      </c>
      <c r="J2127" s="1">
        <v>2.0E7</v>
      </c>
      <c r="K2127" s="1">
        <v>2012.0</v>
      </c>
      <c r="L2127" s="1">
        <v>7.2</v>
      </c>
      <c r="O2127" s="3"/>
      <c r="S2127" s="4"/>
    </row>
    <row r="2128" ht="14.25" customHeight="1">
      <c r="A2128" s="1" t="s">
        <v>1800</v>
      </c>
      <c r="B2128" s="1">
        <v>94.0</v>
      </c>
      <c r="C2128" s="1">
        <v>5132655.0</v>
      </c>
      <c r="D2128" s="1" t="s">
        <v>3966</v>
      </c>
      <c r="E2128" s="1" t="s">
        <v>4386</v>
      </c>
      <c r="F2128" s="1" t="s">
        <v>4387</v>
      </c>
      <c r="G2128" s="1">
        <v>37626.0</v>
      </c>
      <c r="H2128" s="1">
        <v>521.0</v>
      </c>
      <c r="I2128" s="1" t="s">
        <v>16</v>
      </c>
      <c r="J2128" s="1">
        <v>2.0E7</v>
      </c>
      <c r="K2128" s="1">
        <v>2005.0</v>
      </c>
      <c r="L2128" s="1">
        <v>2.3</v>
      </c>
      <c r="O2128" s="3"/>
      <c r="S2128" s="4"/>
    </row>
    <row r="2129" ht="14.25" customHeight="1">
      <c r="A2129" s="1" t="s">
        <v>3568</v>
      </c>
      <c r="B2129" s="1">
        <v>111.0</v>
      </c>
      <c r="C2129" s="1">
        <v>5205343.0</v>
      </c>
      <c r="D2129" s="1" t="s">
        <v>3231</v>
      </c>
      <c r="E2129" s="1" t="s">
        <v>590</v>
      </c>
      <c r="F2129" s="1" t="s">
        <v>4388</v>
      </c>
      <c r="G2129" s="1">
        <v>11958.0</v>
      </c>
      <c r="H2129" s="1">
        <v>39.0</v>
      </c>
      <c r="I2129" s="1" t="s">
        <v>16</v>
      </c>
      <c r="J2129" s="1">
        <v>2.0E7</v>
      </c>
      <c r="K2129" s="1">
        <v>2009.0</v>
      </c>
      <c r="L2129" s="1">
        <v>6.4</v>
      </c>
      <c r="O2129" s="3"/>
      <c r="S2129" s="4"/>
    </row>
    <row r="2130" ht="14.25" customHeight="1">
      <c r="A2130" s="1" t="s">
        <v>4389</v>
      </c>
      <c r="B2130" s="1">
        <v>100.0</v>
      </c>
      <c r="C2130" s="1">
        <v>5005883.0</v>
      </c>
      <c r="D2130" s="1" t="s">
        <v>1339</v>
      </c>
      <c r="E2130" s="1" t="s">
        <v>4390</v>
      </c>
      <c r="F2130" s="1" t="s">
        <v>4391</v>
      </c>
      <c r="G2130" s="1">
        <v>29649.0</v>
      </c>
      <c r="H2130" s="1">
        <v>361.0</v>
      </c>
      <c r="I2130" s="1" t="s">
        <v>16</v>
      </c>
      <c r="J2130" s="1">
        <v>2.0E7</v>
      </c>
      <c r="K2130" s="1">
        <v>2004.0</v>
      </c>
      <c r="L2130" s="1">
        <v>6.1</v>
      </c>
      <c r="O2130" s="3"/>
      <c r="S2130" s="4"/>
    </row>
    <row r="2131" ht="14.25" customHeight="1">
      <c r="A2131" s="1" t="s">
        <v>4392</v>
      </c>
      <c r="B2131" s="1">
        <v>125.0</v>
      </c>
      <c r="C2131" s="1">
        <v>5749134.0</v>
      </c>
      <c r="D2131" s="1" t="s">
        <v>197</v>
      </c>
      <c r="E2131" s="1" t="s">
        <v>1190</v>
      </c>
      <c r="F2131" s="1" t="s">
        <v>4393</v>
      </c>
      <c r="G2131" s="1">
        <v>45799.0</v>
      </c>
      <c r="H2131" s="1">
        <v>180.0</v>
      </c>
      <c r="I2131" s="1" t="s">
        <v>16</v>
      </c>
      <c r="J2131" s="1">
        <v>2.0E7</v>
      </c>
      <c r="K2131" s="1">
        <v>2014.0</v>
      </c>
      <c r="L2131" s="1">
        <v>7.0</v>
      </c>
      <c r="O2131" s="3"/>
      <c r="S2131" s="4"/>
    </row>
    <row r="2132" ht="14.25" customHeight="1">
      <c r="A2132" s="1" t="s">
        <v>4394</v>
      </c>
      <c r="B2132" s="1">
        <v>119.0</v>
      </c>
      <c r="C2132" s="1">
        <v>4234040.0</v>
      </c>
      <c r="D2132" s="1" t="s">
        <v>646</v>
      </c>
      <c r="E2132" s="1" t="s">
        <v>4395</v>
      </c>
      <c r="F2132" s="1" t="s">
        <v>4396</v>
      </c>
      <c r="G2132" s="1">
        <v>14301.0</v>
      </c>
      <c r="H2132" s="1">
        <v>45.0</v>
      </c>
      <c r="I2132" s="1" t="s">
        <v>16</v>
      </c>
      <c r="J2132" s="1">
        <v>2.0E7</v>
      </c>
      <c r="K2132" s="1">
        <v>2008.0</v>
      </c>
      <c r="L2132" s="1">
        <v>7.0</v>
      </c>
      <c r="O2132" s="3"/>
      <c r="S2132" s="4"/>
    </row>
    <row r="2133" ht="14.25" customHeight="1">
      <c r="A2133" s="1" t="s">
        <v>4397</v>
      </c>
      <c r="B2133" s="1">
        <v>135.0</v>
      </c>
      <c r="C2133" s="1">
        <v>4001121.0</v>
      </c>
      <c r="D2133" s="1" t="s">
        <v>1749</v>
      </c>
      <c r="E2133" s="1" t="s">
        <v>143</v>
      </c>
      <c r="F2133" s="1" t="s">
        <v>4398</v>
      </c>
      <c r="G2133" s="1">
        <v>48346.0</v>
      </c>
      <c r="H2133" s="1">
        <v>230.0</v>
      </c>
      <c r="I2133" s="1" t="s">
        <v>16</v>
      </c>
      <c r="J2133" s="1">
        <v>2.0E7</v>
      </c>
      <c r="K2133" s="1">
        <v>2007.0</v>
      </c>
      <c r="L2133" s="1">
        <v>7.0</v>
      </c>
      <c r="O2133" s="3"/>
      <c r="S2133" s="4"/>
    </row>
    <row r="2134" ht="14.25" customHeight="1">
      <c r="A2134" s="1" t="s">
        <v>4399</v>
      </c>
      <c r="B2134" s="1">
        <v>93.0</v>
      </c>
      <c r="C2134" s="1">
        <v>3749061.0</v>
      </c>
      <c r="D2134" s="1" t="s">
        <v>26</v>
      </c>
      <c r="E2134" s="1" t="s">
        <v>49</v>
      </c>
      <c r="F2134" s="1" t="s">
        <v>4400</v>
      </c>
      <c r="G2134" s="1">
        <v>28629.0</v>
      </c>
      <c r="H2134" s="1">
        <v>113.0</v>
      </c>
      <c r="I2134" s="1" t="s">
        <v>16</v>
      </c>
      <c r="J2134" s="1">
        <v>2.0E7</v>
      </c>
      <c r="K2134" s="1">
        <v>2012.0</v>
      </c>
      <c r="L2134" s="1">
        <v>4.9</v>
      </c>
      <c r="O2134" s="3"/>
      <c r="S2134" s="4"/>
    </row>
    <row r="2135" ht="14.25" customHeight="1">
      <c r="A2135" s="1" t="s">
        <v>3249</v>
      </c>
      <c r="B2135" s="1">
        <v>114.0</v>
      </c>
      <c r="C2135" s="1">
        <v>3519627.0</v>
      </c>
      <c r="D2135" s="1" t="s">
        <v>4401</v>
      </c>
      <c r="E2135" s="1" t="s">
        <v>4035</v>
      </c>
      <c r="F2135" s="1" t="s">
        <v>4402</v>
      </c>
      <c r="G2135" s="1">
        <v>41737.0</v>
      </c>
      <c r="H2135" s="1">
        <v>105.0</v>
      </c>
      <c r="I2135" s="1" t="s">
        <v>16</v>
      </c>
      <c r="J2135" s="1">
        <v>2.0E7</v>
      </c>
      <c r="K2135" s="1">
        <v>2008.0</v>
      </c>
      <c r="L2135" s="1">
        <v>6.9</v>
      </c>
      <c r="O2135" s="3"/>
      <c r="S2135" s="4"/>
    </row>
    <row r="2136" ht="14.25" customHeight="1">
      <c r="A2136" s="1" t="s">
        <v>4403</v>
      </c>
      <c r="B2136" s="1">
        <v>124.0</v>
      </c>
      <c r="C2136" s="1">
        <v>3081925.0</v>
      </c>
      <c r="D2136" s="1" t="s">
        <v>593</v>
      </c>
      <c r="E2136" s="1" t="s">
        <v>390</v>
      </c>
      <c r="F2136" s="1" t="s">
        <v>4404</v>
      </c>
      <c r="G2136" s="1">
        <v>55842.0</v>
      </c>
      <c r="H2136" s="1">
        <v>274.0</v>
      </c>
      <c r="I2136" s="1" t="s">
        <v>16</v>
      </c>
      <c r="J2136" s="1">
        <v>2.1E7</v>
      </c>
      <c r="K2136" s="1">
        <v>2008.0</v>
      </c>
      <c r="L2136" s="1">
        <v>7.5</v>
      </c>
      <c r="O2136" s="3"/>
      <c r="S2136" s="4"/>
    </row>
    <row r="2137" ht="14.25" customHeight="1">
      <c r="A2137" s="1" t="s">
        <v>3073</v>
      </c>
      <c r="B2137" s="1">
        <v>134.0</v>
      </c>
      <c r="C2137" s="1">
        <v>2298191.0</v>
      </c>
      <c r="D2137" s="1" t="s">
        <v>4405</v>
      </c>
      <c r="E2137" s="1" t="s">
        <v>3922</v>
      </c>
      <c r="F2137" s="1" t="s">
        <v>4406</v>
      </c>
      <c r="G2137" s="1">
        <v>221552.0</v>
      </c>
      <c r="H2137" s="1">
        <v>570.0</v>
      </c>
      <c r="I2137" s="1" t="s">
        <v>3076</v>
      </c>
      <c r="J2137" s="1">
        <v>2.4E9</v>
      </c>
      <c r="K2137" s="1">
        <v>1997.0</v>
      </c>
      <c r="L2137" s="1">
        <v>8.4</v>
      </c>
      <c r="O2137" s="3"/>
      <c r="S2137" s="4"/>
    </row>
    <row r="2138" ht="14.25" customHeight="1">
      <c r="A2138" s="1" t="s">
        <v>4407</v>
      </c>
      <c r="B2138" s="1">
        <v>114.0</v>
      </c>
      <c r="C2138" s="1">
        <v>2353728.0</v>
      </c>
      <c r="D2138" s="1" t="s">
        <v>4408</v>
      </c>
      <c r="E2138" s="1" t="s">
        <v>4409</v>
      </c>
      <c r="F2138" s="1" t="s">
        <v>4410</v>
      </c>
      <c r="G2138" s="1">
        <v>4293.0</v>
      </c>
      <c r="H2138" s="1">
        <v>53.0</v>
      </c>
      <c r="I2138" s="1" t="s">
        <v>1189</v>
      </c>
      <c r="J2138" s="1">
        <v>2.0E7</v>
      </c>
      <c r="K2138" s="1">
        <v>2003.0</v>
      </c>
      <c r="L2138" s="1">
        <v>6.9</v>
      </c>
      <c r="O2138" s="3"/>
      <c r="S2138" s="4"/>
    </row>
    <row r="2139" ht="14.25" customHeight="1">
      <c r="A2139" s="1" t="s">
        <v>4411</v>
      </c>
      <c r="B2139" s="1">
        <v>124.0</v>
      </c>
      <c r="C2139" s="1">
        <v>2000000.0</v>
      </c>
      <c r="D2139" s="1" t="s">
        <v>4412</v>
      </c>
      <c r="E2139" s="1" t="s">
        <v>4413</v>
      </c>
      <c r="F2139" s="1" t="s">
        <v>4414</v>
      </c>
      <c r="G2139" s="1">
        <v>2998.0</v>
      </c>
      <c r="H2139" s="1">
        <v>74.0</v>
      </c>
      <c r="I2139" s="1" t="s">
        <v>16</v>
      </c>
      <c r="J2139" s="1">
        <v>2.0E7</v>
      </c>
      <c r="K2139" s="1">
        <v>1980.0</v>
      </c>
      <c r="L2139" s="1">
        <v>4.5</v>
      </c>
      <c r="O2139" s="3"/>
      <c r="S2139" s="4"/>
    </row>
    <row r="2140" ht="14.25" customHeight="1">
      <c r="A2140" s="1" t="s">
        <v>3872</v>
      </c>
      <c r="B2140" s="1">
        <v>104.0</v>
      </c>
      <c r="C2140" s="1">
        <v>1900725.0</v>
      </c>
      <c r="D2140" s="1" t="s">
        <v>4415</v>
      </c>
      <c r="E2140" s="1" t="s">
        <v>789</v>
      </c>
      <c r="F2140" s="1" t="s">
        <v>4416</v>
      </c>
      <c r="G2140" s="1">
        <v>43205.0</v>
      </c>
      <c r="H2140" s="1">
        <v>232.0</v>
      </c>
      <c r="I2140" s="1" t="s">
        <v>16</v>
      </c>
      <c r="J2140" s="1">
        <v>2000000.0</v>
      </c>
      <c r="K2140" s="1">
        <v>2005.0</v>
      </c>
      <c r="L2140" s="1">
        <v>7.4</v>
      </c>
      <c r="O2140" s="3"/>
      <c r="S2140" s="4"/>
    </row>
    <row r="2141" ht="14.25" customHeight="1">
      <c r="A2141" s="1" t="s">
        <v>4417</v>
      </c>
      <c r="B2141" s="1">
        <v>118.0</v>
      </c>
      <c r="C2141" s="1">
        <v>2246000.0</v>
      </c>
      <c r="D2141" s="1" t="s">
        <v>681</v>
      </c>
      <c r="E2141" s="1" t="s">
        <v>4418</v>
      </c>
      <c r="F2141" s="1" t="s">
        <v>4419</v>
      </c>
      <c r="G2141" s="1">
        <v>2302.0</v>
      </c>
      <c r="H2141" s="1">
        <v>20.0</v>
      </c>
      <c r="I2141" s="1" t="s">
        <v>16</v>
      </c>
      <c r="J2141" s="1">
        <v>2.0E7</v>
      </c>
      <c r="K2141" s="1">
        <v>2015.0</v>
      </c>
      <c r="L2141" s="1">
        <v>7.0</v>
      </c>
      <c r="O2141" s="3"/>
      <c r="S2141" s="4"/>
    </row>
    <row r="2142" ht="14.25" customHeight="1">
      <c r="A2142" s="1" t="s">
        <v>3864</v>
      </c>
      <c r="B2142" s="1">
        <v>80.0</v>
      </c>
      <c r="C2142" s="1">
        <v>1646664.0</v>
      </c>
      <c r="D2142" s="1" t="s">
        <v>3022</v>
      </c>
      <c r="E2142" s="1" t="s">
        <v>4420</v>
      </c>
      <c r="F2142" s="1" t="s">
        <v>4421</v>
      </c>
      <c r="G2142" s="1">
        <v>4518.0</v>
      </c>
      <c r="H2142" s="1">
        <v>66.0</v>
      </c>
      <c r="I2142" s="1" t="s">
        <v>16</v>
      </c>
      <c r="J2142" s="1">
        <v>2.0E7</v>
      </c>
      <c r="K2142" s="1">
        <v>2003.0</v>
      </c>
      <c r="L2142" s="1">
        <v>2.8</v>
      </c>
      <c r="O2142" s="3"/>
      <c r="S2142" s="4"/>
    </row>
    <row r="2143" ht="14.25" customHeight="1">
      <c r="A2143" s="1" t="s">
        <v>3364</v>
      </c>
      <c r="B2143" s="1">
        <v>107.0</v>
      </c>
      <c r="C2143" s="1">
        <v>1190018.0</v>
      </c>
      <c r="D2143" s="1" t="s">
        <v>581</v>
      </c>
      <c r="E2143" s="1" t="s">
        <v>143</v>
      </c>
      <c r="F2143" s="1" t="s">
        <v>4422</v>
      </c>
      <c r="G2143" s="1">
        <v>261317.0</v>
      </c>
      <c r="H2143" s="1">
        <v>1137.0</v>
      </c>
      <c r="I2143" s="1" t="s">
        <v>16</v>
      </c>
      <c r="J2143" s="1">
        <v>2.0E7</v>
      </c>
      <c r="K2143" s="1">
        <v>2002.0</v>
      </c>
      <c r="L2143" s="1">
        <v>7.5</v>
      </c>
      <c r="O2143" s="3"/>
      <c r="S2143" s="4"/>
    </row>
    <row r="2144" ht="14.25" customHeight="1">
      <c r="A2144" s="1" t="s">
        <v>634</v>
      </c>
      <c r="B2144" s="1">
        <v>125.0</v>
      </c>
      <c r="C2144" s="1">
        <v>1027749.0</v>
      </c>
      <c r="D2144" s="1" t="s">
        <v>1384</v>
      </c>
      <c r="E2144" s="1" t="s">
        <v>2104</v>
      </c>
      <c r="F2144" s="1" t="s">
        <v>4423</v>
      </c>
      <c r="G2144" s="1">
        <v>8087.0</v>
      </c>
      <c r="H2144" s="1">
        <v>33.0</v>
      </c>
      <c r="I2144" s="1" t="s">
        <v>16</v>
      </c>
      <c r="J2144" s="1">
        <v>4.0E7</v>
      </c>
      <c r="K2144" s="1">
        <v>2008.0</v>
      </c>
      <c r="L2144" s="1">
        <v>7.1</v>
      </c>
      <c r="O2144" s="3"/>
      <c r="S2144" s="4"/>
    </row>
    <row r="2145" ht="14.25" customHeight="1">
      <c r="A2145" s="1" t="s">
        <v>3516</v>
      </c>
      <c r="B2145" s="1">
        <v>115.0</v>
      </c>
      <c r="C2145" s="1">
        <v>882710.0</v>
      </c>
      <c r="D2145" s="1" t="s">
        <v>2126</v>
      </c>
      <c r="E2145" s="1" t="s">
        <v>1139</v>
      </c>
      <c r="F2145" s="1" t="s">
        <v>4424</v>
      </c>
      <c r="G2145" s="1">
        <v>16215.0</v>
      </c>
      <c r="H2145" s="1">
        <v>138.0</v>
      </c>
      <c r="I2145" s="1" t="s">
        <v>16</v>
      </c>
      <c r="J2145" s="1">
        <v>2.4E7</v>
      </c>
      <c r="K2145" s="1">
        <v>2000.0</v>
      </c>
      <c r="L2145" s="1">
        <v>6.4</v>
      </c>
      <c r="O2145" s="3"/>
      <c r="S2145" s="4"/>
    </row>
    <row r="2146" ht="14.25" customHeight="1">
      <c r="A2146" s="1" t="s">
        <v>4425</v>
      </c>
      <c r="B2146" s="1">
        <v>88.0</v>
      </c>
      <c r="C2146" s="1">
        <v>1064277.0</v>
      </c>
      <c r="D2146" s="1" t="s">
        <v>3816</v>
      </c>
      <c r="E2146" s="1" t="s">
        <v>689</v>
      </c>
      <c r="F2146" s="1" t="s">
        <v>4426</v>
      </c>
      <c r="G2146" s="1">
        <v>14015.0</v>
      </c>
      <c r="H2146" s="1">
        <v>83.0</v>
      </c>
      <c r="I2146" s="1" t="s">
        <v>16</v>
      </c>
      <c r="J2146" s="1">
        <v>2.0E7</v>
      </c>
      <c r="K2146" s="1">
        <v>2012.0</v>
      </c>
      <c r="L2146" s="1">
        <v>6.7</v>
      </c>
      <c r="O2146" s="3"/>
      <c r="S2146" s="4"/>
    </row>
    <row r="2147" ht="14.25" customHeight="1">
      <c r="A2147" s="1" t="s">
        <v>245</v>
      </c>
      <c r="B2147" s="1">
        <v>122.0</v>
      </c>
      <c r="C2147" s="1">
        <v>531009.0</v>
      </c>
      <c r="D2147" s="1" t="s">
        <v>92</v>
      </c>
      <c r="E2147" s="1" t="s">
        <v>293</v>
      </c>
      <c r="F2147" s="1" t="s">
        <v>4427</v>
      </c>
      <c r="G2147" s="1">
        <v>7976.0</v>
      </c>
      <c r="H2147" s="1">
        <v>61.0</v>
      </c>
      <c r="I2147" s="1" t="s">
        <v>16</v>
      </c>
      <c r="J2147" s="1">
        <v>1.0E7</v>
      </c>
      <c r="K2147" s="1">
        <v>2015.0</v>
      </c>
      <c r="L2147" s="1">
        <v>5.3</v>
      </c>
      <c r="O2147" s="3"/>
      <c r="S2147" s="4"/>
    </row>
    <row r="2148" ht="14.25" customHeight="1">
      <c r="A2148" s="1" t="s">
        <v>4428</v>
      </c>
      <c r="B2148" s="1">
        <v>103.0</v>
      </c>
      <c r="C2148" s="1">
        <v>410388.0</v>
      </c>
      <c r="D2148" s="1" t="s">
        <v>4429</v>
      </c>
      <c r="E2148" s="1" t="s">
        <v>4430</v>
      </c>
      <c r="F2148" s="1" t="s">
        <v>4431</v>
      </c>
      <c r="G2148" s="1">
        <v>13727.0</v>
      </c>
      <c r="H2148" s="1">
        <v>79.0</v>
      </c>
      <c r="I2148" s="1" t="s">
        <v>3076</v>
      </c>
      <c r="J2148" s="1">
        <v>2.127519898E9</v>
      </c>
      <c r="K2148" s="1">
        <v>2004.0</v>
      </c>
      <c r="L2148" s="1">
        <v>6.9</v>
      </c>
      <c r="O2148" s="3"/>
      <c r="S2148" s="4"/>
    </row>
    <row r="2149" ht="14.25" customHeight="1">
      <c r="A2149" s="1" t="s">
        <v>4432</v>
      </c>
      <c r="B2149" s="1">
        <v>101.0</v>
      </c>
      <c r="C2149" s="1">
        <v>375474.0</v>
      </c>
      <c r="D2149" s="1" t="s">
        <v>973</v>
      </c>
      <c r="E2149" s="1" t="s">
        <v>275</v>
      </c>
      <c r="F2149" s="1" t="s">
        <v>4433</v>
      </c>
      <c r="G2149" s="1">
        <v>2613.0</v>
      </c>
      <c r="H2149" s="1">
        <v>46.0</v>
      </c>
      <c r="I2149" s="1" t="s">
        <v>16</v>
      </c>
      <c r="J2149" s="1">
        <v>2.0E7</v>
      </c>
      <c r="K2149" s="1">
        <v>2005.0</v>
      </c>
      <c r="L2149" s="1">
        <v>6.2</v>
      </c>
      <c r="O2149" s="3"/>
      <c r="S2149" s="4"/>
    </row>
    <row r="2150" ht="14.25" customHeight="1">
      <c r="A2150" s="1" t="s">
        <v>228</v>
      </c>
      <c r="B2150" s="1">
        <v>107.0</v>
      </c>
      <c r="C2150" s="1">
        <v>305070.0</v>
      </c>
      <c r="D2150" s="1" t="s">
        <v>1192</v>
      </c>
      <c r="E2150" s="1" t="s">
        <v>4434</v>
      </c>
      <c r="F2150" s="1" t="s">
        <v>4435</v>
      </c>
      <c r="G2150" s="1">
        <v>3843.0</v>
      </c>
      <c r="H2150" s="1">
        <v>25.0</v>
      </c>
      <c r="I2150" s="1" t="s">
        <v>16</v>
      </c>
      <c r="J2150" s="1">
        <v>2.0E7</v>
      </c>
      <c r="K2150" s="1">
        <v>1994.0</v>
      </c>
      <c r="L2150" s="1">
        <v>6.4</v>
      </c>
      <c r="O2150" s="3"/>
      <c r="S2150" s="4"/>
    </row>
    <row r="2151" ht="14.25" customHeight="1">
      <c r="A2151" s="1" t="s">
        <v>2722</v>
      </c>
      <c r="B2151" s="1">
        <v>118.0</v>
      </c>
      <c r="C2151" s="1">
        <v>146072.0</v>
      </c>
      <c r="D2151" s="1" t="s">
        <v>4436</v>
      </c>
      <c r="E2151" s="1" t="s">
        <v>4437</v>
      </c>
      <c r="F2151" s="1" t="s">
        <v>4438</v>
      </c>
      <c r="G2151" s="1">
        <v>7147.0</v>
      </c>
      <c r="H2151" s="1">
        <v>16.0</v>
      </c>
      <c r="I2151" s="1" t="s">
        <v>1189</v>
      </c>
      <c r="J2151" s="1">
        <v>1.4E8</v>
      </c>
      <c r="K2151" s="1">
        <v>1998.0</v>
      </c>
      <c r="L2151" s="1">
        <v>6.0</v>
      </c>
      <c r="O2151" s="3"/>
      <c r="S2151" s="4"/>
    </row>
    <row r="2152" ht="14.25" customHeight="1">
      <c r="A2152" s="1" t="s">
        <v>2922</v>
      </c>
      <c r="B2152" s="1">
        <v>107.0</v>
      </c>
      <c r="C2152" s="1">
        <v>1183354.0</v>
      </c>
      <c r="D2152" s="1" t="s">
        <v>4439</v>
      </c>
      <c r="E2152" s="1" t="s">
        <v>4440</v>
      </c>
      <c r="F2152" s="1" t="s">
        <v>4441</v>
      </c>
      <c r="G2152" s="1">
        <v>13026.0</v>
      </c>
      <c r="H2152" s="1">
        <v>75.0</v>
      </c>
      <c r="I2152" s="1" t="s">
        <v>16</v>
      </c>
      <c r="J2152" s="1">
        <v>2.0E7</v>
      </c>
      <c r="K2152" s="1">
        <v>2010.0</v>
      </c>
      <c r="L2152" s="1">
        <v>5.1</v>
      </c>
      <c r="O2152" s="3"/>
      <c r="S2152" s="4"/>
      <c r="AE2152" s="8" t="s">
        <v>2862</v>
      </c>
    </row>
    <row r="2153" ht="14.25" customHeight="1">
      <c r="A2153" s="1" t="s">
        <v>4442</v>
      </c>
      <c r="B2153" s="1">
        <v>100.0</v>
      </c>
      <c r="C2153" s="1">
        <v>121972.0</v>
      </c>
      <c r="D2153" s="1" t="s">
        <v>4443</v>
      </c>
      <c r="E2153" s="1" t="s">
        <v>1002</v>
      </c>
      <c r="F2153" s="1" t="s">
        <v>4444</v>
      </c>
      <c r="G2153" s="1">
        <v>9868.0</v>
      </c>
      <c r="H2153" s="1">
        <v>81.0</v>
      </c>
      <c r="I2153" s="1" t="s">
        <v>16</v>
      </c>
      <c r="J2153" s="1">
        <v>2.2E7</v>
      </c>
      <c r="K2153" s="1">
        <v>2002.0</v>
      </c>
      <c r="L2153" s="1">
        <v>5.5</v>
      </c>
      <c r="O2153" s="3"/>
      <c r="S2153" s="4"/>
    </row>
    <row r="2154" ht="14.25" customHeight="1">
      <c r="A2154" s="1" t="s">
        <v>2342</v>
      </c>
      <c r="B2154" s="1">
        <v>110.0</v>
      </c>
      <c r="C2154" s="1">
        <v>263365.0</v>
      </c>
      <c r="D2154" s="1" t="s">
        <v>1046</v>
      </c>
      <c r="E2154" s="1" t="s">
        <v>705</v>
      </c>
      <c r="F2154" s="1" t="s">
        <v>4445</v>
      </c>
      <c r="G2154" s="1">
        <v>6147.0</v>
      </c>
      <c r="H2154" s="1">
        <v>36.0</v>
      </c>
      <c r="I2154" s="1" t="s">
        <v>16</v>
      </c>
      <c r="J2154" s="1">
        <v>2.0E7</v>
      </c>
      <c r="K2154" s="1">
        <v>2010.0</v>
      </c>
      <c r="L2154" s="1">
        <v>5.4</v>
      </c>
      <c r="O2154" s="3"/>
      <c r="S2154" s="4"/>
    </row>
    <row r="2155" ht="14.25" customHeight="1">
      <c r="A2155" s="1" t="s">
        <v>4071</v>
      </c>
      <c r="B2155" s="1">
        <v>125.0</v>
      </c>
      <c r="C2155" s="1">
        <v>8047690.0</v>
      </c>
      <c r="D2155" s="1" t="s">
        <v>92</v>
      </c>
      <c r="E2155" s="1" t="s">
        <v>508</v>
      </c>
      <c r="F2155" s="1" t="s">
        <v>4446</v>
      </c>
      <c r="G2155" s="1">
        <v>77656.0</v>
      </c>
      <c r="H2155" s="1">
        <v>220.0</v>
      </c>
      <c r="I2155" s="1" t="s">
        <v>816</v>
      </c>
      <c r="J2155" s="1">
        <v>1.94E7</v>
      </c>
      <c r="K2155" s="1">
        <v>2006.0</v>
      </c>
      <c r="L2155" s="1">
        <v>7.5</v>
      </c>
      <c r="O2155" s="3"/>
      <c r="S2155" s="4"/>
    </row>
    <row r="2156" ht="14.25" customHeight="1">
      <c r="A2156" s="1" t="s">
        <v>4046</v>
      </c>
      <c r="B2156" s="1">
        <v>184.0</v>
      </c>
      <c r="C2156" s="1">
        <v>476270.0</v>
      </c>
      <c r="D2156" s="1" t="s">
        <v>3442</v>
      </c>
      <c r="E2156" s="1" t="s">
        <v>4447</v>
      </c>
      <c r="F2156" s="1" t="s">
        <v>4448</v>
      </c>
      <c r="G2156" s="1">
        <v>29602.0</v>
      </c>
      <c r="H2156" s="1">
        <v>110.0</v>
      </c>
      <c r="I2156" s="1" t="s">
        <v>4449</v>
      </c>
      <c r="J2156" s="1">
        <v>2.0E7</v>
      </c>
      <c r="K2156" s="1">
        <v>2008.0</v>
      </c>
      <c r="L2156" s="1">
        <v>7.4</v>
      </c>
      <c r="O2156" s="3"/>
      <c r="S2156" s="4"/>
    </row>
    <row r="2157" ht="14.25" customHeight="1">
      <c r="A2157" s="1" t="s">
        <v>1174</v>
      </c>
      <c r="B2157" s="1">
        <v>236.0</v>
      </c>
      <c r="C2157" s="1">
        <v>1.84208848E8</v>
      </c>
      <c r="D2157" s="1" t="s">
        <v>2404</v>
      </c>
      <c r="E2157" s="1" t="s">
        <v>4450</v>
      </c>
      <c r="F2157" s="1" t="s">
        <v>4451</v>
      </c>
      <c r="G2157" s="1">
        <v>186485.0</v>
      </c>
      <c r="H2157" s="1">
        <v>382.0</v>
      </c>
      <c r="I2157" s="1" t="s">
        <v>16</v>
      </c>
      <c r="J2157" s="1">
        <v>2.2E7</v>
      </c>
      <c r="K2157" s="1">
        <v>1990.0</v>
      </c>
      <c r="L2157" s="1">
        <v>8.0</v>
      </c>
      <c r="O2157" s="3"/>
      <c r="S2157" s="4"/>
    </row>
    <row r="2158" ht="14.25" customHeight="1">
      <c r="A2158" s="1" t="s">
        <v>2617</v>
      </c>
      <c r="B2158" s="1">
        <v>97.0</v>
      </c>
      <c r="C2158" s="1">
        <v>1.00292856E8</v>
      </c>
      <c r="D2158" s="1" t="s">
        <v>828</v>
      </c>
      <c r="E2158" s="1" t="s">
        <v>309</v>
      </c>
      <c r="F2158" s="1" t="s">
        <v>4452</v>
      </c>
      <c r="G2158" s="1">
        <v>160418.0</v>
      </c>
      <c r="H2158" s="1">
        <v>296.0</v>
      </c>
      <c r="I2158" s="1" t="s">
        <v>16</v>
      </c>
      <c r="J2158" s="1">
        <v>2.0E7</v>
      </c>
      <c r="K2158" s="1">
        <v>2011.0</v>
      </c>
      <c r="L2158" s="1">
        <v>5.7</v>
      </c>
      <c r="O2158" s="3"/>
      <c r="S2158" s="4"/>
    </row>
    <row r="2159" ht="14.25" customHeight="1">
      <c r="A2159" s="1" t="s">
        <v>1747</v>
      </c>
      <c r="B2159" s="1">
        <v>113.0</v>
      </c>
      <c r="C2159" s="1">
        <v>5.8571513E7</v>
      </c>
      <c r="D2159" s="1" t="s">
        <v>909</v>
      </c>
      <c r="E2159" s="1" t="s">
        <v>1002</v>
      </c>
      <c r="F2159" s="1" t="s">
        <v>4453</v>
      </c>
      <c r="G2159" s="1">
        <v>30213.0</v>
      </c>
      <c r="H2159" s="1">
        <v>112.0</v>
      </c>
      <c r="I2159" s="1" t="s">
        <v>16</v>
      </c>
      <c r="J2159" s="1">
        <v>1.9E7</v>
      </c>
      <c r="K2159" s="1">
        <v>1989.0</v>
      </c>
      <c r="L2159" s="1">
        <v>6.8</v>
      </c>
      <c r="O2159" s="3"/>
      <c r="S2159" s="4"/>
    </row>
    <row r="2160" ht="14.25" customHeight="1">
      <c r="A2160" s="1" t="s">
        <v>4454</v>
      </c>
      <c r="B2160" s="1">
        <v>95.0</v>
      </c>
      <c r="C2160" s="1">
        <v>5.143116E7</v>
      </c>
      <c r="D2160" s="1" t="s">
        <v>1125</v>
      </c>
      <c r="E2160" s="1" t="s">
        <v>4455</v>
      </c>
      <c r="F2160" s="1" t="s">
        <v>4456</v>
      </c>
      <c r="G2160" s="1">
        <v>62861.0</v>
      </c>
      <c r="H2160" s="1">
        <v>232.0</v>
      </c>
      <c r="I2160" s="1" t="s">
        <v>16</v>
      </c>
      <c r="J2160" s="1">
        <v>2.0E7</v>
      </c>
      <c r="K2160" s="1">
        <v>2004.0</v>
      </c>
      <c r="L2160" s="1">
        <v>5.9</v>
      </c>
      <c r="O2160" s="3"/>
      <c r="S2160" s="4"/>
    </row>
    <row r="2161" ht="14.25" customHeight="1">
      <c r="A2161" s="1" t="s">
        <v>2511</v>
      </c>
      <c r="B2161" s="1">
        <v>103.0</v>
      </c>
      <c r="C2161" s="1">
        <v>1.03001286E8</v>
      </c>
      <c r="D2161" s="1" t="s">
        <v>2512</v>
      </c>
      <c r="E2161" s="1" t="s">
        <v>4457</v>
      </c>
      <c r="F2161" s="1" t="s">
        <v>4458</v>
      </c>
      <c r="G2161" s="1">
        <v>222018.0</v>
      </c>
      <c r="H2161" s="1">
        <v>869.0</v>
      </c>
      <c r="I2161" s="1" t="s">
        <v>16</v>
      </c>
      <c r="J2161" s="1">
        <v>1.5E7</v>
      </c>
      <c r="K2161" s="1">
        <v>1996.0</v>
      </c>
      <c r="L2161" s="1">
        <v>7.2</v>
      </c>
      <c r="O2161" s="3"/>
      <c r="S2161" s="4"/>
    </row>
    <row r="2162" ht="14.25" customHeight="1">
      <c r="A2162" s="1" t="s">
        <v>4219</v>
      </c>
      <c r="B2162" s="1">
        <v>91.0</v>
      </c>
      <c r="C2162" s="1">
        <v>4.186796E7</v>
      </c>
      <c r="D2162" s="1" t="s">
        <v>2551</v>
      </c>
      <c r="E2162" s="1" t="s">
        <v>3009</v>
      </c>
      <c r="F2162" s="1" t="s">
        <v>4459</v>
      </c>
      <c r="G2162" s="1">
        <v>65512.0</v>
      </c>
      <c r="H2162" s="1">
        <v>478.0</v>
      </c>
      <c r="I2162" s="1" t="s">
        <v>16</v>
      </c>
      <c r="J2162" s="1">
        <v>2.0E7</v>
      </c>
      <c r="K2162" s="1">
        <v>2001.0</v>
      </c>
      <c r="L2162" s="1">
        <v>5.5</v>
      </c>
      <c r="O2162" s="3"/>
      <c r="S2162" s="4"/>
    </row>
    <row r="2163" ht="14.25" customHeight="1">
      <c r="A2163" s="1" t="s">
        <v>186</v>
      </c>
      <c r="B2163" s="1">
        <v>116.0</v>
      </c>
      <c r="C2163" s="1">
        <v>2.10609762E8</v>
      </c>
      <c r="D2163" s="1" t="s">
        <v>782</v>
      </c>
      <c r="E2163" s="1" t="s">
        <v>2488</v>
      </c>
      <c r="F2163" s="1" t="s">
        <v>4460</v>
      </c>
      <c r="G2163" s="1">
        <v>732212.0</v>
      </c>
      <c r="H2163" s="1">
        <v>809.0</v>
      </c>
      <c r="I2163" s="1" t="s">
        <v>16</v>
      </c>
      <c r="J2163" s="1">
        <v>1.9E7</v>
      </c>
      <c r="K2163" s="1">
        <v>1985.0</v>
      </c>
      <c r="L2163" s="1">
        <v>8.5</v>
      </c>
      <c r="O2163" s="3"/>
      <c r="S2163" s="4"/>
    </row>
    <row r="2164" ht="14.25" customHeight="1">
      <c r="A2164" s="1" t="s">
        <v>2706</v>
      </c>
      <c r="B2164" s="1">
        <v>93.0</v>
      </c>
      <c r="C2164" s="1">
        <v>4.0846082E7</v>
      </c>
      <c r="D2164" s="1" t="s">
        <v>1239</v>
      </c>
      <c r="E2164" s="1" t="s">
        <v>4461</v>
      </c>
      <c r="F2164" s="1" t="s">
        <v>4462</v>
      </c>
      <c r="G2164" s="1">
        <v>45317.0</v>
      </c>
      <c r="H2164" s="1">
        <v>536.0</v>
      </c>
      <c r="I2164" s="1" t="s">
        <v>16</v>
      </c>
      <c r="J2164" s="1">
        <v>1.9E7</v>
      </c>
      <c r="K2164" s="1">
        <v>1999.0</v>
      </c>
      <c r="L2164" s="1">
        <v>5.6</v>
      </c>
      <c r="O2164" s="3"/>
      <c r="S2164" s="4"/>
    </row>
    <row r="2165" ht="14.25" customHeight="1">
      <c r="A2165" s="1" t="s">
        <v>3709</v>
      </c>
      <c r="B2165" s="1">
        <v>113.0</v>
      </c>
      <c r="C2165" s="1">
        <v>5.1697449E7</v>
      </c>
      <c r="D2165" s="1" t="s">
        <v>1059</v>
      </c>
      <c r="E2165" s="1" t="s">
        <v>4463</v>
      </c>
      <c r="F2165" s="1" t="s">
        <v>4464</v>
      </c>
      <c r="G2165" s="1">
        <v>8346.0</v>
      </c>
      <c r="H2165" s="1">
        <v>59.0</v>
      </c>
      <c r="I2165" s="1" t="s">
        <v>16</v>
      </c>
      <c r="J2165" s="1">
        <v>1.3E7</v>
      </c>
      <c r="K2165" s="1">
        <v>2009.0</v>
      </c>
      <c r="L2165" s="1">
        <v>4.1</v>
      </c>
      <c r="O2165" s="3"/>
      <c r="S2165" s="4"/>
    </row>
    <row r="2166" ht="14.25" customHeight="1">
      <c r="A2166" s="1" t="s">
        <v>1591</v>
      </c>
      <c r="B2166" s="1">
        <v>101.0</v>
      </c>
      <c r="C2166" s="1">
        <v>2.7758465E7</v>
      </c>
      <c r="D2166" s="1" t="s">
        <v>593</v>
      </c>
      <c r="E2166" s="1" t="s">
        <v>4465</v>
      </c>
      <c r="F2166" s="1" t="s">
        <v>4466</v>
      </c>
      <c r="G2166" s="1">
        <v>77987.0</v>
      </c>
      <c r="H2166" s="1">
        <v>120.0</v>
      </c>
      <c r="I2166" s="1" t="s">
        <v>16</v>
      </c>
      <c r="J2166" s="1">
        <v>1.9E7</v>
      </c>
      <c r="K2166" s="1">
        <v>2010.0</v>
      </c>
      <c r="L2166" s="1">
        <v>6.1</v>
      </c>
      <c r="O2166" s="3"/>
      <c r="S2166" s="4"/>
    </row>
    <row r="2167" ht="14.25" customHeight="1">
      <c r="A2167" s="1" t="s">
        <v>345</v>
      </c>
      <c r="B2167" s="1">
        <v>95.0</v>
      </c>
      <c r="C2167" s="1">
        <v>5.6127162E7</v>
      </c>
      <c r="D2167" s="1" t="s">
        <v>699</v>
      </c>
      <c r="E2167" s="1" t="s">
        <v>4467</v>
      </c>
      <c r="F2167" s="1" t="s">
        <v>4468</v>
      </c>
      <c r="G2167" s="1">
        <v>57479.0</v>
      </c>
      <c r="H2167" s="1">
        <v>205.0</v>
      </c>
      <c r="I2167" s="1" t="s">
        <v>16</v>
      </c>
      <c r="J2167" s="1">
        <v>1.8E7</v>
      </c>
      <c r="K2167" s="1">
        <v>2003.0</v>
      </c>
      <c r="L2167" s="1">
        <v>5.4</v>
      </c>
      <c r="O2167" s="3"/>
      <c r="S2167" s="4"/>
    </row>
    <row r="2168" ht="14.25" customHeight="1">
      <c r="A2168" s="1" t="s">
        <v>408</v>
      </c>
      <c r="B2168" s="1">
        <v>109.0</v>
      </c>
      <c r="C2168" s="1">
        <v>1357042.0</v>
      </c>
      <c r="D2168" s="1" t="s">
        <v>1464</v>
      </c>
      <c r="E2168" s="1" t="s">
        <v>4469</v>
      </c>
      <c r="F2168" s="1" t="s">
        <v>4470</v>
      </c>
      <c r="G2168" s="1">
        <v>53977.0</v>
      </c>
      <c r="H2168" s="1">
        <v>125.0</v>
      </c>
      <c r="I2168" s="1" t="s">
        <v>16</v>
      </c>
      <c r="J2168" s="1">
        <v>1.5E7</v>
      </c>
      <c r="K2168" s="1">
        <v>2011.0</v>
      </c>
      <c r="L2168" s="1">
        <v>7.1</v>
      </c>
      <c r="O2168" s="3"/>
      <c r="S2168" s="4"/>
    </row>
    <row r="2169" ht="14.25" customHeight="1">
      <c r="A2169" s="1" t="s">
        <v>4471</v>
      </c>
      <c r="B2169" s="1">
        <v>85.0</v>
      </c>
      <c r="C2169" s="1">
        <v>1.5911333E7</v>
      </c>
      <c r="D2169" s="1" t="s">
        <v>1027</v>
      </c>
      <c r="E2169" s="1" t="s">
        <v>3530</v>
      </c>
      <c r="F2169" s="1" t="s">
        <v>4472</v>
      </c>
      <c r="G2169" s="1">
        <v>2855.0</v>
      </c>
      <c r="H2169" s="1">
        <v>119.0</v>
      </c>
      <c r="I2169" s="1" t="s">
        <v>16</v>
      </c>
      <c r="J2169" s="1">
        <v>1.9E7</v>
      </c>
      <c r="K2169" s="1">
        <v>2000.0</v>
      </c>
      <c r="L2169" s="1">
        <v>3.6</v>
      </c>
      <c r="O2169" s="3"/>
      <c r="S2169" s="4"/>
    </row>
    <row r="2170" ht="14.25" customHeight="1">
      <c r="A2170" s="1" t="s">
        <v>453</v>
      </c>
      <c r="B2170" s="1">
        <v>101.0</v>
      </c>
      <c r="C2170" s="1">
        <v>3.9103378E7</v>
      </c>
      <c r="D2170" s="1" t="s">
        <v>2657</v>
      </c>
      <c r="E2170" s="1" t="s">
        <v>2104</v>
      </c>
      <c r="F2170" s="1" t="s">
        <v>4473</v>
      </c>
      <c r="G2170" s="1">
        <v>93272.0</v>
      </c>
      <c r="H2170" s="1">
        <v>251.0</v>
      </c>
      <c r="I2170" s="1" t="s">
        <v>16</v>
      </c>
      <c r="J2170" s="1">
        <v>2.0E7</v>
      </c>
      <c r="K2170" s="1">
        <v>2010.0</v>
      </c>
      <c r="L2170" s="1">
        <v>6.5</v>
      </c>
      <c r="O2170" s="3"/>
      <c r="S2170" s="4"/>
    </row>
    <row r="2171" ht="14.25" customHeight="1">
      <c r="A2171" s="1" t="s">
        <v>3073</v>
      </c>
      <c r="B2171" s="1">
        <v>125.0</v>
      </c>
      <c r="C2171" s="1">
        <v>1.0049886E7</v>
      </c>
      <c r="D2171" s="1" t="s">
        <v>270</v>
      </c>
      <c r="E2171" s="1" t="s">
        <v>4474</v>
      </c>
      <c r="F2171" s="1" t="s">
        <v>4475</v>
      </c>
      <c r="G2171" s="1">
        <v>417971.0</v>
      </c>
      <c r="H2171" s="1">
        <v>902.0</v>
      </c>
      <c r="I2171" s="1" t="s">
        <v>3076</v>
      </c>
      <c r="J2171" s="1">
        <v>1.9E7</v>
      </c>
      <c r="K2171" s="1">
        <v>2001.0</v>
      </c>
      <c r="L2171" s="1">
        <v>8.6</v>
      </c>
      <c r="O2171" s="3"/>
      <c r="S2171" s="4"/>
    </row>
    <row r="2172" ht="14.25" customHeight="1">
      <c r="A2172" s="1" t="s">
        <v>620</v>
      </c>
      <c r="B2172" s="1">
        <v>132.0</v>
      </c>
      <c r="C2172" s="1">
        <v>8600000.0</v>
      </c>
      <c r="D2172" s="1" t="s">
        <v>1192</v>
      </c>
      <c r="E2172" s="1" t="s">
        <v>100</v>
      </c>
      <c r="F2172" s="1" t="s">
        <v>4476</v>
      </c>
      <c r="G2172" s="1">
        <v>17982.0</v>
      </c>
      <c r="H2172" s="1">
        <v>95.0</v>
      </c>
      <c r="I2172" s="1" t="s">
        <v>16</v>
      </c>
      <c r="J2172" s="1">
        <v>2.5E7</v>
      </c>
      <c r="K2172" s="1">
        <v>1984.0</v>
      </c>
      <c r="L2172" s="1">
        <v>7.0</v>
      </c>
      <c r="O2172" s="3"/>
      <c r="S2172" s="4"/>
    </row>
    <row r="2173" ht="14.25" customHeight="1">
      <c r="A2173" s="1" t="s">
        <v>4477</v>
      </c>
      <c r="B2173" s="1">
        <v>131.0</v>
      </c>
      <c r="C2173" s="1">
        <v>2.1483154E7</v>
      </c>
      <c r="D2173" s="1" t="s">
        <v>1384</v>
      </c>
      <c r="E2173" s="1" t="s">
        <v>3429</v>
      </c>
      <c r="F2173" s="1" t="s">
        <v>4478</v>
      </c>
      <c r="G2173" s="1">
        <v>98741.0</v>
      </c>
      <c r="H2173" s="1">
        <v>236.0</v>
      </c>
      <c r="I2173" s="1" t="s">
        <v>16</v>
      </c>
      <c r="J2173" s="1">
        <v>1.9E7</v>
      </c>
      <c r="K2173" s="1">
        <v>2013.0</v>
      </c>
      <c r="L2173" s="1">
        <v>7.6</v>
      </c>
      <c r="O2173" s="3"/>
      <c r="S2173" s="4"/>
    </row>
    <row r="2174" ht="14.25" customHeight="1">
      <c r="A2174" s="1" t="s">
        <v>1834</v>
      </c>
      <c r="B2174" s="1">
        <v>129.0</v>
      </c>
      <c r="C2174" s="1">
        <v>8396942.0</v>
      </c>
      <c r="D2174" s="1" t="s">
        <v>4479</v>
      </c>
      <c r="E2174" s="1" t="s">
        <v>4480</v>
      </c>
      <c r="F2174" s="1" t="s">
        <v>4481</v>
      </c>
      <c r="G2174" s="1">
        <v>72715.0</v>
      </c>
      <c r="H2174" s="1">
        <v>103.0</v>
      </c>
      <c r="I2174" s="1" t="s">
        <v>16</v>
      </c>
      <c r="J2174" s="1">
        <v>1.9E7</v>
      </c>
      <c r="K2174" s="1">
        <v>2008.0</v>
      </c>
      <c r="L2174" s="1">
        <v>6.5</v>
      </c>
      <c r="O2174" s="3"/>
      <c r="S2174" s="4"/>
    </row>
    <row r="2175" ht="14.25" customHeight="1">
      <c r="A2175" s="1" t="s">
        <v>4482</v>
      </c>
      <c r="B2175" s="1">
        <v>100.0</v>
      </c>
      <c r="C2175" s="1">
        <v>12561.0</v>
      </c>
      <c r="D2175" s="1" t="s">
        <v>699</v>
      </c>
      <c r="E2175" s="1" t="s">
        <v>896</v>
      </c>
      <c r="F2175" s="1" t="s">
        <v>4483</v>
      </c>
      <c r="G2175" s="1">
        <v>71276.0</v>
      </c>
      <c r="H2175" s="1">
        <v>181.0</v>
      </c>
      <c r="I2175" s="1" t="s">
        <v>16</v>
      </c>
      <c r="J2175" s="1">
        <v>1.9E7</v>
      </c>
      <c r="K2175" s="1">
        <v>2010.0</v>
      </c>
      <c r="L2175" s="1">
        <v>6.4</v>
      </c>
      <c r="O2175" s="3"/>
      <c r="S2175" s="4"/>
    </row>
    <row r="2176" ht="14.25" customHeight="1">
      <c r="A2176" s="1" t="s">
        <v>4484</v>
      </c>
      <c r="B2176" s="1">
        <v>97.0</v>
      </c>
      <c r="C2176" s="1">
        <v>6923891.0</v>
      </c>
      <c r="D2176" s="1" t="s">
        <v>593</v>
      </c>
      <c r="E2176" s="1" t="s">
        <v>2577</v>
      </c>
      <c r="F2176" s="1" t="s">
        <v>4485</v>
      </c>
      <c r="G2176" s="1">
        <v>43867.0</v>
      </c>
      <c r="H2176" s="1">
        <v>83.0</v>
      </c>
      <c r="I2176" s="1" t="s">
        <v>16</v>
      </c>
      <c r="J2176" s="1">
        <v>2.3E7</v>
      </c>
      <c r="K2176" s="1">
        <v>2011.0</v>
      </c>
      <c r="L2176" s="1">
        <v>6.3</v>
      </c>
      <c r="O2176" s="3"/>
      <c r="S2176" s="4"/>
    </row>
    <row r="2177" ht="14.25" customHeight="1">
      <c r="A2177" s="1" t="s">
        <v>4486</v>
      </c>
      <c r="B2177" s="1">
        <v>92.0</v>
      </c>
      <c r="C2177" s="1">
        <v>2119994.0</v>
      </c>
      <c r="D2177" s="1" t="s">
        <v>4487</v>
      </c>
      <c r="E2177" s="1" t="s">
        <v>4488</v>
      </c>
      <c r="F2177" s="1" t="s">
        <v>4489</v>
      </c>
      <c r="G2177" s="1">
        <v>1153.0</v>
      </c>
      <c r="H2177" s="1">
        <v>15.0</v>
      </c>
      <c r="I2177" s="1" t="s">
        <v>16</v>
      </c>
      <c r="J2177" s="1">
        <v>1.9E7</v>
      </c>
      <c r="K2177" s="1">
        <v>1993.0</v>
      </c>
      <c r="L2177" s="1">
        <v>5.7</v>
      </c>
      <c r="O2177" s="3"/>
      <c r="S2177" s="4"/>
    </row>
    <row r="2178" ht="14.25" customHeight="1">
      <c r="A2178" s="1" t="s">
        <v>4490</v>
      </c>
      <c r="B2178" s="1">
        <v>116.0</v>
      </c>
      <c r="C2178" s="1">
        <v>1292527.0</v>
      </c>
      <c r="D2178" s="1" t="s">
        <v>4491</v>
      </c>
      <c r="E2178" s="1" t="s">
        <v>119</v>
      </c>
      <c r="F2178" s="1" t="s">
        <v>4492</v>
      </c>
      <c r="G2178" s="1">
        <v>3536.0</v>
      </c>
      <c r="H2178" s="1">
        <v>44.0</v>
      </c>
      <c r="I2178" s="1" t="s">
        <v>16</v>
      </c>
      <c r="J2178" s="1">
        <v>1.9E7</v>
      </c>
      <c r="K2178" s="1">
        <v>1996.0</v>
      </c>
      <c r="L2178" s="1">
        <v>6.3</v>
      </c>
      <c r="O2178" s="3"/>
      <c r="S2178" s="4"/>
    </row>
    <row r="2179" ht="14.25" customHeight="1">
      <c r="A2179" s="1" t="s">
        <v>4493</v>
      </c>
      <c r="B2179" s="1">
        <v>90.0</v>
      </c>
      <c r="C2179" s="1">
        <v>6.4255243E7</v>
      </c>
      <c r="D2179" s="1" t="s">
        <v>2439</v>
      </c>
      <c r="E2179" s="1" t="s">
        <v>223</v>
      </c>
      <c r="F2179" s="1" t="s">
        <v>4494</v>
      </c>
      <c r="G2179" s="1">
        <v>80903.0</v>
      </c>
      <c r="H2179" s="1">
        <v>518.0</v>
      </c>
      <c r="I2179" s="1" t="s">
        <v>16</v>
      </c>
      <c r="J2179" s="1">
        <v>1.9E7</v>
      </c>
      <c r="K2179" s="1">
        <v>2005.0</v>
      </c>
      <c r="L2179" s="1">
        <v>6.0</v>
      </c>
      <c r="O2179" s="3"/>
      <c r="S2179" s="4"/>
    </row>
    <row r="2180" ht="14.25" customHeight="1">
      <c r="A2180" s="1" t="s">
        <v>749</v>
      </c>
      <c r="B2180" s="1">
        <v>81.0</v>
      </c>
      <c r="C2180" s="1">
        <v>2.2245861E7</v>
      </c>
      <c r="D2180" s="1" t="s">
        <v>1059</v>
      </c>
      <c r="E2180" s="1" t="s">
        <v>301</v>
      </c>
      <c r="F2180" s="1" t="s">
        <v>4495</v>
      </c>
      <c r="G2180" s="1">
        <v>143251.0</v>
      </c>
      <c r="H2180" s="1">
        <v>710.0</v>
      </c>
      <c r="I2180" s="1" t="s">
        <v>16</v>
      </c>
      <c r="J2180" s="1">
        <v>1.9E7</v>
      </c>
      <c r="K2180" s="1">
        <v>2002.0</v>
      </c>
      <c r="L2180" s="1">
        <v>7.7</v>
      </c>
      <c r="O2180" s="3"/>
      <c r="S2180" s="4"/>
    </row>
    <row r="2181" ht="14.25" customHeight="1">
      <c r="A2181" s="1" t="s">
        <v>4496</v>
      </c>
      <c r="B2181" s="1">
        <v>97.0</v>
      </c>
      <c r="C2181" s="1">
        <v>2.043394E7</v>
      </c>
      <c r="D2181" s="1" t="s">
        <v>2551</v>
      </c>
      <c r="E2181" s="1" t="s">
        <v>4497</v>
      </c>
      <c r="F2181" s="1" t="s">
        <v>4498</v>
      </c>
      <c r="G2181" s="1">
        <v>78883.0</v>
      </c>
      <c r="H2181" s="1">
        <v>662.0</v>
      </c>
      <c r="I2181" s="1" t="s">
        <v>16</v>
      </c>
      <c r="J2181" s="1">
        <v>1.5E7</v>
      </c>
      <c r="K2181" s="1">
        <v>2005.0</v>
      </c>
      <c r="L2181" s="1">
        <v>6.2</v>
      </c>
      <c r="O2181" s="3"/>
      <c r="S2181" s="4"/>
    </row>
    <row r="2182" ht="14.25" customHeight="1">
      <c r="A2182" s="1" t="s">
        <v>1150</v>
      </c>
      <c r="B2182" s="1">
        <v>118.0</v>
      </c>
      <c r="C2182" s="1">
        <v>1.0562387E7</v>
      </c>
      <c r="D2182" s="1" t="s">
        <v>2162</v>
      </c>
      <c r="E2182" s="1" t="s">
        <v>19</v>
      </c>
      <c r="F2182" s="1" t="s">
        <v>4499</v>
      </c>
      <c r="G2182" s="1">
        <v>213226.0</v>
      </c>
      <c r="H2182" s="1">
        <v>648.0</v>
      </c>
      <c r="I2182" s="1" t="s">
        <v>16</v>
      </c>
      <c r="J2182" s="1">
        <v>1.85E7</v>
      </c>
      <c r="K2182" s="1">
        <v>1998.0</v>
      </c>
      <c r="L2182" s="1">
        <v>7.7</v>
      </c>
      <c r="O2182" s="3"/>
      <c r="S2182" s="4"/>
    </row>
    <row r="2183" ht="14.25" customHeight="1">
      <c r="A2183" s="1" t="s">
        <v>4500</v>
      </c>
      <c r="B2183" s="1">
        <v>100.0</v>
      </c>
      <c r="C2183" s="1">
        <v>1.8439082E7</v>
      </c>
      <c r="D2183" s="1" t="s">
        <v>1481</v>
      </c>
      <c r="E2183" s="1" t="s">
        <v>320</v>
      </c>
      <c r="F2183" s="1" t="s">
        <v>4501</v>
      </c>
      <c r="G2183" s="1">
        <v>94292.0</v>
      </c>
      <c r="H2183" s="1">
        <v>287.0</v>
      </c>
      <c r="I2183" s="1" t="s">
        <v>16</v>
      </c>
      <c r="J2183" s="1">
        <v>1.85E7</v>
      </c>
      <c r="K2183" s="1">
        <v>2009.0</v>
      </c>
      <c r="L2183" s="1">
        <v>6.4</v>
      </c>
      <c r="O2183" s="3"/>
      <c r="S2183" s="4"/>
    </row>
    <row r="2184" ht="14.25" customHeight="1">
      <c r="A2184" s="1" t="s">
        <v>2927</v>
      </c>
      <c r="B2184" s="1">
        <v>97.0</v>
      </c>
      <c r="C2184" s="1">
        <v>1.50056505E8</v>
      </c>
      <c r="D2184" s="1" t="s">
        <v>828</v>
      </c>
      <c r="E2184" s="1" t="s">
        <v>4502</v>
      </c>
      <c r="F2184" s="1" t="s">
        <v>4503</v>
      </c>
      <c r="G2184" s="1">
        <v>216581.0</v>
      </c>
      <c r="H2184" s="1">
        <v>397.0</v>
      </c>
      <c r="I2184" s="1" t="s">
        <v>16</v>
      </c>
      <c r="J2184" s="1">
        <v>1.8E7</v>
      </c>
      <c r="K2184" s="1">
        <v>2014.0</v>
      </c>
      <c r="L2184" s="1">
        <v>6.4</v>
      </c>
      <c r="O2184" s="3"/>
      <c r="S2184" s="4"/>
    </row>
    <row r="2185" ht="14.25" customHeight="1">
      <c r="A2185" s="1" t="s">
        <v>730</v>
      </c>
      <c r="B2185" s="1">
        <v>114.0</v>
      </c>
      <c r="C2185" s="1">
        <v>1.1993873E8</v>
      </c>
      <c r="D2185" s="1" t="s">
        <v>4292</v>
      </c>
      <c r="E2185" s="1" t="s">
        <v>1691</v>
      </c>
      <c r="F2185" s="1" t="s">
        <v>4504</v>
      </c>
      <c r="G2185" s="1">
        <v>265818.0</v>
      </c>
      <c r="H2185" s="1">
        <v>213.0</v>
      </c>
      <c r="I2185" s="1" t="s">
        <v>16</v>
      </c>
      <c r="J2185" s="1">
        <v>1.8E7</v>
      </c>
      <c r="K2185" s="1">
        <v>1994.0</v>
      </c>
      <c r="L2185" s="1">
        <v>6.9</v>
      </c>
      <c r="O2185" s="3"/>
      <c r="S2185" s="4"/>
    </row>
    <row r="2186" ht="14.25" customHeight="1">
      <c r="A2186" s="1" t="s">
        <v>2246</v>
      </c>
      <c r="B2186" s="1">
        <v>130.0</v>
      </c>
      <c r="C2186" s="1">
        <v>1.14968774E8</v>
      </c>
      <c r="D2186" s="1" t="s">
        <v>2546</v>
      </c>
      <c r="E2186" s="1" t="s">
        <v>140</v>
      </c>
      <c r="F2186" s="1" t="s">
        <v>4505</v>
      </c>
      <c r="G2186" s="1">
        <v>153468.0</v>
      </c>
      <c r="H2186" s="1">
        <v>204.0</v>
      </c>
      <c r="I2186" s="1" t="s">
        <v>16</v>
      </c>
      <c r="J2186" s="1">
        <v>1.8E7</v>
      </c>
      <c r="K2186" s="1">
        <v>1988.0</v>
      </c>
      <c r="L2186" s="1">
        <v>7.3</v>
      </c>
      <c r="O2186" s="3"/>
      <c r="S2186" s="4"/>
    </row>
    <row r="2187" ht="14.25" customHeight="1">
      <c r="A2187" s="1" t="s">
        <v>1514</v>
      </c>
      <c r="B2187" s="1">
        <v>82.0</v>
      </c>
      <c r="C2187" s="1">
        <v>1.28505958E8</v>
      </c>
      <c r="D2187" s="1" t="s">
        <v>828</v>
      </c>
      <c r="E2187" s="1" t="s">
        <v>4506</v>
      </c>
      <c r="F2187" s="1" t="s">
        <v>4507</v>
      </c>
      <c r="G2187" s="1">
        <v>297014.0</v>
      </c>
      <c r="H2187" s="1">
        <v>1198.0</v>
      </c>
      <c r="I2187" s="1" t="s">
        <v>16</v>
      </c>
      <c r="J2187" s="1">
        <v>1.8E7</v>
      </c>
      <c r="K2187" s="1">
        <v>2006.0</v>
      </c>
      <c r="L2187" s="1">
        <v>7.3</v>
      </c>
      <c r="O2187" s="3"/>
      <c r="S2187" s="4"/>
    </row>
    <row r="2188" ht="14.25" customHeight="1">
      <c r="A2188" s="1" t="s">
        <v>1265</v>
      </c>
      <c r="B2188" s="1">
        <v>96.0</v>
      </c>
      <c r="C2188" s="1">
        <v>9.5001351E7</v>
      </c>
      <c r="D2188" s="1" t="s">
        <v>699</v>
      </c>
      <c r="E2188" s="1" t="s">
        <v>4508</v>
      </c>
      <c r="F2188" s="1" t="s">
        <v>4509</v>
      </c>
      <c r="G2188" s="1">
        <v>131801.0</v>
      </c>
      <c r="H2188" s="1">
        <v>548.0</v>
      </c>
      <c r="I2188" s="1" t="s">
        <v>16</v>
      </c>
      <c r="J2188" s="1">
        <v>1.8E7</v>
      </c>
      <c r="K2188" s="1">
        <v>2001.0</v>
      </c>
      <c r="L2188" s="1">
        <v>6.2</v>
      </c>
      <c r="O2188" s="3"/>
      <c r="S2188" s="4"/>
    </row>
    <row r="2189" ht="14.25" customHeight="1">
      <c r="A2189" s="1" t="s">
        <v>914</v>
      </c>
      <c r="B2189" s="1">
        <v>105.0</v>
      </c>
      <c r="C2189" s="1">
        <v>7.64E7</v>
      </c>
      <c r="D2189" s="1" t="s">
        <v>30</v>
      </c>
      <c r="E2189" s="1" t="s">
        <v>914</v>
      </c>
      <c r="F2189" s="1" t="s">
        <v>4510</v>
      </c>
      <c r="G2189" s="1">
        <v>58743.0</v>
      </c>
      <c r="H2189" s="1">
        <v>192.0</v>
      </c>
      <c r="I2189" s="1" t="s">
        <v>16</v>
      </c>
      <c r="J2189" s="1">
        <v>1.7E7</v>
      </c>
      <c r="K2189" s="1">
        <v>1984.0</v>
      </c>
      <c r="L2189" s="1">
        <v>6.6</v>
      </c>
      <c r="O2189" s="3"/>
      <c r="S2189" s="4"/>
    </row>
    <row r="2190" ht="14.25" customHeight="1">
      <c r="A2190" s="1" t="s">
        <v>1111</v>
      </c>
      <c r="B2190" s="1">
        <v>122.0</v>
      </c>
      <c r="C2190" s="1">
        <v>7.5072454E7</v>
      </c>
      <c r="D2190" s="1" t="s">
        <v>1790</v>
      </c>
      <c r="E2190" s="1" t="s">
        <v>1907</v>
      </c>
      <c r="F2190" s="1" t="s">
        <v>4511</v>
      </c>
      <c r="G2190" s="1">
        <v>96569.0</v>
      </c>
      <c r="H2190" s="1">
        <v>522.0</v>
      </c>
      <c r="I2190" s="1" t="s">
        <v>16</v>
      </c>
      <c r="J2190" s="1">
        <v>2.0E7</v>
      </c>
      <c r="K2190" s="1">
        <v>2005.0</v>
      </c>
      <c r="L2190" s="1">
        <v>6.7</v>
      </c>
      <c r="O2190" s="3"/>
      <c r="S2190" s="4"/>
    </row>
    <row r="2191" ht="14.25" customHeight="1">
      <c r="A2191" s="1" t="s">
        <v>255</v>
      </c>
      <c r="B2191" s="1">
        <v>88.0</v>
      </c>
      <c r="C2191" s="1">
        <v>6.5535067E7</v>
      </c>
      <c r="D2191" s="1" t="s">
        <v>699</v>
      </c>
      <c r="E2191" s="1" t="s">
        <v>204</v>
      </c>
      <c r="F2191" s="1" t="s">
        <v>4512</v>
      </c>
      <c r="G2191" s="1">
        <v>59380.0</v>
      </c>
      <c r="H2191" s="1">
        <v>202.0</v>
      </c>
      <c r="I2191" s="1" t="s">
        <v>16</v>
      </c>
      <c r="J2191" s="1">
        <v>1.7E7</v>
      </c>
      <c r="K2191" s="1">
        <v>1999.0</v>
      </c>
      <c r="L2191" s="1">
        <v>5.7</v>
      </c>
      <c r="O2191" s="3"/>
      <c r="S2191" s="4"/>
    </row>
    <row r="2192" ht="14.25" customHeight="1">
      <c r="A2192" s="1" t="s">
        <v>4513</v>
      </c>
      <c r="B2192" s="1">
        <v>110.0</v>
      </c>
      <c r="C2192" s="1">
        <v>1.3998282E7</v>
      </c>
      <c r="D2192" s="1" t="s">
        <v>4514</v>
      </c>
      <c r="E2192" s="1" t="s">
        <v>301</v>
      </c>
      <c r="F2192" s="1" t="s">
        <v>4515</v>
      </c>
      <c r="G2192" s="1">
        <v>24854.0</v>
      </c>
      <c r="H2192" s="1">
        <v>374.0</v>
      </c>
      <c r="I2192" s="1" t="s">
        <v>16</v>
      </c>
      <c r="J2192" s="1">
        <v>1.6E7</v>
      </c>
      <c r="K2192" s="1">
        <v>2014.0</v>
      </c>
      <c r="L2192" s="1">
        <v>3.1</v>
      </c>
      <c r="O2192" s="3"/>
      <c r="S2192" s="4"/>
    </row>
    <row r="2193" ht="14.25" customHeight="1">
      <c r="A2193" s="1" t="s">
        <v>4246</v>
      </c>
      <c r="B2193" s="1">
        <v>103.0</v>
      </c>
      <c r="C2193" s="1">
        <v>6061759.0</v>
      </c>
      <c r="D2193" s="1" t="s">
        <v>593</v>
      </c>
      <c r="E2193" s="1" t="s">
        <v>4516</v>
      </c>
      <c r="F2193" s="1" t="s">
        <v>4517</v>
      </c>
      <c r="G2193" s="1">
        <v>49077.0</v>
      </c>
      <c r="H2193" s="1">
        <v>475.0</v>
      </c>
      <c r="I2193" s="1" t="s">
        <v>16</v>
      </c>
      <c r="J2193" s="1">
        <v>1.7E7</v>
      </c>
      <c r="K2193" s="1">
        <v>2005.0</v>
      </c>
      <c r="L2193" s="1">
        <v>6.3</v>
      </c>
      <c r="O2193" s="3"/>
      <c r="S2193" s="4"/>
    </row>
    <row r="2194" ht="14.25" customHeight="1">
      <c r="A2194" s="1" t="s">
        <v>2904</v>
      </c>
      <c r="B2194" s="1">
        <v>106.0</v>
      </c>
      <c r="C2194" s="1">
        <v>6.4955956E7</v>
      </c>
      <c r="D2194" s="1" t="s">
        <v>1059</v>
      </c>
      <c r="E2194" s="1" t="s">
        <v>3587</v>
      </c>
      <c r="F2194" s="1" t="s">
        <v>4518</v>
      </c>
      <c r="G2194" s="1">
        <v>10104.0</v>
      </c>
      <c r="H2194" s="1">
        <v>69.0</v>
      </c>
      <c r="I2194" s="1" t="s">
        <v>16</v>
      </c>
      <c r="J2194" s="1">
        <v>1.8E7</v>
      </c>
      <c r="K2194" s="1">
        <v>2004.0</v>
      </c>
      <c r="L2194" s="1">
        <v>5.7</v>
      </c>
      <c r="O2194" s="3"/>
      <c r="S2194" s="4"/>
    </row>
    <row r="2195" ht="14.25" customHeight="1">
      <c r="A2195" s="1" t="s">
        <v>4519</v>
      </c>
      <c r="B2195" s="1">
        <v>98.0</v>
      </c>
      <c r="C2195" s="1">
        <v>6.0057639E7</v>
      </c>
      <c r="D2195" s="1" t="s">
        <v>3596</v>
      </c>
      <c r="E2195" s="1" t="s">
        <v>343</v>
      </c>
      <c r="F2195" s="1" t="s">
        <v>4520</v>
      </c>
      <c r="G2195" s="1">
        <v>107815.0</v>
      </c>
      <c r="H2195" s="1">
        <v>485.0</v>
      </c>
      <c r="I2195" s="1" t="s">
        <v>16</v>
      </c>
      <c r="J2195" s="1">
        <v>1.8E7</v>
      </c>
      <c r="K2195" s="1">
        <v>2003.0</v>
      </c>
      <c r="L2195" s="1">
        <v>7.1</v>
      </c>
      <c r="O2195" s="3"/>
      <c r="S2195" s="4"/>
    </row>
    <row r="2196" ht="14.25" customHeight="1">
      <c r="A2196" s="1" t="s">
        <v>827</v>
      </c>
      <c r="B2196" s="1">
        <v>68.0</v>
      </c>
      <c r="C2196" s="1">
        <v>5.386803E7</v>
      </c>
      <c r="D2196" s="1" t="s">
        <v>427</v>
      </c>
      <c r="E2196" s="1" t="s">
        <v>783</v>
      </c>
      <c r="F2196" s="1" t="s">
        <v>4521</v>
      </c>
      <c r="G2196" s="1">
        <v>183425.0</v>
      </c>
      <c r="H2196" s="1">
        <v>425.0</v>
      </c>
      <c r="I2196" s="1" t="s">
        <v>16</v>
      </c>
      <c r="J2196" s="1">
        <v>1.7E7</v>
      </c>
      <c r="K2196" s="1">
        <v>1997.0</v>
      </c>
      <c r="L2196" s="1">
        <v>7.0</v>
      </c>
      <c r="O2196" s="3"/>
      <c r="S2196" s="4"/>
    </row>
    <row r="2197" ht="14.25" customHeight="1">
      <c r="A2197" s="1" t="s">
        <v>2829</v>
      </c>
      <c r="B2197" s="1">
        <v>94.0</v>
      </c>
      <c r="C2197" s="1">
        <v>5.9573085E7</v>
      </c>
      <c r="D2197" s="1" t="s">
        <v>1125</v>
      </c>
      <c r="E2197" s="1" t="s">
        <v>4522</v>
      </c>
      <c r="F2197" s="1" t="s">
        <v>4523</v>
      </c>
      <c r="G2197" s="1">
        <v>13562.0</v>
      </c>
      <c r="H2197" s="1">
        <v>103.0</v>
      </c>
      <c r="I2197" s="1" t="s">
        <v>16</v>
      </c>
      <c r="J2197" s="1">
        <v>1.8E7</v>
      </c>
      <c r="K2197" s="1">
        <v>2016.0</v>
      </c>
      <c r="L2197" s="1">
        <v>6.1</v>
      </c>
      <c r="O2197" s="3"/>
      <c r="S2197" s="4"/>
    </row>
    <row r="2198" ht="14.25" customHeight="1">
      <c r="A2198" s="1" t="s">
        <v>397</v>
      </c>
      <c r="B2198" s="1">
        <v>99.0</v>
      </c>
      <c r="C2198" s="1">
        <v>5.2691009E7</v>
      </c>
      <c r="D2198" s="1" t="s">
        <v>1247</v>
      </c>
      <c r="E2198" s="1" t="s">
        <v>4035</v>
      </c>
      <c r="F2198" s="1" t="s">
        <v>4524</v>
      </c>
      <c r="G2198" s="1">
        <v>18727.0</v>
      </c>
      <c r="H2198" s="1">
        <v>45.0</v>
      </c>
      <c r="I2198" s="1" t="s">
        <v>16</v>
      </c>
      <c r="J2198" s="1">
        <v>2.1E7</v>
      </c>
      <c r="K2198" s="1">
        <v>2011.0</v>
      </c>
      <c r="L2198" s="1">
        <v>6.6</v>
      </c>
      <c r="O2198" s="3"/>
      <c r="S2198" s="4"/>
    </row>
    <row r="2199" ht="14.25" customHeight="1">
      <c r="A2199" s="1" t="s">
        <v>545</v>
      </c>
      <c r="B2199" s="1">
        <v>107.0</v>
      </c>
      <c r="C2199" s="1">
        <v>5.9735548E7</v>
      </c>
      <c r="D2199" s="1" t="s">
        <v>1701</v>
      </c>
      <c r="E2199" s="1" t="s">
        <v>109</v>
      </c>
      <c r="F2199" s="1" t="s">
        <v>4525</v>
      </c>
      <c r="G2199" s="1">
        <v>290949.0</v>
      </c>
      <c r="H2199" s="1">
        <v>629.0</v>
      </c>
      <c r="I2199" s="1" t="s">
        <v>16</v>
      </c>
      <c r="J2199" s="1">
        <v>1.5E7</v>
      </c>
      <c r="K2199" s="1">
        <v>1987.0</v>
      </c>
      <c r="L2199" s="1">
        <v>7.8</v>
      </c>
      <c r="O2199" s="3"/>
      <c r="S2199" s="4"/>
    </row>
    <row r="2200" ht="14.25" customHeight="1">
      <c r="A2200" s="1" t="s">
        <v>2003</v>
      </c>
      <c r="B2200" s="1">
        <v>180.0</v>
      </c>
      <c r="C2200" s="1">
        <v>5.16E7</v>
      </c>
      <c r="D2200" s="1" t="s">
        <v>4526</v>
      </c>
      <c r="E2200" s="1" t="s">
        <v>4527</v>
      </c>
      <c r="F2200" s="1" t="s">
        <v>4528</v>
      </c>
      <c r="G2200" s="1">
        <v>270790.0</v>
      </c>
      <c r="H2200" s="1">
        <v>549.0</v>
      </c>
      <c r="I2200" s="1" t="s">
        <v>16</v>
      </c>
      <c r="J2200" s="1">
        <v>1.8E7</v>
      </c>
      <c r="K2200" s="1">
        <v>1984.0</v>
      </c>
      <c r="L2200" s="1">
        <v>8.3</v>
      </c>
      <c r="O2200" s="3"/>
      <c r="S2200" s="4"/>
    </row>
    <row r="2201" ht="14.25" customHeight="1">
      <c r="A2201" s="1" t="s">
        <v>4529</v>
      </c>
      <c r="B2201" s="1">
        <v>89.0</v>
      </c>
      <c r="C2201" s="1">
        <v>4.3818159E7</v>
      </c>
      <c r="D2201" s="1" t="s">
        <v>2512</v>
      </c>
      <c r="E2201" s="1" t="s">
        <v>905</v>
      </c>
      <c r="F2201" s="1" t="s">
        <v>4530</v>
      </c>
      <c r="G2201" s="1">
        <v>27664.0</v>
      </c>
      <c r="H2201" s="1">
        <v>260.0</v>
      </c>
      <c r="I2201" s="1" t="s">
        <v>16</v>
      </c>
      <c r="J2201" s="1">
        <v>2.0E7</v>
      </c>
      <c r="K2201" s="1">
        <v>2008.0</v>
      </c>
      <c r="L2201" s="1">
        <v>3.9</v>
      </c>
      <c r="O2201" s="3"/>
      <c r="S2201" s="4"/>
    </row>
    <row r="2202" ht="14.25" customHeight="1">
      <c r="A2202" s="1" t="s">
        <v>863</v>
      </c>
      <c r="B2202" s="1">
        <v>97.0</v>
      </c>
      <c r="C2202" s="1">
        <v>8.6049418E7</v>
      </c>
      <c r="D2202" s="1" t="s">
        <v>828</v>
      </c>
      <c r="E2202" s="1" t="s">
        <v>3259</v>
      </c>
      <c r="F2202" s="1" t="s">
        <v>4531</v>
      </c>
      <c r="G2202" s="1">
        <v>245989.0</v>
      </c>
      <c r="H2202" s="1">
        <v>554.0</v>
      </c>
      <c r="I2202" s="1" t="s">
        <v>16</v>
      </c>
      <c r="J2202" s="1">
        <v>1.7E7</v>
      </c>
      <c r="K2202" s="1">
        <v>2004.0</v>
      </c>
      <c r="L2202" s="1">
        <v>7.0</v>
      </c>
      <c r="O2202" s="3"/>
      <c r="S2202" s="4"/>
    </row>
    <row r="2203" ht="14.25" customHeight="1">
      <c r="A2203" s="1" t="s">
        <v>4532</v>
      </c>
      <c r="B2203" s="1">
        <v>113.0</v>
      </c>
      <c r="C2203" s="1">
        <v>4.3601508E7</v>
      </c>
      <c r="D2203" s="1" t="s">
        <v>593</v>
      </c>
      <c r="E2203" s="1" t="s">
        <v>4533</v>
      </c>
      <c r="F2203" s="1" t="s">
        <v>4534</v>
      </c>
      <c r="G2203" s="1">
        <v>35718.0</v>
      </c>
      <c r="H2203" s="1">
        <v>317.0</v>
      </c>
      <c r="I2203" s="1" t="s">
        <v>16</v>
      </c>
      <c r="J2203" s="1">
        <v>1.8E7</v>
      </c>
      <c r="K2203" s="1">
        <v>2003.0</v>
      </c>
      <c r="L2203" s="1">
        <v>6.7</v>
      </c>
      <c r="O2203" s="3"/>
      <c r="S2203" s="4"/>
    </row>
    <row r="2204" ht="14.25" customHeight="1">
      <c r="A2204" s="1" t="s">
        <v>4490</v>
      </c>
      <c r="B2204" s="1">
        <v>131.0</v>
      </c>
      <c r="C2204" s="1">
        <v>4.1300105E7</v>
      </c>
      <c r="D2204" s="1" t="s">
        <v>3192</v>
      </c>
      <c r="E2204" s="1" t="s">
        <v>4535</v>
      </c>
      <c r="F2204" s="1" t="s">
        <v>4536</v>
      </c>
      <c r="G2204" s="1">
        <v>65201.0</v>
      </c>
      <c r="H2204" s="1">
        <v>651.0</v>
      </c>
      <c r="I2204" s="1" t="s">
        <v>16</v>
      </c>
      <c r="J2204" s="1">
        <v>1.98E7</v>
      </c>
      <c r="K2204" s="1">
        <v>2001.0</v>
      </c>
      <c r="L2204" s="1">
        <v>7.3</v>
      </c>
      <c r="O2204" s="3"/>
      <c r="S2204" s="4"/>
    </row>
    <row r="2205" ht="14.25" customHeight="1">
      <c r="A2205" s="1" t="s">
        <v>1957</v>
      </c>
      <c r="B2205" s="1">
        <v>103.0</v>
      </c>
      <c r="C2205" s="1">
        <v>4.1382841E7</v>
      </c>
      <c r="D2205" s="1" t="s">
        <v>1046</v>
      </c>
      <c r="E2205" s="1" t="s">
        <v>301</v>
      </c>
      <c r="F2205" s="1" t="s">
        <v>4537</v>
      </c>
      <c r="G2205" s="1">
        <v>27149.0</v>
      </c>
      <c r="H2205" s="1">
        <v>96.0</v>
      </c>
      <c r="I2205" s="1" t="s">
        <v>16</v>
      </c>
      <c r="J2205" s="1">
        <v>1.8E7</v>
      </c>
      <c r="K2205" s="1">
        <v>1986.0</v>
      </c>
      <c r="L2205" s="1">
        <v>6.3</v>
      </c>
      <c r="O2205" s="3"/>
      <c r="S2205" s="4"/>
    </row>
    <row r="2206" ht="14.25" customHeight="1">
      <c r="A2206" s="1" t="s">
        <v>476</v>
      </c>
      <c r="B2206" s="1">
        <v>119.0</v>
      </c>
      <c r="C2206" s="1">
        <v>4.2335698E7</v>
      </c>
      <c r="D2206" s="1" t="s">
        <v>593</v>
      </c>
      <c r="E2206" s="1" t="s">
        <v>78</v>
      </c>
      <c r="F2206" s="1" t="s">
        <v>4538</v>
      </c>
      <c r="G2206" s="1">
        <v>395087.0</v>
      </c>
      <c r="H2206" s="1">
        <v>1101.0</v>
      </c>
      <c r="I2206" s="1" t="s">
        <v>16</v>
      </c>
      <c r="J2206" s="1">
        <v>1.8E7</v>
      </c>
      <c r="K2206" s="1">
        <v>2014.0</v>
      </c>
      <c r="L2206" s="1">
        <v>7.8</v>
      </c>
      <c r="O2206" s="3"/>
      <c r="S2206" s="4"/>
    </row>
    <row r="2207" ht="14.25" customHeight="1">
      <c r="A2207" s="1" t="s">
        <v>3268</v>
      </c>
      <c r="B2207" s="1">
        <v>98.0</v>
      </c>
      <c r="C2207" s="1">
        <v>3.3404871E7</v>
      </c>
      <c r="D2207" s="1" t="s">
        <v>1391</v>
      </c>
      <c r="E2207" s="1" t="s">
        <v>4539</v>
      </c>
      <c r="F2207" s="1" t="s">
        <v>4540</v>
      </c>
      <c r="G2207" s="1">
        <v>150082.0</v>
      </c>
      <c r="H2207" s="1">
        <v>384.0</v>
      </c>
      <c r="I2207" s="1" t="s">
        <v>16</v>
      </c>
      <c r="J2207" s="1">
        <v>1.8E7</v>
      </c>
      <c r="K2207" s="1">
        <v>2013.0</v>
      </c>
      <c r="L2207" s="1">
        <v>7.3</v>
      </c>
      <c r="O2207" s="3"/>
      <c r="S2207" s="4"/>
    </row>
    <row r="2208" ht="14.25" customHeight="1">
      <c r="A2208" s="1" t="s">
        <v>484</v>
      </c>
      <c r="B2208" s="1">
        <v>111.0</v>
      </c>
      <c r="C2208" s="1">
        <v>3.147143E7</v>
      </c>
      <c r="D2208" s="1" t="s">
        <v>1156</v>
      </c>
      <c r="E2208" s="1" t="s">
        <v>4541</v>
      </c>
      <c r="F2208" s="1" t="s">
        <v>4542</v>
      </c>
      <c r="G2208" s="1">
        <v>83374.0</v>
      </c>
      <c r="H2208" s="1">
        <v>828.0</v>
      </c>
      <c r="I2208" s="1" t="s">
        <v>16</v>
      </c>
      <c r="J2208" s="1">
        <v>1.5E7</v>
      </c>
      <c r="K2208" s="1">
        <v>2006.0</v>
      </c>
      <c r="L2208" s="1">
        <v>7.6</v>
      </c>
      <c r="O2208" s="3"/>
      <c r="S2208" s="4"/>
    </row>
    <row r="2209" ht="14.25" customHeight="1">
      <c r="A2209" s="1" t="s">
        <v>4543</v>
      </c>
      <c r="B2209" s="1">
        <v>94.0</v>
      </c>
      <c r="C2209" s="1">
        <v>3.022264E7</v>
      </c>
      <c r="D2209" s="1" t="s">
        <v>3098</v>
      </c>
      <c r="E2209" s="1" t="s">
        <v>4544</v>
      </c>
      <c r="F2209" s="1" t="s">
        <v>4545</v>
      </c>
      <c r="G2209" s="1">
        <v>36666.0</v>
      </c>
      <c r="H2209" s="1">
        <v>144.0</v>
      </c>
      <c r="I2209" s="1" t="s">
        <v>16</v>
      </c>
      <c r="J2209" s="1">
        <v>2.5E7</v>
      </c>
      <c r="K2209" s="1">
        <v>2003.0</v>
      </c>
      <c r="L2209" s="1">
        <v>5.3</v>
      </c>
      <c r="O2209" s="3"/>
      <c r="S2209" s="4"/>
    </row>
    <row r="2210" ht="14.25" customHeight="1">
      <c r="A2210" s="1" t="s">
        <v>430</v>
      </c>
      <c r="B2210" s="1">
        <v>122.0</v>
      </c>
      <c r="C2210" s="1">
        <v>2.683E7</v>
      </c>
      <c r="D2210" s="1" t="s">
        <v>824</v>
      </c>
      <c r="E2210" s="1" t="s">
        <v>717</v>
      </c>
      <c r="F2210" s="1" t="s">
        <v>3420</v>
      </c>
      <c r="G2210" s="1">
        <v>101889.0</v>
      </c>
      <c r="H2210" s="1">
        <v>365.0</v>
      </c>
      <c r="I2210" s="1" t="s">
        <v>16</v>
      </c>
      <c r="J2210" s="1">
        <v>1.8E7</v>
      </c>
      <c r="K2210" s="1">
        <v>1989.0</v>
      </c>
      <c r="L2210" s="1">
        <v>7.9</v>
      </c>
      <c r="O2210" s="3"/>
      <c r="S2210" s="4"/>
    </row>
    <row r="2211" ht="14.25" customHeight="1">
      <c r="A2211" s="1" t="s">
        <v>4546</v>
      </c>
      <c r="B2211" s="1">
        <v>81.0</v>
      </c>
      <c r="C2211" s="1">
        <v>2.6906039E7</v>
      </c>
      <c r="D2211" s="1" t="s">
        <v>907</v>
      </c>
      <c r="E2211" s="1" t="s">
        <v>4547</v>
      </c>
      <c r="F2211" s="1" t="s">
        <v>4548</v>
      </c>
      <c r="G2211" s="1">
        <v>29621.0</v>
      </c>
      <c r="H2211" s="1">
        <v>76.0</v>
      </c>
      <c r="I2211" s="1" t="s">
        <v>16</v>
      </c>
      <c r="J2211" s="1">
        <v>1.8E7</v>
      </c>
      <c r="K2211" s="1">
        <v>1996.0</v>
      </c>
      <c r="L2211" s="1">
        <v>5.3</v>
      </c>
      <c r="O2211" s="3"/>
      <c r="S2211" s="4"/>
    </row>
    <row r="2212" ht="14.25" customHeight="1">
      <c r="A2212" s="1" t="s">
        <v>2158</v>
      </c>
      <c r="B2212" s="1">
        <v>89.0</v>
      </c>
      <c r="C2212" s="1">
        <v>2.1378E7</v>
      </c>
      <c r="D2212" s="1" t="s">
        <v>2945</v>
      </c>
      <c r="E2212" s="1" t="s">
        <v>720</v>
      </c>
      <c r="F2212" s="1" t="s">
        <v>4549</v>
      </c>
      <c r="G2212" s="1">
        <v>46492.0</v>
      </c>
      <c r="H2212" s="1">
        <v>335.0</v>
      </c>
      <c r="I2212" s="1" t="s">
        <v>16</v>
      </c>
      <c r="J2212" s="1">
        <v>1000000.0</v>
      </c>
      <c r="K2212" s="1">
        <v>1980.0</v>
      </c>
      <c r="L2212" s="1">
        <v>6.8</v>
      </c>
      <c r="O2212" s="3"/>
      <c r="S2212" s="4"/>
    </row>
    <row r="2213" ht="14.25" customHeight="1">
      <c r="A2213" s="1" t="s">
        <v>4550</v>
      </c>
      <c r="B2213" s="1">
        <v>106.0</v>
      </c>
      <c r="C2213" s="1">
        <v>4.3853424E7</v>
      </c>
      <c r="D2213" s="1" t="s">
        <v>4551</v>
      </c>
      <c r="E2213" s="1" t="s">
        <v>870</v>
      </c>
      <c r="F2213" s="1" t="s">
        <v>4552</v>
      </c>
      <c r="G2213" s="1">
        <v>35514.0</v>
      </c>
      <c r="H2213" s="1">
        <v>114.0</v>
      </c>
      <c r="I2213" s="1" t="s">
        <v>16</v>
      </c>
      <c r="J2213" s="1">
        <v>1.8E7</v>
      </c>
      <c r="K2213" s="1">
        <v>2011.0</v>
      </c>
      <c r="L2213" s="1">
        <v>7.1</v>
      </c>
      <c r="O2213" s="3"/>
      <c r="S2213" s="4"/>
    </row>
    <row r="2214" ht="14.25" customHeight="1">
      <c r="A2214" s="1" t="s">
        <v>4553</v>
      </c>
      <c r="B2214" s="1">
        <v>86.0</v>
      </c>
      <c r="C2214" s="1">
        <v>2.3993605E7</v>
      </c>
      <c r="D2214" s="1" t="s">
        <v>3596</v>
      </c>
      <c r="E2214" s="1" t="s">
        <v>4554</v>
      </c>
      <c r="F2214" s="1" t="s">
        <v>4555</v>
      </c>
      <c r="G2214" s="1">
        <v>52467.0</v>
      </c>
      <c r="H2214" s="1">
        <v>248.0</v>
      </c>
      <c r="I2214" s="1" t="s">
        <v>16</v>
      </c>
      <c r="J2214" s="1">
        <v>1.8E7</v>
      </c>
      <c r="K2214" s="1">
        <v>2009.0</v>
      </c>
      <c r="L2214" s="1">
        <v>5.8</v>
      </c>
      <c r="O2214" s="3"/>
      <c r="S2214" s="4"/>
    </row>
    <row r="2215" ht="14.25" customHeight="1">
      <c r="A2215" s="1" t="s">
        <v>3768</v>
      </c>
      <c r="B2215" s="1">
        <v>103.0</v>
      </c>
      <c r="C2215" s="1">
        <v>2.64E7</v>
      </c>
      <c r="D2215" s="1" t="s">
        <v>18</v>
      </c>
      <c r="E2215" s="1" t="s">
        <v>4274</v>
      </c>
      <c r="F2215" s="1" t="s">
        <v>4556</v>
      </c>
      <c r="G2215" s="1">
        <v>62009.0</v>
      </c>
      <c r="H2215" s="1">
        <v>109.0</v>
      </c>
      <c r="I2215" s="1" t="s">
        <v>16</v>
      </c>
      <c r="J2215" s="1">
        <v>1.8E7</v>
      </c>
      <c r="K2215" s="1">
        <v>1984.0</v>
      </c>
      <c r="L2215" s="1">
        <v>5.8</v>
      </c>
      <c r="O2215" s="3"/>
      <c r="S2215" s="4"/>
    </row>
    <row r="2216" ht="14.25" customHeight="1">
      <c r="A2216" s="1" t="s">
        <v>208</v>
      </c>
      <c r="B2216" s="1">
        <v>121.0</v>
      </c>
      <c r="C2216" s="1">
        <v>45250.0</v>
      </c>
      <c r="D2216" s="1" t="s">
        <v>681</v>
      </c>
      <c r="E2216" s="1" t="s">
        <v>725</v>
      </c>
      <c r="F2216" s="1" t="s">
        <v>4557</v>
      </c>
      <c r="G2216" s="1">
        <v>235133.0</v>
      </c>
      <c r="H2216" s="1">
        <v>494.0</v>
      </c>
      <c r="I2216" s="1" t="s">
        <v>16</v>
      </c>
      <c r="J2216" s="1">
        <v>1.8E7</v>
      </c>
      <c r="K2216" s="1">
        <v>1980.0</v>
      </c>
      <c r="L2216" s="1">
        <v>8.3</v>
      </c>
      <c r="O2216" s="3"/>
      <c r="S2216" s="4"/>
    </row>
    <row r="2217" ht="14.25" customHeight="1">
      <c r="A2217" s="1" t="s">
        <v>4558</v>
      </c>
      <c r="B2217" s="1">
        <v>109.0</v>
      </c>
      <c r="C2217" s="1">
        <v>2.292739E7</v>
      </c>
      <c r="D2217" s="1" t="s">
        <v>92</v>
      </c>
      <c r="E2217" s="1" t="s">
        <v>260</v>
      </c>
      <c r="F2217" s="1" t="s">
        <v>4559</v>
      </c>
      <c r="G2217" s="1">
        <v>25344.0</v>
      </c>
      <c r="H2217" s="1">
        <v>77.0</v>
      </c>
      <c r="I2217" s="1" t="s">
        <v>16</v>
      </c>
      <c r="J2217" s="1">
        <v>1.8E7</v>
      </c>
      <c r="K2217" s="1">
        <v>2009.0</v>
      </c>
      <c r="L2217" s="1">
        <v>5.6</v>
      </c>
      <c r="O2217" s="3"/>
      <c r="S2217" s="4"/>
    </row>
    <row r="2218" ht="14.25" customHeight="1">
      <c r="A2218" s="1" t="s">
        <v>1274</v>
      </c>
      <c r="B2218" s="1">
        <v>109.0</v>
      </c>
      <c r="C2218" s="1">
        <v>4250320.0</v>
      </c>
      <c r="D2218" s="1" t="s">
        <v>4560</v>
      </c>
      <c r="E2218" s="1" t="s">
        <v>4561</v>
      </c>
      <c r="F2218" s="1" t="s">
        <v>4562</v>
      </c>
      <c r="G2218" s="1">
        <v>14870.0</v>
      </c>
      <c r="H2218" s="1">
        <v>86.0</v>
      </c>
      <c r="I2218" s="1" t="s">
        <v>16</v>
      </c>
      <c r="J2218" s="1">
        <v>1.8E7</v>
      </c>
      <c r="K2218" s="1">
        <v>1985.0</v>
      </c>
      <c r="L2218" s="1">
        <v>6.8</v>
      </c>
      <c r="O2218" s="3"/>
      <c r="S2218" s="4"/>
    </row>
    <row r="2219" ht="14.25" customHeight="1">
      <c r="A2219" s="1" t="s">
        <v>4563</v>
      </c>
      <c r="B2219" s="1">
        <v>123.0</v>
      </c>
      <c r="C2219" s="1">
        <v>2.2452209E7</v>
      </c>
      <c r="D2219" s="1" t="s">
        <v>1413</v>
      </c>
      <c r="E2219" s="1" t="s">
        <v>4564</v>
      </c>
      <c r="F2219" s="1" t="s">
        <v>4565</v>
      </c>
      <c r="G2219" s="1">
        <v>14062.0</v>
      </c>
      <c r="H2219" s="1">
        <v>82.0</v>
      </c>
      <c r="I2219" s="1" t="s">
        <v>16</v>
      </c>
      <c r="J2219" s="1">
        <v>1.8E7</v>
      </c>
      <c r="K2219" s="1">
        <v>2009.0</v>
      </c>
      <c r="L2219" s="1">
        <v>5.0</v>
      </c>
      <c r="O2219" s="3"/>
      <c r="S2219" s="4"/>
    </row>
    <row r="2220" ht="14.25" customHeight="1">
      <c r="A2220" s="1" t="s">
        <v>2132</v>
      </c>
      <c r="B2220" s="1">
        <v>94.0</v>
      </c>
      <c r="C2220" s="1">
        <v>1.8329466E7</v>
      </c>
      <c r="D2220" s="1" t="s">
        <v>3047</v>
      </c>
      <c r="E2220" s="1" t="s">
        <v>861</v>
      </c>
      <c r="F2220" s="1" t="s">
        <v>4566</v>
      </c>
      <c r="G2220" s="1">
        <v>279179.0</v>
      </c>
      <c r="H2220" s="1">
        <v>440.0</v>
      </c>
      <c r="I2220" s="1" t="s">
        <v>16</v>
      </c>
      <c r="J2220" s="1">
        <v>1.8E7</v>
      </c>
      <c r="K2220" s="1">
        <v>2010.0</v>
      </c>
      <c r="L2220" s="1">
        <v>7.6</v>
      </c>
      <c r="O2220" s="3"/>
      <c r="S2220" s="4"/>
    </row>
    <row r="2221" ht="14.25" customHeight="1">
      <c r="A2221" s="1" t="s">
        <v>3268</v>
      </c>
      <c r="B2221" s="1">
        <v>94.0</v>
      </c>
      <c r="C2221" s="1">
        <v>1.707123E7</v>
      </c>
      <c r="D2221" s="1" t="s">
        <v>427</v>
      </c>
      <c r="E2221" s="1" t="s">
        <v>3268</v>
      </c>
      <c r="F2221" s="1" t="s">
        <v>4567</v>
      </c>
      <c r="G2221" s="1">
        <v>31169.0</v>
      </c>
      <c r="H2221" s="1">
        <v>192.0</v>
      </c>
      <c r="I2221" s="1" t="s">
        <v>16</v>
      </c>
      <c r="J2221" s="1">
        <v>1.8E7</v>
      </c>
      <c r="K2221" s="1">
        <v>2000.0</v>
      </c>
      <c r="L2221" s="1">
        <v>6.7</v>
      </c>
      <c r="O2221" s="3"/>
      <c r="S2221" s="4"/>
    </row>
    <row r="2222" ht="14.25" customHeight="1">
      <c r="A2222" s="1" t="s">
        <v>4568</v>
      </c>
      <c r="B2222" s="1">
        <v>115.0</v>
      </c>
      <c r="C2222" s="1">
        <v>1.717487E7</v>
      </c>
      <c r="D2222" s="1" t="s">
        <v>3098</v>
      </c>
      <c r="E2222" s="1" t="s">
        <v>4569</v>
      </c>
      <c r="F2222" s="1" t="s">
        <v>4570</v>
      </c>
      <c r="G2222" s="1">
        <v>15817.0</v>
      </c>
      <c r="H2222" s="1">
        <v>210.0</v>
      </c>
      <c r="I2222" s="1" t="s">
        <v>16</v>
      </c>
      <c r="J2222" s="1">
        <v>1.8E7</v>
      </c>
      <c r="K2222" s="1">
        <v>2000.0</v>
      </c>
      <c r="L2222" s="1">
        <v>6.7</v>
      </c>
      <c r="O2222" s="3"/>
      <c r="S2222" s="4"/>
    </row>
    <row r="2223" ht="14.25" customHeight="1">
      <c r="A2223" s="1" t="s">
        <v>4018</v>
      </c>
      <c r="B2223" s="1">
        <v>107.0</v>
      </c>
      <c r="C2223" s="1">
        <v>2.6284475E7</v>
      </c>
      <c r="D2223" s="1" t="s">
        <v>828</v>
      </c>
      <c r="E2223" s="1" t="s">
        <v>1721</v>
      </c>
      <c r="F2223" s="1" t="s">
        <v>4571</v>
      </c>
      <c r="G2223" s="1">
        <v>9051.0</v>
      </c>
      <c r="H2223" s="1">
        <v>68.0</v>
      </c>
      <c r="I2223" s="1" t="s">
        <v>16</v>
      </c>
      <c r="J2223" s="1">
        <v>1.7E7</v>
      </c>
      <c r="K2223" s="1">
        <v>2015.0</v>
      </c>
      <c r="L2223" s="1">
        <v>5.7</v>
      </c>
      <c r="O2223" s="3"/>
      <c r="S2223" s="4"/>
    </row>
    <row r="2224" ht="14.25" customHeight="1">
      <c r="A2224" s="1" t="s">
        <v>4572</v>
      </c>
      <c r="B2224" s="1">
        <v>91.0</v>
      </c>
      <c r="C2224" s="1">
        <v>1.6702864E7</v>
      </c>
      <c r="D2224" s="1" t="s">
        <v>427</v>
      </c>
      <c r="E2224" s="1" t="s">
        <v>1050</v>
      </c>
      <c r="F2224" s="1" t="s">
        <v>4573</v>
      </c>
      <c r="G2224" s="1">
        <v>8023.0</v>
      </c>
      <c r="H2224" s="1">
        <v>49.0</v>
      </c>
      <c r="I2224" s="1" t="s">
        <v>16</v>
      </c>
      <c r="J2224" s="1">
        <v>1.8E7</v>
      </c>
      <c r="K2224" s="1">
        <v>2004.0</v>
      </c>
      <c r="L2224" s="1">
        <v>5.2</v>
      </c>
      <c r="O2224" s="3"/>
      <c r="S2224" s="4"/>
    </row>
    <row r="2225" ht="14.25" customHeight="1">
      <c r="A2225" s="1" t="s">
        <v>2668</v>
      </c>
      <c r="B2225" s="1">
        <v>125.0</v>
      </c>
      <c r="C2225" s="1">
        <v>1.5561627E7</v>
      </c>
      <c r="D2225" s="1" t="s">
        <v>1391</v>
      </c>
      <c r="E2225" s="1" t="s">
        <v>4118</v>
      </c>
      <c r="F2225" s="1" t="s">
        <v>4574</v>
      </c>
      <c r="G2225" s="1">
        <v>39105.0</v>
      </c>
      <c r="H2225" s="1">
        <v>359.0</v>
      </c>
      <c r="I2225" s="1" t="s">
        <v>16</v>
      </c>
      <c r="J2225" s="1">
        <v>1.8E7</v>
      </c>
      <c r="K2225" s="1">
        <v>2001.0</v>
      </c>
      <c r="L2225" s="1">
        <v>7.5</v>
      </c>
      <c r="O2225" s="3"/>
      <c r="S2225" s="4"/>
    </row>
    <row r="2226" ht="14.25" customHeight="1">
      <c r="A2226" s="1" t="s">
        <v>2132</v>
      </c>
      <c r="B2226" s="1">
        <v>122.0</v>
      </c>
      <c r="C2226" s="1">
        <v>1.7750583E7</v>
      </c>
      <c r="D2226" s="1" t="s">
        <v>646</v>
      </c>
      <c r="E2226" s="1" t="s">
        <v>644</v>
      </c>
      <c r="F2226" s="1" t="s">
        <v>4575</v>
      </c>
      <c r="G2226" s="1">
        <v>93548.0</v>
      </c>
      <c r="H2226" s="1">
        <v>307.0</v>
      </c>
      <c r="I2226" s="1" t="s">
        <v>16</v>
      </c>
      <c r="J2226" s="1">
        <v>3.0E7</v>
      </c>
      <c r="K2226" s="1">
        <v>2015.0</v>
      </c>
      <c r="L2226" s="1">
        <v>7.2</v>
      </c>
      <c r="O2226" s="3"/>
      <c r="S2226" s="4"/>
    </row>
    <row r="2227" ht="14.25" customHeight="1">
      <c r="A2227" s="1" t="s">
        <v>524</v>
      </c>
      <c r="B2227" s="1">
        <v>102.0</v>
      </c>
      <c r="C2227" s="1">
        <v>1.4793904E7</v>
      </c>
      <c r="D2227" s="1" t="s">
        <v>699</v>
      </c>
      <c r="E2227" s="1" t="s">
        <v>4576</v>
      </c>
      <c r="F2227" s="1" t="s">
        <v>4577</v>
      </c>
      <c r="G2227" s="1">
        <v>28209.0</v>
      </c>
      <c r="H2227" s="1">
        <v>80.0</v>
      </c>
      <c r="I2227" s="1" t="s">
        <v>16</v>
      </c>
      <c r="J2227" s="1">
        <v>1.8E7</v>
      </c>
      <c r="K2227" s="1">
        <v>2009.0</v>
      </c>
      <c r="L2227" s="1">
        <v>5.3</v>
      </c>
      <c r="O2227" s="3"/>
      <c r="S2227" s="4"/>
    </row>
    <row r="2228" ht="14.25" customHeight="1">
      <c r="A2228" s="1" t="s">
        <v>3508</v>
      </c>
      <c r="B2228" s="1">
        <v>90.0</v>
      </c>
      <c r="C2228" s="1">
        <v>1.5281286E7</v>
      </c>
      <c r="D2228" s="1" t="s">
        <v>593</v>
      </c>
      <c r="E2228" s="1" t="s">
        <v>119</v>
      </c>
      <c r="F2228" s="1" t="s">
        <v>4578</v>
      </c>
      <c r="G2228" s="1">
        <v>64646.0</v>
      </c>
      <c r="H2228" s="1">
        <v>105.0</v>
      </c>
      <c r="I2228" s="1" t="s">
        <v>16</v>
      </c>
      <c r="J2228" s="1">
        <v>1.8E7</v>
      </c>
      <c r="K2228" s="1">
        <v>2009.0</v>
      </c>
      <c r="L2228" s="1">
        <v>6.5</v>
      </c>
      <c r="O2228" s="3"/>
      <c r="S2228" s="4"/>
    </row>
    <row r="2229" ht="14.25" customHeight="1">
      <c r="A2229" s="1" t="s">
        <v>4579</v>
      </c>
      <c r="B2229" s="1">
        <v>98.0</v>
      </c>
      <c r="C2229" s="1">
        <v>8000000.0</v>
      </c>
      <c r="D2229" s="1" t="s">
        <v>59</v>
      </c>
      <c r="E2229" s="1" t="s">
        <v>4580</v>
      </c>
      <c r="F2229" s="1" t="s">
        <v>4581</v>
      </c>
      <c r="G2229" s="1">
        <v>1400.0</v>
      </c>
      <c r="H2229" s="1">
        <v>41.0</v>
      </c>
      <c r="I2229" s="1" t="s">
        <v>16</v>
      </c>
      <c r="J2229" s="1">
        <v>1.8E7</v>
      </c>
      <c r="K2229" s="1">
        <v>1981.0</v>
      </c>
      <c r="L2229" s="1">
        <v>5.0</v>
      </c>
      <c r="O2229" s="3"/>
      <c r="S2229" s="4"/>
    </row>
    <row r="2230" ht="14.25" customHeight="1">
      <c r="A2230" s="1" t="s">
        <v>4582</v>
      </c>
      <c r="B2230" s="1">
        <v>109.0</v>
      </c>
      <c r="C2230" s="1">
        <v>1.3491653E7</v>
      </c>
      <c r="D2230" s="1" t="s">
        <v>1654</v>
      </c>
      <c r="E2230" s="1" t="s">
        <v>511</v>
      </c>
      <c r="F2230" s="1" t="s">
        <v>4583</v>
      </c>
      <c r="G2230" s="1">
        <v>23728.0</v>
      </c>
      <c r="H2230" s="1">
        <v>213.0</v>
      </c>
      <c r="I2230" s="1" t="s">
        <v>16</v>
      </c>
      <c r="J2230" s="1">
        <v>1.8E7</v>
      </c>
      <c r="K2230" s="1">
        <v>2001.0</v>
      </c>
      <c r="L2230" s="1">
        <v>6.1</v>
      </c>
      <c r="O2230" s="3"/>
      <c r="S2230" s="4"/>
    </row>
    <row r="2231" ht="14.25" customHeight="1">
      <c r="A2231" s="1" t="s">
        <v>4584</v>
      </c>
      <c r="B2231" s="1">
        <v>90.0</v>
      </c>
      <c r="C2231" s="1">
        <v>1.0494494E7</v>
      </c>
      <c r="D2231" s="1" t="s">
        <v>146</v>
      </c>
      <c r="E2231" s="1" t="s">
        <v>4585</v>
      </c>
      <c r="F2231" s="1" t="s">
        <v>4586</v>
      </c>
      <c r="G2231" s="1">
        <v>19586.0</v>
      </c>
      <c r="H2231" s="1">
        <v>109.0</v>
      </c>
      <c r="I2231" s="1" t="s">
        <v>16</v>
      </c>
      <c r="J2231" s="1">
        <v>1.8E7</v>
      </c>
      <c r="K2231" s="1">
        <v>2013.0</v>
      </c>
      <c r="L2231" s="1">
        <v>4.4</v>
      </c>
      <c r="O2231" s="3"/>
      <c r="S2231" s="4"/>
    </row>
    <row r="2232" ht="14.25" customHeight="1">
      <c r="A2232" s="1" t="s">
        <v>448</v>
      </c>
      <c r="B2232" s="1">
        <v>112.0</v>
      </c>
      <c r="C2232" s="1">
        <v>7837632.0</v>
      </c>
      <c r="D2232" s="1" t="s">
        <v>1391</v>
      </c>
      <c r="E2232" s="1" t="s">
        <v>4587</v>
      </c>
      <c r="F2232" s="1" t="s">
        <v>4588</v>
      </c>
      <c r="G2232" s="1">
        <v>46396.0</v>
      </c>
      <c r="H2232" s="1">
        <v>287.0</v>
      </c>
      <c r="I2232" s="1" t="s">
        <v>16</v>
      </c>
      <c r="J2232" s="1">
        <v>1.8E7</v>
      </c>
      <c r="K2232" s="1">
        <v>1997.0</v>
      </c>
      <c r="L2232" s="1">
        <v>7.5</v>
      </c>
      <c r="O2232" s="3"/>
      <c r="S2232" s="4"/>
    </row>
    <row r="2233" ht="14.25" customHeight="1">
      <c r="A2233" s="1" t="s">
        <v>1580</v>
      </c>
      <c r="B2233" s="1">
        <v>94.0</v>
      </c>
      <c r="C2233" s="1">
        <v>1.5155772E7</v>
      </c>
      <c r="D2233" s="1" t="s">
        <v>593</v>
      </c>
      <c r="E2233" s="1" t="s">
        <v>4589</v>
      </c>
      <c r="F2233" s="1" t="s">
        <v>4590</v>
      </c>
      <c r="G2233" s="1">
        <v>8895.0</v>
      </c>
      <c r="H2233" s="1">
        <v>48.0</v>
      </c>
      <c r="I2233" s="1" t="s">
        <v>16</v>
      </c>
      <c r="J2233" s="1">
        <v>1.8E7</v>
      </c>
      <c r="K2233" s="1">
        <v>2014.0</v>
      </c>
      <c r="L2233" s="1">
        <v>5.7</v>
      </c>
      <c r="O2233" s="3"/>
      <c r="S2233" s="4"/>
    </row>
    <row r="2234" ht="14.25" customHeight="1">
      <c r="A2234" s="1" t="s">
        <v>4591</v>
      </c>
      <c r="B2234" s="1">
        <v>105.0</v>
      </c>
      <c r="C2234" s="1">
        <v>8508843.0</v>
      </c>
      <c r="D2234" s="1" t="s">
        <v>1720</v>
      </c>
      <c r="E2234" s="1" t="s">
        <v>4516</v>
      </c>
      <c r="F2234" s="1" t="s">
        <v>4592</v>
      </c>
      <c r="G2234" s="1">
        <v>7470.0</v>
      </c>
      <c r="H2234" s="1">
        <v>35.0</v>
      </c>
      <c r="I2234" s="1" t="s">
        <v>16</v>
      </c>
      <c r="J2234" s="1">
        <v>1.8E7</v>
      </c>
      <c r="K2234" s="1">
        <v>1989.0</v>
      </c>
      <c r="L2234" s="1">
        <v>5.5</v>
      </c>
      <c r="O2234" s="3"/>
      <c r="S2234" s="4"/>
    </row>
    <row r="2235" ht="14.25" customHeight="1">
      <c r="A2235" s="1" t="s">
        <v>4593</v>
      </c>
      <c r="B2235" s="1">
        <v>104.0</v>
      </c>
      <c r="C2235" s="1">
        <v>7739049.0</v>
      </c>
      <c r="D2235" s="1" t="s">
        <v>593</v>
      </c>
      <c r="E2235" s="1" t="s">
        <v>2610</v>
      </c>
      <c r="F2235" s="1" t="s">
        <v>4594</v>
      </c>
      <c r="G2235" s="1">
        <v>10680.0</v>
      </c>
      <c r="H2235" s="1">
        <v>112.0</v>
      </c>
      <c r="I2235" s="1" t="s">
        <v>16</v>
      </c>
      <c r="J2235" s="1">
        <v>1.8E7</v>
      </c>
      <c r="K2235" s="1">
        <v>2004.0</v>
      </c>
      <c r="L2235" s="1">
        <v>7.1</v>
      </c>
      <c r="O2235" s="3"/>
      <c r="S2235" s="4"/>
    </row>
    <row r="2236" ht="14.25" customHeight="1">
      <c r="A2236" s="1" t="s">
        <v>2085</v>
      </c>
      <c r="B2236" s="1">
        <v>112.0</v>
      </c>
      <c r="C2236" s="1">
        <v>6734844.0</v>
      </c>
      <c r="D2236" s="1" t="s">
        <v>92</v>
      </c>
      <c r="E2236" s="1" t="s">
        <v>4595</v>
      </c>
      <c r="F2236" s="1" t="s">
        <v>4596</v>
      </c>
      <c r="G2236" s="1">
        <v>29591.0</v>
      </c>
      <c r="H2236" s="1">
        <v>118.0</v>
      </c>
      <c r="I2236" s="1" t="s">
        <v>16</v>
      </c>
      <c r="J2236" s="1">
        <v>1.7E7</v>
      </c>
      <c r="K2236" s="1">
        <v>1986.0</v>
      </c>
      <c r="L2236" s="1">
        <v>5.9</v>
      </c>
      <c r="O2236" s="3"/>
      <c r="S2236" s="4"/>
    </row>
    <row r="2237" ht="14.25" customHeight="1">
      <c r="A2237" s="1" t="s">
        <v>4597</v>
      </c>
      <c r="B2237" s="1">
        <v>108.0</v>
      </c>
      <c r="C2237" s="1">
        <v>6000000.0</v>
      </c>
      <c r="D2237" s="1" t="s">
        <v>18</v>
      </c>
      <c r="E2237" s="1" t="s">
        <v>4598</v>
      </c>
      <c r="F2237" s="1" t="s">
        <v>4599</v>
      </c>
      <c r="G2237" s="1">
        <v>10832.0</v>
      </c>
      <c r="H2237" s="1">
        <v>102.0</v>
      </c>
      <c r="I2237" s="1" t="s">
        <v>16</v>
      </c>
      <c r="J2237" s="1">
        <v>1.8E7</v>
      </c>
      <c r="K2237" s="1">
        <v>1981.0</v>
      </c>
      <c r="L2237" s="1">
        <v>6.7</v>
      </c>
      <c r="O2237" s="3"/>
      <c r="S2237" s="4"/>
    </row>
    <row r="2238" ht="14.25" customHeight="1">
      <c r="A2238" s="1" t="s">
        <v>3666</v>
      </c>
      <c r="B2238" s="1">
        <v>112.0</v>
      </c>
      <c r="C2238" s="1">
        <v>6615578.0</v>
      </c>
      <c r="D2238" s="1" t="s">
        <v>2521</v>
      </c>
      <c r="E2238" s="1" t="s">
        <v>4600</v>
      </c>
      <c r="F2238" s="1" t="s">
        <v>4601</v>
      </c>
      <c r="G2238" s="1">
        <v>15352.0</v>
      </c>
      <c r="H2238" s="1">
        <v>82.0</v>
      </c>
      <c r="I2238" s="1" t="s">
        <v>16</v>
      </c>
      <c r="J2238" s="1">
        <v>1.3E7</v>
      </c>
      <c r="K2238" s="1">
        <v>2009.0</v>
      </c>
      <c r="L2238" s="1">
        <v>7.0</v>
      </c>
      <c r="O2238" s="3"/>
      <c r="S2238" s="4"/>
    </row>
    <row r="2239" ht="14.25" customHeight="1">
      <c r="A2239" s="1" t="s">
        <v>111</v>
      </c>
      <c r="B2239" s="1">
        <v>127.0</v>
      </c>
      <c r="C2239" s="1">
        <v>5887457.0</v>
      </c>
      <c r="D2239" s="1" t="s">
        <v>1696</v>
      </c>
      <c r="E2239" s="1" t="s">
        <v>19</v>
      </c>
      <c r="F2239" s="1" t="s">
        <v>4602</v>
      </c>
      <c r="G2239" s="1">
        <v>142416.0</v>
      </c>
      <c r="H2239" s="1">
        <v>420.0</v>
      </c>
      <c r="I2239" s="1" t="s">
        <v>16</v>
      </c>
      <c r="J2239" s="1">
        <v>1.8E7</v>
      </c>
      <c r="K2239" s="1">
        <v>1994.0</v>
      </c>
      <c r="L2239" s="1">
        <v>7.9</v>
      </c>
      <c r="O2239" s="3"/>
      <c r="S2239" s="4"/>
    </row>
    <row r="2240" ht="14.25" customHeight="1">
      <c r="A2240" s="1" t="s">
        <v>3240</v>
      </c>
      <c r="B2240" s="1">
        <v>111.0</v>
      </c>
      <c r="C2240" s="1">
        <v>1.3362308E7</v>
      </c>
      <c r="D2240" s="1" t="s">
        <v>1391</v>
      </c>
      <c r="E2240" s="1" t="s">
        <v>35</v>
      </c>
      <c r="F2240" s="1" t="s">
        <v>4603</v>
      </c>
      <c r="G2240" s="1">
        <v>31898.0</v>
      </c>
      <c r="H2240" s="1">
        <v>111.0</v>
      </c>
      <c r="I2240" s="1" t="s">
        <v>16</v>
      </c>
      <c r="J2240" s="1">
        <v>1.8E7</v>
      </c>
      <c r="K2240" s="1">
        <v>2013.0</v>
      </c>
      <c r="L2240" s="1">
        <v>6.9</v>
      </c>
      <c r="O2240" s="3"/>
      <c r="S2240" s="4"/>
    </row>
    <row r="2241" ht="14.25" customHeight="1">
      <c r="A2241" s="1" t="s">
        <v>852</v>
      </c>
      <c r="B2241" s="1">
        <v>126.0</v>
      </c>
      <c r="C2241" s="1">
        <v>5701643.0</v>
      </c>
      <c r="D2241" s="1" t="s">
        <v>1400</v>
      </c>
      <c r="E2241" s="1" t="s">
        <v>4604</v>
      </c>
      <c r="F2241" s="1" t="s">
        <v>4605</v>
      </c>
      <c r="G2241" s="1">
        <v>37635.0</v>
      </c>
      <c r="H2241" s="1">
        <v>165.0</v>
      </c>
      <c r="I2241" s="1" t="s">
        <v>4606</v>
      </c>
      <c r="J2241" s="1">
        <v>2.0E7</v>
      </c>
      <c r="K2241" s="1">
        <v>2007.0</v>
      </c>
      <c r="L2241" s="1">
        <v>7.3</v>
      </c>
      <c r="O2241" s="3"/>
      <c r="S2241" s="4"/>
    </row>
    <row r="2242" ht="14.25" customHeight="1">
      <c r="A2242" s="1" t="s">
        <v>538</v>
      </c>
      <c r="B2242" s="1">
        <v>114.0</v>
      </c>
      <c r="C2242" s="1">
        <v>5694401.0</v>
      </c>
      <c r="D2242" s="1" t="s">
        <v>146</v>
      </c>
      <c r="E2242" s="1" t="s">
        <v>27</v>
      </c>
      <c r="F2242" s="1" t="s">
        <v>4607</v>
      </c>
      <c r="G2242" s="1">
        <v>194489.0</v>
      </c>
      <c r="H2242" s="1">
        <v>192.0</v>
      </c>
      <c r="I2242" s="1" t="s">
        <v>16</v>
      </c>
      <c r="J2242" s="1">
        <v>1.8E7</v>
      </c>
      <c r="K2242" s="1">
        <v>2008.0</v>
      </c>
      <c r="L2242" s="1">
        <v>7.3</v>
      </c>
      <c r="O2242" s="3"/>
      <c r="S2242" s="4"/>
    </row>
    <row r="2243" ht="14.25" customHeight="1">
      <c r="A2243" s="1" t="s">
        <v>4608</v>
      </c>
      <c r="B2243" s="1">
        <v>99.0</v>
      </c>
      <c r="C2243" s="1">
        <v>5333658.0</v>
      </c>
      <c r="D2243" s="1" t="s">
        <v>278</v>
      </c>
      <c r="E2243" s="1" t="s">
        <v>4609</v>
      </c>
      <c r="F2243" s="1" t="s">
        <v>4610</v>
      </c>
      <c r="G2243" s="1">
        <v>2541.0</v>
      </c>
      <c r="H2243" s="1">
        <v>54.0</v>
      </c>
      <c r="I2243" s="1" t="s">
        <v>16</v>
      </c>
      <c r="J2243" s="1">
        <v>2.0E7</v>
      </c>
      <c r="K2243" s="1">
        <v>1982.0</v>
      </c>
      <c r="L2243" s="1">
        <v>3.5</v>
      </c>
      <c r="O2243" s="3"/>
      <c r="S2243" s="4"/>
    </row>
    <row r="2244" ht="14.25" customHeight="1">
      <c r="A2244" s="1" t="s">
        <v>364</v>
      </c>
      <c r="B2244" s="1">
        <v>150.0</v>
      </c>
      <c r="C2244" s="1">
        <v>4414535.0</v>
      </c>
      <c r="D2244" s="1" t="s">
        <v>1391</v>
      </c>
      <c r="E2244" s="1" t="s">
        <v>4611</v>
      </c>
      <c r="F2244" s="1" t="s">
        <v>4612</v>
      </c>
      <c r="G2244" s="1">
        <v>30618.0</v>
      </c>
      <c r="H2244" s="1">
        <v>224.0</v>
      </c>
      <c r="I2244" s="1" t="s">
        <v>16</v>
      </c>
      <c r="J2244" s="1">
        <v>1.8E7</v>
      </c>
      <c r="K2244" s="1">
        <v>1996.0</v>
      </c>
      <c r="L2244" s="1">
        <v>7.8</v>
      </c>
      <c r="O2244" s="3"/>
      <c r="S2244" s="4"/>
    </row>
    <row r="2245" ht="14.25" customHeight="1">
      <c r="A2245" s="1" t="s">
        <v>4613</v>
      </c>
      <c r="B2245" s="1">
        <v>112.0</v>
      </c>
      <c r="C2245" s="1">
        <v>3707794.0</v>
      </c>
      <c r="D2245" s="1" t="s">
        <v>617</v>
      </c>
      <c r="E2245" s="1" t="s">
        <v>1971</v>
      </c>
      <c r="F2245" s="1" t="s">
        <v>4614</v>
      </c>
      <c r="G2245" s="1">
        <v>31359.0</v>
      </c>
      <c r="H2245" s="1">
        <v>156.0</v>
      </c>
      <c r="I2245" s="1" t="s">
        <v>16</v>
      </c>
      <c r="J2245" s="1">
        <v>1.8E7</v>
      </c>
      <c r="K2245" s="1">
        <v>2016.0</v>
      </c>
      <c r="L2245" s="1">
        <v>6.7</v>
      </c>
      <c r="O2245" s="3"/>
      <c r="S2245" s="4"/>
    </row>
    <row r="2246" ht="14.25" customHeight="1">
      <c r="A2246" s="1" t="s">
        <v>3268</v>
      </c>
      <c r="B2246" s="1">
        <v>108.0</v>
      </c>
      <c r="C2246" s="1">
        <v>3203044.0</v>
      </c>
      <c r="D2246" s="1" t="s">
        <v>699</v>
      </c>
      <c r="E2246" s="1" t="s">
        <v>3268</v>
      </c>
      <c r="F2246" s="1" t="s">
        <v>4615</v>
      </c>
      <c r="G2246" s="1">
        <v>25165.0</v>
      </c>
      <c r="H2246" s="1">
        <v>155.0</v>
      </c>
      <c r="I2246" s="1" t="s">
        <v>16</v>
      </c>
      <c r="J2246" s="1">
        <v>1.8E7</v>
      </c>
      <c r="K2246" s="1">
        <v>2003.0</v>
      </c>
      <c r="L2246" s="1">
        <v>6.4</v>
      </c>
      <c r="O2246" s="3"/>
      <c r="S2246" s="4"/>
    </row>
    <row r="2247" ht="14.25" customHeight="1">
      <c r="A2247" s="1" t="s">
        <v>4616</v>
      </c>
      <c r="B2247" s="1">
        <v>116.0</v>
      </c>
      <c r="C2247" s="1">
        <v>4435083.0</v>
      </c>
      <c r="D2247" s="1" t="s">
        <v>4617</v>
      </c>
      <c r="E2247" s="1" t="s">
        <v>1385</v>
      </c>
      <c r="F2247" s="1" t="s">
        <v>4618</v>
      </c>
      <c r="G2247" s="1">
        <v>27882.0</v>
      </c>
      <c r="H2247" s="1">
        <v>119.0</v>
      </c>
      <c r="I2247" s="1" t="s">
        <v>16</v>
      </c>
      <c r="J2247" s="1">
        <v>1.8E7</v>
      </c>
      <c r="K2247" s="1">
        <v>2013.0</v>
      </c>
      <c r="L2247" s="1">
        <v>7.1</v>
      </c>
      <c r="O2247" s="3"/>
      <c r="S2247" s="4"/>
    </row>
    <row r="2248" ht="14.25" customHeight="1">
      <c r="A2248" s="1" t="s">
        <v>4619</v>
      </c>
      <c r="B2248" s="1">
        <v>144.0</v>
      </c>
      <c r="C2248" s="1">
        <v>2222647.0</v>
      </c>
      <c r="D2248" s="1" t="s">
        <v>3192</v>
      </c>
      <c r="E2248" s="1" t="s">
        <v>4620</v>
      </c>
      <c r="F2248" s="1" t="s">
        <v>4621</v>
      </c>
      <c r="G2248" s="1">
        <v>52958.0</v>
      </c>
      <c r="H2248" s="1">
        <v>193.0</v>
      </c>
      <c r="I2248" s="1" t="s">
        <v>4449</v>
      </c>
      <c r="J2248" s="1">
        <v>1.2E7</v>
      </c>
      <c r="K2248" s="1">
        <v>2009.0</v>
      </c>
      <c r="L2248" s="1">
        <v>7.8</v>
      </c>
      <c r="O2248" s="3"/>
      <c r="S2248" s="4"/>
    </row>
    <row r="2249" ht="14.25" customHeight="1">
      <c r="A2249" s="1" t="s">
        <v>4622</v>
      </c>
      <c r="B2249" s="1">
        <v>93.0</v>
      </c>
      <c r="C2249" s="1">
        <v>3500000.0</v>
      </c>
      <c r="D2249" s="1" t="s">
        <v>4623</v>
      </c>
      <c r="E2249" s="1" t="s">
        <v>556</v>
      </c>
      <c r="F2249" s="1" t="s">
        <v>4624</v>
      </c>
      <c r="G2249" s="1">
        <v>10082.0</v>
      </c>
      <c r="H2249" s="1">
        <v>100.0</v>
      </c>
      <c r="I2249" s="1" t="s">
        <v>16</v>
      </c>
      <c r="J2249" s="1">
        <v>2700000.0</v>
      </c>
      <c r="K2249" s="1">
        <v>1986.0</v>
      </c>
      <c r="L2249" s="1">
        <v>5.9</v>
      </c>
      <c r="O2249" s="3"/>
      <c r="S2249" s="4"/>
    </row>
    <row r="2250" ht="14.25" customHeight="1">
      <c r="A2250" s="1" t="s">
        <v>1093</v>
      </c>
      <c r="B2250" s="1">
        <v>103.0</v>
      </c>
      <c r="C2250" s="1">
        <v>676698.0</v>
      </c>
      <c r="D2250" s="1" t="s">
        <v>909</v>
      </c>
      <c r="E2250" s="1" t="s">
        <v>1177</v>
      </c>
      <c r="F2250" s="1" t="s">
        <v>4625</v>
      </c>
      <c r="G2250" s="1">
        <v>26730.0</v>
      </c>
      <c r="H2250" s="1">
        <v>180.0</v>
      </c>
      <c r="I2250" s="1" t="s">
        <v>16</v>
      </c>
      <c r="J2250" s="1">
        <v>1.8E7</v>
      </c>
      <c r="K2250" s="1">
        <v>2002.0</v>
      </c>
      <c r="L2250" s="1">
        <v>7.2</v>
      </c>
      <c r="O2250" s="3"/>
      <c r="S2250" s="4"/>
    </row>
    <row r="2251" ht="14.25" customHeight="1">
      <c r="A2251" s="1" t="s">
        <v>4626</v>
      </c>
      <c r="B2251" s="1">
        <v>121.0</v>
      </c>
      <c r="C2251" s="1">
        <v>229311.0</v>
      </c>
      <c r="D2251" s="1" t="s">
        <v>4627</v>
      </c>
      <c r="E2251" s="1" t="s">
        <v>3853</v>
      </c>
      <c r="F2251" s="1" t="s">
        <v>4628</v>
      </c>
      <c r="G2251" s="1">
        <v>899.0</v>
      </c>
      <c r="H2251" s="1">
        <v>42.0</v>
      </c>
      <c r="I2251" s="1" t="s">
        <v>16</v>
      </c>
      <c r="J2251" s="1">
        <v>1.135E7</v>
      </c>
      <c r="K2251" s="1">
        <v>1999.0</v>
      </c>
      <c r="L2251" s="1">
        <v>6.2</v>
      </c>
      <c r="O2251" s="3"/>
      <c r="S2251" s="4"/>
    </row>
    <row r="2252" ht="14.25" customHeight="1">
      <c r="A2252" s="1" t="s">
        <v>4629</v>
      </c>
      <c r="B2252" s="1">
        <v>105.0</v>
      </c>
      <c r="C2252" s="1">
        <v>63260.0</v>
      </c>
      <c r="D2252" s="1" t="s">
        <v>4630</v>
      </c>
      <c r="E2252" s="1" t="s">
        <v>3997</v>
      </c>
      <c r="F2252" s="1" t="s">
        <v>4631</v>
      </c>
      <c r="G2252" s="1">
        <v>14325.0</v>
      </c>
      <c r="H2252" s="1">
        <v>90.0</v>
      </c>
      <c r="I2252" s="1" t="s">
        <v>16</v>
      </c>
      <c r="J2252" s="1">
        <v>1.4E7</v>
      </c>
      <c r="K2252" s="1">
        <v>2006.0</v>
      </c>
      <c r="L2252" s="1">
        <v>6.7</v>
      </c>
      <c r="O2252" s="3"/>
      <c r="S2252" s="4"/>
    </row>
    <row r="2253" ht="14.25" customHeight="1">
      <c r="A2253" s="1" t="s">
        <v>2607</v>
      </c>
      <c r="B2253" s="1">
        <v>119.0</v>
      </c>
      <c r="C2253" s="1">
        <v>1.21463226E8</v>
      </c>
      <c r="D2253" s="1" t="s">
        <v>828</v>
      </c>
      <c r="E2253" s="1" t="s">
        <v>78</v>
      </c>
      <c r="F2253" s="1" t="s">
        <v>4632</v>
      </c>
      <c r="G2253" s="1">
        <v>422606.0</v>
      </c>
      <c r="H2253" s="1">
        <v>555.0</v>
      </c>
      <c r="I2253" s="1" t="s">
        <v>16</v>
      </c>
      <c r="J2253" s="1">
        <v>2.0E7</v>
      </c>
      <c r="K2253" s="1">
        <v>2007.0</v>
      </c>
      <c r="L2253" s="1">
        <v>7.6</v>
      </c>
      <c r="O2253" s="3"/>
      <c r="S2253" s="4"/>
    </row>
    <row r="2254" ht="14.25" customHeight="1">
      <c r="A2254" s="1" t="s">
        <v>451</v>
      </c>
      <c r="B2254" s="1">
        <v>98.0</v>
      </c>
      <c r="C2254" s="1">
        <v>5.8006147E7</v>
      </c>
      <c r="D2254" s="1" t="s">
        <v>1948</v>
      </c>
      <c r="E2254" s="1" t="s">
        <v>4633</v>
      </c>
      <c r="F2254" s="1" t="s">
        <v>4634</v>
      </c>
      <c r="G2254" s="1">
        <v>67653.0</v>
      </c>
      <c r="H2254" s="1">
        <v>108.0</v>
      </c>
      <c r="I2254" s="1" t="s">
        <v>16</v>
      </c>
      <c r="J2254" s="1">
        <v>2.3E7</v>
      </c>
      <c r="K2254" s="1">
        <v>2008.0</v>
      </c>
      <c r="L2254" s="1">
        <v>6.2</v>
      </c>
      <c r="O2254" s="3"/>
      <c r="S2254" s="4"/>
    </row>
    <row r="2255" ht="14.25" customHeight="1">
      <c r="A2255" s="1" t="s">
        <v>4635</v>
      </c>
      <c r="B2255" s="1">
        <v>80.0</v>
      </c>
      <c r="C2255" s="1">
        <v>5.1053787E7</v>
      </c>
      <c r="D2255" s="1" t="s">
        <v>4636</v>
      </c>
      <c r="E2255" s="1" t="s">
        <v>953</v>
      </c>
      <c r="F2255" s="1" t="s">
        <v>4637</v>
      </c>
      <c r="G2255" s="1">
        <v>45900.0</v>
      </c>
      <c r="H2255" s="1">
        <v>247.0</v>
      </c>
      <c r="I2255" s="1" t="s">
        <v>16</v>
      </c>
      <c r="J2255" s="1">
        <v>1.75E7</v>
      </c>
      <c r="K2255" s="1">
        <v>2005.0</v>
      </c>
      <c r="L2255" s="1">
        <v>6.5</v>
      </c>
      <c r="O2255" s="3"/>
      <c r="S2255" s="4"/>
    </row>
    <row r="2256" ht="14.25" customHeight="1">
      <c r="A2256" s="1" t="s">
        <v>4638</v>
      </c>
      <c r="B2256" s="1">
        <v>121.0</v>
      </c>
      <c r="C2256" s="1">
        <v>2.34729E7</v>
      </c>
      <c r="D2256" s="1" t="s">
        <v>824</v>
      </c>
      <c r="E2256" s="1" t="s">
        <v>951</v>
      </c>
      <c r="F2256" s="1" t="s">
        <v>4639</v>
      </c>
      <c r="G2256" s="1">
        <v>264533.0</v>
      </c>
      <c r="H2256" s="1">
        <v>609.0</v>
      </c>
      <c r="I2256" s="1" t="s">
        <v>16</v>
      </c>
      <c r="J2256" s="1">
        <v>1.75E7</v>
      </c>
      <c r="K2256" s="1">
        <v>2004.0</v>
      </c>
      <c r="L2256" s="1">
        <v>8.1</v>
      </c>
      <c r="O2256" s="3"/>
      <c r="S2256" s="4"/>
    </row>
    <row r="2257" ht="14.25" customHeight="1">
      <c r="A2257" s="1" t="s">
        <v>4640</v>
      </c>
      <c r="B2257" s="1">
        <v>94.0</v>
      </c>
      <c r="C2257" s="1">
        <v>3.9687528E7</v>
      </c>
      <c r="D2257" s="1" t="s">
        <v>197</v>
      </c>
      <c r="E2257" s="1" t="s">
        <v>4641</v>
      </c>
      <c r="F2257" s="1" t="s">
        <v>4642</v>
      </c>
      <c r="G2257" s="1">
        <v>140780.0</v>
      </c>
      <c r="H2257" s="1">
        <v>376.0</v>
      </c>
      <c r="I2257" s="1" t="s">
        <v>16</v>
      </c>
      <c r="J2257" s="1">
        <v>2.4E7</v>
      </c>
      <c r="K2257" s="1">
        <v>2007.0</v>
      </c>
      <c r="L2257" s="1">
        <v>6.3</v>
      </c>
      <c r="O2257" s="3"/>
      <c r="S2257" s="4"/>
    </row>
    <row r="2258" ht="14.25" customHeight="1">
      <c r="A2258" s="1" t="s">
        <v>4643</v>
      </c>
      <c r="B2258" s="1">
        <v>93.0</v>
      </c>
      <c r="C2258" s="1">
        <v>7017178.0</v>
      </c>
      <c r="D2258" s="1" t="s">
        <v>4644</v>
      </c>
      <c r="E2258" s="1" t="s">
        <v>4645</v>
      </c>
      <c r="F2258" s="1" t="s">
        <v>4646</v>
      </c>
      <c r="G2258" s="1">
        <v>1633.0</v>
      </c>
      <c r="H2258" s="1">
        <v>17.0</v>
      </c>
      <c r="I2258" s="1" t="s">
        <v>16</v>
      </c>
      <c r="J2258" s="1">
        <v>1.75E7</v>
      </c>
      <c r="K2258" s="1">
        <v>2013.0</v>
      </c>
      <c r="L2258" s="1">
        <v>4.4</v>
      </c>
      <c r="O2258" s="3"/>
      <c r="S2258" s="4"/>
    </row>
    <row r="2259" ht="14.25" customHeight="1">
      <c r="A2259" s="1" t="s">
        <v>4647</v>
      </c>
      <c r="B2259" s="1">
        <v>116.0</v>
      </c>
      <c r="C2259" s="1">
        <v>325491.0</v>
      </c>
      <c r="D2259" s="1" t="s">
        <v>901</v>
      </c>
      <c r="E2259" s="1" t="s">
        <v>4648</v>
      </c>
      <c r="F2259" s="1" t="s">
        <v>4649</v>
      </c>
      <c r="G2259" s="1">
        <v>4387.0</v>
      </c>
      <c r="H2259" s="1">
        <v>67.0</v>
      </c>
      <c r="I2259" s="1" t="s">
        <v>16</v>
      </c>
      <c r="J2259" s="1">
        <v>1.75E7</v>
      </c>
      <c r="K2259" s="1">
        <v>2002.0</v>
      </c>
      <c r="L2259" s="1">
        <v>6.0</v>
      </c>
      <c r="O2259" s="3"/>
      <c r="S2259" s="4"/>
    </row>
    <row r="2260" ht="14.25" customHeight="1">
      <c r="A2260" s="1" t="s">
        <v>1456</v>
      </c>
      <c r="B2260" s="1">
        <v>101.0</v>
      </c>
      <c r="C2260" s="1">
        <v>9.6471845E7</v>
      </c>
      <c r="D2260" s="1" t="s">
        <v>3798</v>
      </c>
      <c r="E2260" s="1" t="s">
        <v>4650</v>
      </c>
      <c r="F2260" s="1" t="s">
        <v>4651</v>
      </c>
      <c r="G2260" s="1">
        <v>268581.0</v>
      </c>
      <c r="H2260" s="1">
        <v>1109.0</v>
      </c>
      <c r="I2260" s="1" t="s">
        <v>16</v>
      </c>
      <c r="J2260" s="1">
        <v>1.7E7</v>
      </c>
      <c r="K2260" s="1">
        <v>2001.0</v>
      </c>
      <c r="L2260" s="1">
        <v>7.6</v>
      </c>
      <c r="O2260" s="3"/>
      <c r="S2260" s="4"/>
    </row>
    <row r="2261" ht="14.25" customHeight="1">
      <c r="A2261" s="1" t="s">
        <v>12</v>
      </c>
      <c r="B2261" s="1">
        <v>154.0</v>
      </c>
      <c r="C2261" s="1">
        <v>8.52E7</v>
      </c>
      <c r="D2261" s="1" t="s">
        <v>30</v>
      </c>
      <c r="E2261" s="1" t="s">
        <v>1389</v>
      </c>
      <c r="F2261" s="1" t="s">
        <v>4652</v>
      </c>
      <c r="G2261" s="1">
        <v>488537.0</v>
      </c>
      <c r="H2261" s="1">
        <v>1076.0</v>
      </c>
      <c r="I2261" s="1" t="s">
        <v>16</v>
      </c>
      <c r="J2261" s="1">
        <v>1.85E7</v>
      </c>
      <c r="K2261" s="1">
        <v>1986.0</v>
      </c>
      <c r="L2261" s="1">
        <v>8.4</v>
      </c>
      <c r="O2261" s="3"/>
      <c r="S2261" s="4"/>
    </row>
    <row r="2262" ht="14.25" customHeight="1">
      <c r="A2262" s="1" t="s">
        <v>4653</v>
      </c>
      <c r="B2262" s="1">
        <v>170.0</v>
      </c>
      <c r="C2262" s="1">
        <v>7.2E7</v>
      </c>
      <c r="D2262" s="1" t="s">
        <v>4654</v>
      </c>
      <c r="E2262" s="1" t="s">
        <v>4655</v>
      </c>
      <c r="F2262" s="1" t="s">
        <v>4656</v>
      </c>
      <c r="G2262" s="1">
        <v>66959.0</v>
      </c>
      <c r="H2262" s="1">
        <v>258.0</v>
      </c>
      <c r="I2262" s="1" t="s">
        <v>16</v>
      </c>
      <c r="J2262" s="1">
        <v>1.7E7</v>
      </c>
      <c r="K2262" s="1">
        <v>1964.0</v>
      </c>
      <c r="L2262" s="1">
        <v>7.9</v>
      </c>
      <c r="O2262" s="3"/>
      <c r="S2262" s="4"/>
    </row>
    <row r="2263" ht="14.25" customHeight="1">
      <c r="A2263" s="1" t="s">
        <v>4657</v>
      </c>
      <c r="B2263" s="1">
        <v>99.0</v>
      </c>
      <c r="C2263" s="1">
        <v>7.2219395E7</v>
      </c>
      <c r="D2263" s="1" t="s">
        <v>1239</v>
      </c>
      <c r="E2263" s="1" t="s">
        <v>2147</v>
      </c>
      <c r="F2263" s="1" t="s">
        <v>4658</v>
      </c>
      <c r="G2263" s="1">
        <v>105585.0</v>
      </c>
      <c r="H2263" s="1">
        <v>419.0</v>
      </c>
      <c r="I2263" s="1" t="s">
        <v>16</v>
      </c>
      <c r="J2263" s="1">
        <v>1.7E7</v>
      </c>
      <c r="K2263" s="1">
        <v>1997.0</v>
      </c>
      <c r="L2263" s="1">
        <v>5.6</v>
      </c>
      <c r="O2263" s="3"/>
      <c r="S2263" s="4"/>
    </row>
    <row r="2264" ht="14.25" customHeight="1">
      <c r="A2264" s="1" t="s">
        <v>2954</v>
      </c>
      <c r="B2264" s="1">
        <v>104.0</v>
      </c>
      <c r="C2264" s="1">
        <v>8.238956E7</v>
      </c>
      <c r="D2264" s="1" t="s">
        <v>828</v>
      </c>
      <c r="E2264" s="1" t="s">
        <v>3178</v>
      </c>
      <c r="F2264" s="1" t="s">
        <v>4659</v>
      </c>
      <c r="G2264" s="1">
        <v>106820.0</v>
      </c>
      <c r="H2264" s="1">
        <v>147.0</v>
      </c>
      <c r="I2264" s="1" t="s">
        <v>16</v>
      </c>
      <c r="J2264" s="1">
        <v>1.7E7</v>
      </c>
      <c r="K2264" s="1">
        <v>2014.0</v>
      </c>
      <c r="L2264" s="1">
        <v>6.5</v>
      </c>
      <c r="O2264" s="3"/>
      <c r="S2264" s="4"/>
    </row>
    <row r="2265" ht="14.25" customHeight="1">
      <c r="A2265" s="1" t="s">
        <v>3242</v>
      </c>
      <c r="B2265" s="1">
        <v>126.0</v>
      </c>
      <c r="C2265" s="1">
        <v>7.1502303E7</v>
      </c>
      <c r="D2265" s="1" t="s">
        <v>4401</v>
      </c>
      <c r="E2265" s="1" t="s">
        <v>2340</v>
      </c>
      <c r="F2265" s="1" t="s">
        <v>4660</v>
      </c>
      <c r="G2265" s="1">
        <v>149966.0</v>
      </c>
      <c r="H2265" s="1">
        <v>835.0</v>
      </c>
      <c r="I2265" s="1" t="s">
        <v>16</v>
      </c>
      <c r="J2265" s="1">
        <v>1.2E7</v>
      </c>
      <c r="K2265" s="1">
        <v>2004.0</v>
      </c>
      <c r="L2265" s="1">
        <v>7.5</v>
      </c>
      <c r="O2265" s="3"/>
      <c r="S2265" s="4"/>
    </row>
    <row r="2266" ht="14.25" customHeight="1">
      <c r="A2266" s="1" t="s">
        <v>1996</v>
      </c>
      <c r="B2266" s="1">
        <v>110.0</v>
      </c>
      <c r="C2266" s="1">
        <v>1.9179969E7</v>
      </c>
      <c r="D2266" s="1" t="s">
        <v>828</v>
      </c>
      <c r="E2266" s="1" t="s">
        <v>4661</v>
      </c>
      <c r="F2266" s="1" t="s">
        <v>4662</v>
      </c>
      <c r="G2266" s="1">
        <v>54710.0</v>
      </c>
      <c r="H2266" s="1">
        <v>177.0</v>
      </c>
      <c r="I2266" s="1" t="s">
        <v>16</v>
      </c>
      <c r="J2266" s="1">
        <v>1.75E7</v>
      </c>
      <c r="K2266" s="1">
        <v>2006.0</v>
      </c>
      <c r="L2266" s="1">
        <v>6.3</v>
      </c>
      <c r="O2266" s="3"/>
      <c r="S2266" s="4"/>
    </row>
    <row r="2267" ht="14.25" customHeight="1">
      <c r="A2267" s="1" t="s">
        <v>2158</v>
      </c>
      <c r="B2267" s="1">
        <v>101.0</v>
      </c>
      <c r="C2267" s="1">
        <v>4.7E7</v>
      </c>
      <c r="D2267" s="1" t="s">
        <v>2657</v>
      </c>
      <c r="E2267" s="1" t="s">
        <v>720</v>
      </c>
      <c r="F2267" s="1" t="s">
        <v>4663</v>
      </c>
      <c r="G2267" s="1">
        <v>157857.0</v>
      </c>
      <c r="H2267" s="1">
        <v>1191.0</v>
      </c>
      <c r="I2267" s="1" t="s">
        <v>16</v>
      </c>
      <c r="J2267" s="1">
        <v>300000.0</v>
      </c>
      <c r="K2267" s="1">
        <v>1978.0</v>
      </c>
      <c r="L2267" s="1">
        <v>7.9</v>
      </c>
      <c r="O2267" s="3"/>
      <c r="S2267" s="4"/>
    </row>
    <row r="2268" ht="14.25" customHeight="1">
      <c r="A2268" s="1" t="s">
        <v>4664</v>
      </c>
      <c r="B2268" s="1">
        <v>87.0</v>
      </c>
      <c r="C2268" s="1">
        <v>3.756623E7</v>
      </c>
      <c r="D2268" s="1" t="s">
        <v>4665</v>
      </c>
      <c r="E2268" s="1" t="s">
        <v>3083</v>
      </c>
      <c r="F2268" s="1" t="s">
        <v>4666</v>
      </c>
      <c r="G2268" s="1">
        <v>3407.0</v>
      </c>
      <c r="H2268" s="1">
        <v>48.0</v>
      </c>
      <c r="I2268" s="1" t="s">
        <v>16</v>
      </c>
      <c r="J2268" s="1">
        <v>1.7E7</v>
      </c>
      <c r="K2268" s="1">
        <v>2003.0</v>
      </c>
      <c r="L2268" s="1">
        <v>5.1</v>
      </c>
      <c r="O2268" s="3"/>
      <c r="S2268" s="4"/>
    </row>
    <row r="2269" ht="14.25" customHeight="1">
      <c r="A2269" s="1" t="s">
        <v>3550</v>
      </c>
      <c r="B2269" s="1">
        <v>123.0</v>
      </c>
      <c r="C2269" s="1">
        <v>7.0492685E7</v>
      </c>
      <c r="D2269" s="1" t="s">
        <v>1059</v>
      </c>
      <c r="E2269" s="1" t="s">
        <v>3646</v>
      </c>
      <c r="F2269" s="1" t="s">
        <v>4667</v>
      </c>
      <c r="G2269" s="1">
        <v>11600.0</v>
      </c>
      <c r="H2269" s="1">
        <v>64.0</v>
      </c>
      <c r="I2269" s="1" t="s">
        <v>16</v>
      </c>
      <c r="J2269" s="1">
        <v>1.7E7</v>
      </c>
      <c r="K2269" s="1">
        <v>2013.0</v>
      </c>
      <c r="L2269" s="1">
        <v>6.7</v>
      </c>
      <c r="O2269" s="3"/>
      <c r="S2269" s="4"/>
    </row>
    <row r="2270" ht="14.25" customHeight="1">
      <c r="A2270" s="1" t="s">
        <v>3711</v>
      </c>
      <c r="B2270" s="1">
        <v>109.0</v>
      </c>
      <c r="C2270" s="1">
        <v>3.5635046E7</v>
      </c>
      <c r="D2270" s="1" t="s">
        <v>197</v>
      </c>
      <c r="E2270" s="1" t="s">
        <v>137</v>
      </c>
      <c r="F2270" s="1" t="s">
        <v>4668</v>
      </c>
      <c r="G2270" s="1">
        <v>121058.0</v>
      </c>
      <c r="H2270" s="1">
        <v>482.0</v>
      </c>
      <c r="I2270" s="1" t="s">
        <v>16</v>
      </c>
      <c r="J2270" s="1">
        <v>1.7E7</v>
      </c>
      <c r="K2270" s="1">
        <v>2006.0</v>
      </c>
      <c r="L2270" s="1">
        <v>6.7</v>
      </c>
      <c r="O2270" s="3"/>
      <c r="S2270" s="4"/>
    </row>
    <row r="2271" ht="14.25" customHeight="1">
      <c r="A2271" s="1" t="s">
        <v>4669</v>
      </c>
      <c r="B2271" s="1">
        <v>90.0</v>
      </c>
      <c r="C2271" s="1">
        <v>4.5670855E7</v>
      </c>
      <c r="D2271" s="1" t="s">
        <v>2512</v>
      </c>
      <c r="E2271" s="1" t="s">
        <v>2360</v>
      </c>
      <c r="F2271" s="1" t="s">
        <v>4670</v>
      </c>
      <c r="G2271" s="1">
        <v>67978.0</v>
      </c>
      <c r="H2271" s="1">
        <v>279.0</v>
      </c>
      <c r="I2271" s="1" t="s">
        <v>16</v>
      </c>
      <c r="J2271" s="1">
        <v>2.0E7</v>
      </c>
      <c r="K2271" s="1">
        <v>2010.0</v>
      </c>
      <c r="L2271" s="1">
        <v>5.6</v>
      </c>
      <c r="O2271" s="3"/>
      <c r="S2271" s="4"/>
    </row>
    <row r="2272" ht="14.25" customHeight="1">
      <c r="A2272" s="1" t="s">
        <v>1542</v>
      </c>
      <c r="B2272" s="1">
        <v>96.0</v>
      </c>
      <c r="C2272" s="1">
        <v>3.7939782E7</v>
      </c>
      <c r="D2272" s="1" t="s">
        <v>699</v>
      </c>
      <c r="E2272" s="1" t="s">
        <v>4671</v>
      </c>
      <c r="F2272" s="1" t="s">
        <v>4672</v>
      </c>
      <c r="G2272" s="1">
        <v>62272.0</v>
      </c>
      <c r="H2272" s="1">
        <v>207.0</v>
      </c>
      <c r="I2272" s="1" t="s">
        <v>16</v>
      </c>
      <c r="J2272" s="1">
        <v>1.7E7</v>
      </c>
      <c r="K2272" s="1">
        <v>2002.0</v>
      </c>
      <c r="L2272" s="1">
        <v>5.6</v>
      </c>
      <c r="O2272" s="3"/>
      <c r="S2272" s="4"/>
    </row>
    <row r="2273" ht="14.25" customHeight="1">
      <c r="A2273" s="1" t="s">
        <v>129</v>
      </c>
      <c r="B2273" s="1">
        <v>125.0</v>
      </c>
      <c r="C2273" s="1">
        <v>1.72051787E8</v>
      </c>
      <c r="D2273" s="1" t="s">
        <v>30</v>
      </c>
      <c r="E2273" s="1" t="s">
        <v>130</v>
      </c>
      <c r="F2273" s="1" t="s">
        <v>131</v>
      </c>
      <c r="G2273" s="1">
        <v>264186.0</v>
      </c>
      <c r="H2273" s="1">
        <v>665.0</v>
      </c>
      <c r="I2273" s="1" t="s">
        <v>16</v>
      </c>
      <c r="J2273" s="1">
        <v>1.7E8</v>
      </c>
      <c r="K2273" s="1">
        <v>2010.0</v>
      </c>
      <c r="L2273" s="1">
        <v>6.8</v>
      </c>
      <c r="O2273" s="3"/>
      <c r="S2273" s="4"/>
    </row>
    <row r="2274" ht="14.25" customHeight="1">
      <c r="A2274" s="1" t="s">
        <v>4673</v>
      </c>
      <c r="B2274" s="1">
        <v>82.0</v>
      </c>
      <c r="C2274" s="1">
        <v>3.0324946E7</v>
      </c>
      <c r="D2274" s="1" t="s">
        <v>4674</v>
      </c>
      <c r="E2274" s="1" t="s">
        <v>783</v>
      </c>
      <c r="F2274" s="1" t="s">
        <v>4675</v>
      </c>
      <c r="G2274" s="1">
        <v>48458.0</v>
      </c>
      <c r="H2274" s="1">
        <v>239.0</v>
      </c>
      <c r="I2274" s="1" t="s">
        <v>16</v>
      </c>
      <c r="J2274" s="1">
        <v>1.7E7</v>
      </c>
      <c r="K2274" s="1">
        <v>1998.0</v>
      </c>
      <c r="L2274" s="1">
        <v>6.2</v>
      </c>
      <c r="O2274" s="3"/>
      <c r="S2274" s="4"/>
    </row>
    <row r="2275" ht="14.25" customHeight="1">
      <c r="A2275" s="1" t="s">
        <v>4676</v>
      </c>
      <c r="B2275" s="1">
        <v>86.0</v>
      </c>
      <c r="C2275" s="1">
        <v>2.7854896E7</v>
      </c>
      <c r="D2275" s="1" t="s">
        <v>292</v>
      </c>
      <c r="E2275" s="1" t="s">
        <v>2088</v>
      </c>
      <c r="F2275" s="1" t="s">
        <v>4677</v>
      </c>
      <c r="G2275" s="1">
        <v>64190.0</v>
      </c>
      <c r="H2275" s="1">
        <v>129.0</v>
      </c>
      <c r="I2275" s="1" t="s">
        <v>16</v>
      </c>
      <c r="J2275" s="1">
        <v>1.7E7</v>
      </c>
      <c r="K2275" s="1">
        <v>2011.0</v>
      </c>
      <c r="L2275" s="1">
        <v>5.6</v>
      </c>
      <c r="O2275" s="3"/>
      <c r="S2275" s="4"/>
    </row>
    <row r="2276" ht="14.25" customHeight="1">
      <c r="A2276" s="1" t="s">
        <v>2969</v>
      </c>
      <c r="B2276" s="1">
        <v>108.0</v>
      </c>
      <c r="C2276" s="1">
        <v>4.1777564E7</v>
      </c>
      <c r="D2276" s="1" t="s">
        <v>2551</v>
      </c>
      <c r="E2276" s="1" t="s">
        <v>4455</v>
      </c>
      <c r="F2276" s="1" t="s">
        <v>4678</v>
      </c>
      <c r="G2276" s="1">
        <v>129719.0</v>
      </c>
      <c r="H2276" s="1">
        <v>855.0</v>
      </c>
      <c r="I2276" s="1" t="s">
        <v>16</v>
      </c>
      <c r="J2276" s="1">
        <v>1.5E7</v>
      </c>
      <c r="K2276" s="1">
        <v>2006.0</v>
      </c>
      <c r="L2276" s="1">
        <v>6.4</v>
      </c>
      <c r="O2276" s="3"/>
      <c r="S2276" s="4"/>
    </row>
    <row r="2277" ht="14.25" customHeight="1">
      <c r="A2277" s="1" t="s">
        <v>1861</v>
      </c>
      <c r="B2277" s="1">
        <v>98.0</v>
      </c>
      <c r="C2277" s="1">
        <v>2.2734486E7</v>
      </c>
      <c r="D2277" s="1" t="s">
        <v>828</v>
      </c>
      <c r="E2277" s="1" t="s">
        <v>4679</v>
      </c>
      <c r="F2277" s="1" t="s">
        <v>4680</v>
      </c>
      <c r="G2277" s="1">
        <v>11815.0</v>
      </c>
      <c r="H2277" s="1">
        <v>117.0</v>
      </c>
      <c r="I2277" s="1" t="s">
        <v>16</v>
      </c>
      <c r="J2277" s="1">
        <v>1.7E7</v>
      </c>
      <c r="K2277" s="1">
        <v>2003.0</v>
      </c>
      <c r="L2277" s="1">
        <v>5.6</v>
      </c>
      <c r="O2277" s="3"/>
      <c r="S2277" s="4"/>
    </row>
    <row r="2278" ht="14.25" customHeight="1">
      <c r="A2278" s="1" t="s">
        <v>3377</v>
      </c>
      <c r="B2278" s="1">
        <v>129.0</v>
      </c>
      <c r="C2278" s="1">
        <v>4.4469602E7</v>
      </c>
      <c r="D2278" s="1" t="s">
        <v>681</v>
      </c>
      <c r="E2278" s="1" t="s">
        <v>4681</v>
      </c>
      <c r="F2278" s="1" t="s">
        <v>4682</v>
      </c>
      <c r="G2278" s="1">
        <v>23480.0</v>
      </c>
      <c r="H2278" s="1">
        <v>83.0</v>
      </c>
      <c r="I2278" s="1" t="s">
        <v>16</v>
      </c>
      <c r="J2278" s="1">
        <v>1.7E7</v>
      </c>
      <c r="K2278" s="1">
        <v>2015.0</v>
      </c>
      <c r="L2278" s="1">
        <v>7.4</v>
      </c>
      <c r="O2278" s="3"/>
      <c r="S2278" s="4"/>
    </row>
    <row r="2279" ht="14.25" customHeight="1">
      <c r="A2279" s="1" t="s">
        <v>4683</v>
      </c>
      <c r="B2279" s="1">
        <v>112.0</v>
      </c>
      <c r="C2279" s="1">
        <v>6.4998368E7</v>
      </c>
      <c r="D2279" s="1" t="s">
        <v>4674</v>
      </c>
      <c r="E2279" s="1" t="s">
        <v>1032</v>
      </c>
      <c r="F2279" s="1" t="s">
        <v>4684</v>
      </c>
      <c r="G2279" s="1">
        <v>213898.0</v>
      </c>
      <c r="H2279" s="1">
        <v>250.0</v>
      </c>
      <c r="I2279" s="1" t="s">
        <v>16</v>
      </c>
      <c r="J2279" s="1">
        <v>1.7E7</v>
      </c>
      <c r="K2279" s="1">
        <v>2012.0</v>
      </c>
      <c r="L2279" s="1">
        <v>7.2</v>
      </c>
      <c r="O2279" s="3"/>
      <c r="S2279" s="4"/>
    </row>
    <row r="2280" ht="14.25" customHeight="1">
      <c r="A2280" s="1" t="s">
        <v>2924</v>
      </c>
      <c r="B2280" s="1">
        <v>108.0</v>
      </c>
      <c r="C2280" s="1">
        <v>1.9693891E7</v>
      </c>
      <c r="D2280" s="1" t="s">
        <v>1825</v>
      </c>
      <c r="E2280" s="1" t="s">
        <v>1787</v>
      </c>
      <c r="F2280" s="1" t="s">
        <v>4685</v>
      </c>
      <c r="G2280" s="1">
        <v>12993.0</v>
      </c>
      <c r="H2280" s="1">
        <v>107.0</v>
      </c>
      <c r="I2280" s="1" t="s">
        <v>16</v>
      </c>
      <c r="J2280" s="1">
        <v>3.4E7</v>
      </c>
      <c r="K2280" s="1">
        <v>2001.0</v>
      </c>
      <c r="L2280" s="1">
        <v>4.9</v>
      </c>
      <c r="O2280" s="3"/>
      <c r="S2280" s="4"/>
    </row>
    <row r="2281" ht="14.25" customHeight="1">
      <c r="A2281" s="1" t="s">
        <v>33</v>
      </c>
      <c r="B2281" s="1">
        <v>121.0</v>
      </c>
      <c r="C2281" s="1">
        <v>1.6311763E7</v>
      </c>
      <c r="D2281" s="1" t="s">
        <v>901</v>
      </c>
      <c r="E2281" s="1" t="s">
        <v>1407</v>
      </c>
      <c r="F2281" s="1" t="s">
        <v>4686</v>
      </c>
      <c r="G2281" s="1">
        <v>50656.0</v>
      </c>
      <c r="H2281" s="1">
        <v>416.0</v>
      </c>
      <c r="I2281" s="1" t="s">
        <v>16</v>
      </c>
      <c r="J2281" s="1">
        <v>1.7E7</v>
      </c>
      <c r="K2281" s="1">
        <v>1998.0</v>
      </c>
      <c r="L2281" s="1">
        <v>7.5</v>
      </c>
      <c r="O2281" s="3"/>
      <c r="S2281" s="4"/>
    </row>
    <row r="2282" ht="14.25" customHeight="1">
      <c r="A2282" s="1" t="s">
        <v>4687</v>
      </c>
      <c r="B2282" s="1">
        <v>89.0</v>
      </c>
      <c r="C2282" s="1">
        <v>1.2693621E7</v>
      </c>
      <c r="D2282" s="1" t="s">
        <v>1239</v>
      </c>
      <c r="E2282" s="1" t="s">
        <v>847</v>
      </c>
      <c r="F2282" s="1" t="s">
        <v>4688</v>
      </c>
      <c r="G2282" s="1">
        <v>10885.0</v>
      </c>
      <c r="H2282" s="1">
        <v>271.0</v>
      </c>
      <c r="I2282" s="1" t="s">
        <v>16</v>
      </c>
      <c r="J2282" s="1">
        <v>1.7E7</v>
      </c>
      <c r="K2282" s="1">
        <v>2002.0</v>
      </c>
      <c r="L2282" s="1">
        <v>4.8</v>
      </c>
      <c r="O2282" s="3"/>
      <c r="S2282" s="4"/>
    </row>
    <row r="2283" ht="14.25" customHeight="1">
      <c r="A2283" s="1" t="s">
        <v>4689</v>
      </c>
      <c r="B2283" s="1">
        <v>89.0</v>
      </c>
      <c r="C2283" s="1">
        <v>1.5655665E7</v>
      </c>
      <c r="D2283" s="1" t="s">
        <v>699</v>
      </c>
      <c r="E2283" s="1" t="s">
        <v>4690</v>
      </c>
      <c r="F2283" s="1" t="s">
        <v>4691</v>
      </c>
      <c r="G2283" s="1">
        <v>9104.0</v>
      </c>
      <c r="H2283" s="1">
        <v>112.0</v>
      </c>
      <c r="I2283" s="1" t="s">
        <v>16</v>
      </c>
      <c r="J2283" s="1">
        <v>4000000.0</v>
      </c>
      <c r="K2283" s="1">
        <v>2006.0</v>
      </c>
      <c r="L2283" s="1">
        <v>3.1</v>
      </c>
      <c r="O2283" s="3"/>
      <c r="S2283" s="4"/>
    </row>
    <row r="2284" ht="14.25" customHeight="1">
      <c r="A2284" s="1" t="s">
        <v>4692</v>
      </c>
      <c r="B2284" s="1">
        <v>73.0</v>
      </c>
      <c r="C2284" s="1">
        <v>1.1634458E7</v>
      </c>
      <c r="D2284" s="1" t="s">
        <v>4693</v>
      </c>
      <c r="E2284" s="1" t="s">
        <v>732</v>
      </c>
      <c r="F2284" s="1" t="s">
        <v>4694</v>
      </c>
      <c r="G2284" s="1">
        <v>2045.0</v>
      </c>
      <c r="H2284" s="1">
        <v>37.0</v>
      </c>
      <c r="I2284" s="1" t="s">
        <v>16</v>
      </c>
      <c r="J2284" s="1">
        <v>1.7E7</v>
      </c>
      <c r="K2284" s="1">
        <v>1999.0</v>
      </c>
      <c r="L2284" s="1">
        <v>5.8</v>
      </c>
      <c r="O2284" s="3"/>
      <c r="S2284" s="4"/>
    </row>
    <row r="2285" ht="14.25" customHeight="1">
      <c r="A2285" s="1" t="s">
        <v>1263</v>
      </c>
      <c r="B2285" s="1">
        <v>132.0</v>
      </c>
      <c r="C2285" s="1">
        <v>2.7154426E7</v>
      </c>
      <c r="D2285" s="1" t="s">
        <v>901</v>
      </c>
      <c r="E2285" s="1" t="s">
        <v>951</v>
      </c>
      <c r="F2285" s="1" t="s">
        <v>4695</v>
      </c>
      <c r="G2285" s="1">
        <v>52852.0</v>
      </c>
      <c r="H2285" s="1">
        <v>138.0</v>
      </c>
      <c r="I2285" s="1" t="s">
        <v>16</v>
      </c>
      <c r="J2285" s="1">
        <v>1.7E7</v>
      </c>
      <c r="K2285" s="1">
        <v>2009.0</v>
      </c>
      <c r="L2285" s="1">
        <v>6.7</v>
      </c>
      <c r="O2285" s="3"/>
      <c r="S2285" s="4"/>
    </row>
    <row r="2286" ht="14.25" customHeight="1">
      <c r="A2286" s="1" t="s">
        <v>4696</v>
      </c>
      <c r="B2286" s="1">
        <v>96.0</v>
      </c>
      <c r="C2286" s="1">
        <v>5.4239856E7</v>
      </c>
      <c r="D2286" s="1" t="s">
        <v>2551</v>
      </c>
      <c r="E2286" s="1" t="s">
        <v>4697</v>
      </c>
      <c r="F2286" s="1" t="s">
        <v>4698</v>
      </c>
      <c r="G2286" s="1">
        <v>125016.0</v>
      </c>
      <c r="H2286" s="1">
        <v>789.0</v>
      </c>
      <c r="I2286" s="1" t="s">
        <v>16</v>
      </c>
      <c r="J2286" s="1">
        <v>1.7E7</v>
      </c>
      <c r="K2286" s="1">
        <v>2013.0</v>
      </c>
      <c r="L2286" s="1">
        <v>6.5</v>
      </c>
      <c r="O2286" s="3"/>
      <c r="S2286" s="4"/>
    </row>
    <row r="2287" ht="14.25" customHeight="1">
      <c r="A2287" s="1" t="s">
        <v>1727</v>
      </c>
      <c r="B2287" s="1">
        <v>98.0</v>
      </c>
      <c r="C2287" s="1">
        <v>8662318.0</v>
      </c>
      <c r="D2287" s="1" t="s">
        <v>699</v>
      </c>
      <c r="E2287" s="1" t="s">
        <v>4522</v>
      </c>
      <c r="F2287" s="1" t="s">
        <v>4699</v>
      </c>
      <c r="G2287" s="1">
        <v>15033.0</v>
      </c>
      <c r="H2287" s="1">
        <v>75.0</v>
      </c>
      <c r="I2287" s="1" t="s">
        <v>16</v>
      </c>
      <c r="J2287" s="1">
        <v>1.7E7</v>
      </c>
      <c r="K2287" s="1">
        <v>2009.0</v>
      </c>
      <c r="L2287" s="1">
        <v>5.9</v>
      </c>
      <c r="O2287" s="3"/>
      <c r="S2287" s="4"/>
    </row>
    <row r="2288" ht="14.25" customHeight="1">
      <c r="A2288" s="1" t="s">
        <v>724</v>
      </c>
      <c r="B2288" s="1">
        <v>107.0</v>
      </c>
      <c r="C2288" s="1">
        <v>7156725.0</v>
      </c>
      <c r="D2288" s="1" t="s">
        <v>3022</v>
      </c>
      <c r="E2288" s="1" t="s">
        <v>260</v>
      </c>
      <c r="F2288" s="1" t="s">
        <v>4700</v>
      </c>
      <c r="G2288" s="1">
        <v>22639.0</v>
      </c>
      <c r="H2288" s="1">
        <v>217.0</v>
      </c>
      <c r="I2288" s="1" t="s">
        <v>16</v>
      </c>
      <c r="J2288" s="1">
        <v>1.9E7</v>
      </c>
      <c r="K2288" s="1">
        <v>2006.0</v>
      </c>
      <c r="L2288" s="1">
        <v>5.5</v>
      </c>
      <c r="O2288" s="3"/>
      <c r="S2288" s="4"/>
    </row>
    <row r="2289" ht="14.25" customHeight="1">
      <c r="A2289" s="1" t="s">
        <v>4701</v>
      </c>
      <c r="B2289" s="1">
        <v>134.0</v>
      </c>
      <c r="C2289" s="1">
        <v>1.568102E7</v>
      </c>
      <c r="D2289" s="1" t="s">
        <v>3044</v>
      </c>
      <c r="E2289" s="1" t="s">
        <v>194</v>
      </c>
      <c r="F2289" s="1" t="s">
        <v>4702</v>
      </c>
      <c r="G2289" s="1">
        <v>33570.0</v>
      </c>
      <c r="H2289" s="1">
        <v>259.0</v>
      </c>
      <c r="I2289" s="1" t="s">
        <v>16</v>
      </c>
      <c r="J2289" s="1">
        <v>1.7E7</v>
      </c>
      <c r="K2289" s="1">
        <v>1987.0</v>
      </c>
      <c r="L2289" s="1">
        <v>3.6</v>
      </c>
      <c r="O2289" s="3"/>
      <c r="S2289" s="4"/>
    </row>
    <row r="2290" ht="14.25" customHeight="1">
      <c r="A2290" s="1" t="s">
        <v>4703</v>
      </c>
      <c r="B2290" s="1">
        <v>122.0</v>
      </c>
      <c r="C2290" s="1">
        <v>6855137.0</v>
      </c>
      <c r="D2290" s="1" t="s">
        <v>197</v>
      </c>
      <c r="E2290" s="1" t="s">
        <v>289</v>
      </c>
      <c r="F2290" s="1" t="s">
        <v>4704</v>
      </c>
      <c r="G2290" s="1">
        <v>88590.0</v>
      </c>
      <c r="H2290" s="1">
        <v>419.0</v>
      </c>
      <c r="I2290" s="1" t="s">
        <v>16</v>
      </c>
      <c r="J2290" s="1">
        <v>1.7E7</v>
      </c>
      <c r="K2290" s="1">
        <v>2006.0</v>
      </c>
      <c r="L2290" s="1">
        <v>7.4</v>
      </c>
      <c r="O2290" s="3"/>
      <c r="S2290" s="4"/>
    </row>
    <row r="2291" ht="14.25" customHeight="1">
      <c r="A2291" s="1" t="s">
        <v>4705</v>
      </c>
      <c r="B2291" s="1">
        <v>97.0</v>
      </c>
      <c r="C2291" s="1">
        <v>2315683.0</v>
      </c>
      <c r="D2291" s="1" t="s">
        <v>4706</v>
      </c>
      <c r="E2291" s="1" t="s">
        <v>3848</v>
      </c>
      <c r="F2291" s="1" t="s">
        <v>4707</v>
      </c>
      <c r="G2291" s="1">
        <v>4081.0</v>
      </c>
      <c r="H2291" s="1">
        <v>28.0</v>
      </c>
      <c r="I2291" s="1" t="s">
        <v>16</v>
      </c>
      <c r="J2291" s="1">
        <v>1.7E7</v>
      </c>
      <c r="K2291" s="1">
        <v>1986.0</v>
      </c>
      <c r="L2291" s="1">
        <v>3.0</v>
      </c>
      <c r="O2291" s="3"/>
      <c r="S2291" s="4"/>
    </row>
    <row r="2292" ht="14.25" customHeight="1">
      <c r="A2292" s="1" t="s">
        <v>1006</v>
      </c>
      <c r="B2292" s="1">
        <v>110.0</v>
      </c>
      <c r="C2292" s="1">
        <v>3.9825798E7</v>
      </c>
      <c r="D2292" s="1" t="s">
        <v>1339</v>
      </c>
      <c r="E2292" s="1" t="s">
        <v>1467</v>
      </c>
      <c r="F2292" s="1" t="s">
        <v>4708</v>
      </c>
      <c r="G2292" s="1">
        <v>295375.0</v>
      </c>
      <c r="H2292" s="1">
        <v>645.0</v>
      </c>
      <c r="I2292" s="1" t="s">
        <v>16</v>
      </c>
      <c r="J2292" s="1">
        <v>1.6E7</v>
      </c>
      <c r="K2292" s="1">
        <v>2006.0</v>
      </c>
      <c r="L2292" s="1">
        <v>7.6</v>
      </c>
      <c r="O2292" s="3"/>
      <c r="S2292" s="4"/>
    </row>
    <row r="2293" ht="14.25" customHeight="1">
      <c r="A2293" s="1" t="s">
        <v>4709</v>
      </c>
      <c r="B2293" s="1">
        <v>102.0</v>
      </c>
      <c r="C2293" s="1">
        <v>2000000.0</v>
      </c>
      <c r="D2293" s="1" t="s">
        <v>3388</v>
      </c>
      <c r="E2293" s="1" t="s">
        <v>4710</v>
      </c>
      <c r="F2293" s="1" t="s">
        <v>4711</v>
      </c>
      <c r="G2293" s="1">
        <v>1275.0</v>
      </c>
      <c r="H2293" s="1">
        <v>27.0</v>
      </c>
      <c r="I2293" s="1" t="s">
        <v>16</v>
      </c>
      <c r="J2293" s="1">
        <v>1.7E7</v>
      </c>
      <c r="K2293" s="1">
        <v>1981.0</v>
      </c>
      <c r="L2293" s="1">
        <v>6.4</v>
      </c>
      <c r="O2293" s="3"/>
      <c r="S2293" s="4"/>
    </row>
    <row r="2294" ht="14.25" customHeight="1">
      <c r="A2294" s="1" t="s">
        <v>552</v>
      </c>
      <c r="B2294" s="1">
        <v>98.0</v>
      </c>
      <c r="C2294" s="1">
        <v>1569918.0</v>
      </c>
      <c r="D2294" s="1" t="s">
        <v>2265</v>
      </c>
      <c r="E2294" s="1" t="s">
        <v>4712</v>
      </c>
      <c r="F2294" s="1" t="s">
        <v>4713</v>
      </c>
      <c r="G2294" s="1">
        <v>16234.0</v>
      </c>
      <c r="H2294" s="1">
        <v>113.0</v>
      </c>
      <c r="I2294" s="1" t="s">
        <v>16</v>
      </c>
      <c r="J2294" s="1">
        <v>1.7E7</v>
      </c>
      <c r="K2294" s="1">
        <v>2003.0</v>
      </c>
      <c r="L2294" s="1">
        <v>6.9</v>
      </c>
      <c r="O2294" s="3"/>
      <c r="S2294" s="4"/>
    </row>
    <row r="2295" ht="14.25" customHeight="1">
      <c r="A2295" s="1" t="s">
        <v>4714</v>
      </c>
      <c r="B2295" s="1">
        <v>120.0</v>
      </c>
      <c r="C2295" s="1">
        <v>106869.0</v>
      </c>
      <c r="D2295" s="1" t="s">
        <v>2126</v>
      </c>
      <c r="E2295" s="1" t="s">
        <v>753</v>
      </c>
      <c r="F2295" s="1" t="s">
        <v>4715</v>
      </c>
      <c r="G2295" s="1">
        <v>13762.0</v>
      </c>
      <c r="H2295" s="1">
        <v>39.0</v>
      </c>
      <c r="I2295" s="1" t="s">
        <v>16</v>
      </c>
      <c r="J2295" s="1">
        <v>1.7E7</v>
      </c>
      <c r="K2295" s="1">
        <v>2014.0</v>
      </c>
      <c r="L2295" s="1">
        <v>6.6</v>
      </c>
      <c r="O2295" s="3"/>
      <c r="S2295" s="4"/>
    </row>
    <row r="2296" ht="14.25" customHeight="1">
      <c r="A2296" s="1" t="s">
        <v>3819</v>
      </c>
      <c r="B2296" s="1">
        <v>160.0</v>
      </c>
      <c r="C2296" s="1">
        <v>273420.0</v>
      </c>
      <c r="D2296" s="1" t="s">
        <v>4716</v>
      </c>
      <c r="E2296" s="1" t="s">
        <v>338</v>
      </c>
      <c r="F2296" s="1" t="s">
        <v>4717</v>
      </c>
      <c r="G2296" s="1">
        <v>32671.0</v>
      </c>
      <c r="H2296" s="1">
        <v>238.0</v>
      </c>
      <c r="I2296" s="1" t="s">
        <v>16</v>
      </c>
      <c r="J2296" s="1">
        <v>1.7E7</v>
      </c>
      <c r="K2296" s="1">
        <v>2006.0</v>
      </c>
      <c r="L2296" s="1">
        <v>5.5</v>
      </c>
      <c r="O2296" s="3"/>
      <c r="S2296" s="4"/>
    </row>
    <row r="2297" ht="14.25" customHeight="1">
      <c r="A2297" s="1" t="s">
        <v>4718</v>
      </c>
      <c r="B2297" s="1">
        <v>83.0</v>
      </c>
      <c r="C2297" s="1">
        <v>4930798.0</v>
      </c>
      <c r="D2297" s="1" t="s">
        <v>2657</v>
      </c>
      <c r="E2297" s="1" t="s">
        <v>4719</v>
      </c>
      <c r="F2297" s="1" t="s">
        <v>4720</v>
      </c>
      <c r="G2297" s="1">
        <v>16268.0</v>
      </c>
      <c r="H2297" s="1">
        <v>108.0</v>
      </c>
      <c r="I2297" s="1" t="s">
        <v>16</v>
      </c>
      <c r="J2297" s="1">
        <v>1.7E7</v>
      </c>
      <c r="K2297" s="1">
        <v>2012.0</v>
      </c>
      <c r="L2297" s="1">
        <v>4.1</v>
      </c>
      <c r="O2297" s="3"/>
      <c r="S2297" s="4"/>
    </row>
    <row r="2298" ht="14.25" customHeight="1">
      <c r="A2298" s="1" t="s">
        <v>4721</v>
      </c>
      <c r="B2298" s="1">
        <v>102.0</v>
      </c>
      <c r="C2298" s="1">
        <v>5.9847242E7</v>
      </c>
      <c r="D2298" s="1" t="s">
        <v>3660</v>
      </c>
      <c r="E2298" s="1" t="s">
        <v>2603</v>
      </c>
      <c r="F2298" s="1" t="s">
        <v>4722</v>
      </c>
      <c r="G2298" s="1">
        <v>55895.0</v>
      </c>
      <c r="H2298" s="1">
        <v>115.0</v>
      </c>
      <c r="I2298" s="1" t="s">
        <v>16</v>
      </c>
      <c r="J2298" s="1">
        <v>1.65E7</v>
      </c>
      <c r="K2298" s="1">
        <v>1991.0</v>
      </c>
      <c r="L2298" s="1">
        <v>6.8</v>
      </c>
      <c r="O2298" s="3"/>
      <c r="S2298" s="4"/>
    </row>
    <row r="2299" ht="14.25" customHeight="1">
      <c r="A2299" s="1" t="s">
        <v>4723</v>
      </c>
      <c r="B2299" s="1">
        <v>122.0</v>
      </c>
      <c r="C2299" s="1">
        <v>220914.0</v>
      </c>
      <c r="D2299" s="1" t="s">
        <v>2521</v>
      </c>
      <c r="E2299" s="1" t="s">
        <v>96</v>
      </c>
      <c r="F2299" s="1" t="s">
        <v>4724</v>
      </c>
      <c r="G2299" s="1">
        <v>13239.0</v>
      </c>
      <c r="H2299" s="1">
        <v>97.0</v>
      </c>
      <c r="I2299" s="1" t="s">
        <v>16</v>
      </c>
      <c r="J2299" s="1">
        <v>1.68E7</v>
      </c>
      <c r="K2299" s="1">
        <v>2006.0</v>
      </c>
      <c r="L2299" s="1">
        <v>6.5</v>
      </c>
      <c r="O2299" s="3"/>
      <c r="S2299" s="4"/>
    </row>
    <row r="2300" ht="14.25" customHeight="1">
      <c r="A2300" s="1" t="s">
        <v>324</v>
      </c>
      <c r="B2300" s="1">
        <v>126.0</v>
      </c>
      <c r="C2300" s="1">
        <v>4.38481E7</v>
      </c>
      <c r="D2300" s="1" t="s">
        <v>811</v>
      </c>
      <c r="E2300" s="1" t="s">
        <v>4725</v>
      </c>
      <c r="F2300" s="1" t="s">
        <v>4726</v>
      </c>
      <c r="G2300" s="1">
        <v>119150.0</v>
      </c>
      <c r="H2300" s="1">
        <v>219.0</v>
      </c>
      <c r="I2300" s="1" t="s">
        <v>16</v>
      </c>
      <c r="J2300" s="1">
        <v>1.5E7</v>
      </c>
      <c r="K2300" s="1">
        <v>1987.0</v>
      </c>
      <c r="L2300" s="1">
        <v>7.4</v>
      </c>
      <c r="O2300" s="3"/>
      <c r="S2300" s="4"/>
    </row>
    <row r="2301" ht="14.25" customHeight="1">
      <c r="A2301" s="1" t="s">
        <v>448</v>
      </c>
      <c r="B2301" s="1">
        <v>136.0</v>
      </c>
      <c r="C2301" s="1">
        <v>4.27E7</v>
      </c>
      <c r="D2301" s="1" t="s">
        <v>92</v>
      </c>
      <c r="E2301" s="1" t="s">
        <v>46</v>
      </c>
      <c r="F2301" s="1" t="s">
        <v>4727</v>
      </c>
      <c r="G2301" s="1">
        <v>78392.0</v>
      </c>
      <c r="H2301" s="1">
        <v>196.0</v>
      </c>
      <c r="I2301" s="1" t="s">
        <v>16</v>
      </c>
      <c r="J2301" s="1">
        <v>1.65E7</v>
      </c>
      <c r="K2301" s="1">
        <v>1995.0</v>
      </c>
      <c r="L2301" s="1">
        <v>7.7</v>
      </c>
      <c r="O2301" s="3"/>
      <c r="S2301" s="4"/>
    </row>
    <row r="2302" ht="14.25" customHeight="1">
      <c r="A2302" s="1" t="s">
        <v>4728</v>
      </c>
      <c r="B2302" s="1">
        <v>120.0</v>
      </c>
      <c r="C2302" s="1">
        <v>1.8663911E7</v>
      </c>
      <c r="D2302" s="1" t="s">
        <v>2521</v>
      </c>
      <c r="E2302" s="1" t="s">
        <v>953</v>
      </c>
      <c r="F2302" s="1" t="s">
        <v>4729</v>
      </c>
      <c r="G2302" s="1">
        <v>46204.0</v>
      </c>
      <c r="H2302" s="1">
        <v>151.0</v>
      </c>
      <c r="I2302" s="1" t="s">
        <v>16</v>
      </c>
      <c r="J2302" s="1">
        <v>1.65E7</v>
      </c>
      <c r="K2302" s="1">
        <v>2007.0</v>
      </c>
      <c r="L2302" s="1">
        <v>7.1</v>
      </c>
      <c r="O2302" s="3"/>
      <c r="S2302" s="4"/>
    </row>
    <row r="2303" ht="14.25" customHeight="1">
      <c r="A2303" s="1" t="s">
        <v>4730</v>
      </c>
      <c r="B2303" s="1">
        <v>108.0</v>
      </c>
      <c r="C2303" s="1">
        <v>1.170209E7</v>
      </c>
      <c r="D2303" s="1" t="s">
        <v>699</v>
      </c>
      <c r="E2303" s="1" t="s">
        <v>4731</v>
      </c>
      <c r="F2303" s="1" t="s">
        <v>4732</v>
      </c>
      <c r="G2303" s="1">
        <v>37700.0</v>
      </c>
      <c r="H2303" s="1">
        <v>50.0</v>
      </c>
      <c r="I2303" s="1" t="s">
        <v>16</v>
      </c>
      <c r="J2303" s="1">
        <v>1.65E7</v>
      </c>
      <c r="K2303" s="1">
        <v>2007.0</v>
      </c>
      <c r="L2303" s="1">
        <v>6.3</v>
      </c>
      <c r="O2303" s="3"/>
      <c r="S2303" s="4"/>
    </row>
    <row r="2304" ht="14.25" customHeight="1">
      <c r="A2304" s="1" t="s">
        <v>4733</v>
      </c>
      <c r="B2304" s="1">
        <v>126.0</v>
      </c>
      <c r="C2304" s="1">
        <v>1.3005485E7</v>
      </c>
      <c r="D2304" s="1" t="s">
        <v>1391</v>
      </c>
      <c r="E2304" s="1" t="s">
        <v>3158</v>
      </c>
      <c r="F2304" s="1" t="s">
        <v>4734</v>
      </c>
      <c r="G2304" s="1">
        <v>56665.0</v>
      </c>
      <c r="H2304" s="1">
        <v>469.0</v>
      </c>
      <c r="I2304" s="1" t="s">
        <v>16</v>
      </c>
      <c r="J2304" s="1">
        <v>1.5E7</v>
      </c>
      <c r="K2304" s="1">
        <v>2003.0</v>
      </c>
      <c r="L2304" s="1">
        <v>7.6</v>
      </c>
      <c r="O2304" s="3"/>
      <c r="S2304" s="4"/>
    </row>
    <row r="2305" ht="14.25" customHeight="1">
      <c r="A2305" s="1" t="s">
        <v>463</v>
      </c>
      <c r="B2305" s="1">
        <v>128.0</v>
      </c>
      <c r="C2305" s="1">
        <v>9.5860116E7</v>
      </c>
      <c r="D2305" s="1" t="s">
        <v>1059</v>
      </c>
      <c r="E2305" s="1" t="s">
        <v>346</v>
      </c>
      <c r="F2305" s="1" t="s">
        <v>4735</v>
      </c>
      <c r="G2305" s="1">
        <v>277451.0</v>
      </c>
      <c r="H2305" s="1">
        <v>491.0</v>
      </c>
      <c r="I2305" s="1" t="s">
        <v>16</v>
      </c>
      <c r="J2305" s="1">
        <v>1.64E7</v>
      </c>
      <c r="K2305" s="1">
        <v>1989.0</v>
      </c>
      <c r="L2305" s="1">
        <v>8.0</v>
      </c>
      <c r="O2305" s="3"/>
      <c r="S2305" s="4"/>
    </row>
    <row r="2306" ht="14.25" customHeight="1">
      <c r="A2306" s="1" t="s">
        <v>4736</v>
      </c>
      <c r="B2306" s="1">
        <v>113.0</v>
      </c>
      <c r="C2306" s="1">
        <v>1.27175354E8</v>
      </c>
      <c r="D2306" s="1" t="s">
        <v>828</v>
      </c>
      <c r="E2306" s="1" t="s">
        <v>2212</v>
      </c>
      <c r="F2306" s="1" t="s">
        <v>4737</v>
      </c>
      <c r="G2306" s="1">
        <v>288451.0</v>
      </c>
      <c r="H2306" s="1">
        <v>438.0</v>
      </c>
      <c r="I2306" s="1" t="s">
        <v>16</v>
      </c>
      <c r="J2306" s="1">
        <v>1.6E7</v>
      </c>
      <c r="K2306" s="1">
        <v>1994.0</v>
      </c>
      <c r="L2306" s="1">
        <v>7.3</v>
      </c>
      <c r="O2306" s="3"/>
      <c r="S2306" s="4"/>
    </row>
    <row r="2307" ht="14.25" customHeight="1">
      <c r="A2307" s="1" t="s">
        <v>1580</v>
      </c>
      <c r="B2307" s="1">
        <v>89.0</v>
      </c>
      <c r="C2307" s="1">
        <v>9.28236E7</v>
      </c>
      <c r="D2307" s="1" t="s">
        <v>593</v>
      </c>
      <c r="E2307" s="1" t="s">
        <v>4738</v>
      </c>
      <c r="F2307" s="1" t="s">
        <v>4739</v>
      </c>
      <c r="G2307" s="1">
        <v>149108.0</v>
      </c>
      <c r="H2307" s="1">
        <v>273.0</v>
      </c>
      <c r="I2307" s="1" t="s">
        <v>16</v>
      </c>
      <c r="J2307" s="1">
        <v>1.6E7</v>
      </c>
      <c r="K2307" s="1">
        <v>1989.0</v>
      </c>
      <c r="L2307" s="1">
        <v>7.6</v>
      </c>
      <c r="O2307" s="3"/>
      <c r="S2307" s="4"/>
    </row>
    <row r="2308" ht="14.25" customHeight="1">
      <c r="A2308" s="1" t="s">
        <v>3937</v>
      </c>
      <c r="B2308" s="1">
        <v>129.0</v>
      </c>
      <c r="C2308" s="1">
        <v>5.4E7</v>
      </c>
      <c r="D2308" s="1" t="s">
        <v>1391</v>
      </c>
      <c r="E2308" s="1" t="s">
        <v>1438</v>
      </c>
      <c r="F2308" s="1" t="s">
        <v>4740</v>
      </c>
      <c r="G2308" s="1">
        <v>26310.0</v>
      </c>
      <c r="H2308" s="1">
        <v>154.0</v>
      </c>
      <c r="I2308" s="1" t="s">
        <v>16</v>
      </c>
      <c r="J2308" s="1">
        <v>1.6E7</v>
      </c>
      <c r="K2308" s="1">
        <v>1982.0</v>
      </c>
      <c r="L2308" s="1">
        <v>7.8</v>
      </c>
      <c r="O2308" s="3"/>
      <c r="S2308" s="4"/>
    </row>
    <row r="2309" ht="14.25" customHeight="1">
      <c r="A2309" s="1" t="s">
        <v>1065</v>
      </c>
      <c r="B2309" s="1">
        <v>94.0</v>
      </c>
      <c r="C2309" s="1">
        <v>6.8525609E7</v>
      </c>
      <c r="D2309" s="1" t="s">
        <v>828</v>
      </c>
      <c r="E2309" s="1" t="s">
        <v>4741</v>
      </c>
      <c r="F2309" s="1" t="s">
        <v>4742</v>
      </c>
      <c r="G2309" s="1">
        <v>132963.0</v>
      </c>
      <c r="H2309" s="1">
        <v>302.0</v>
      </c>
      <c r="I2309" s="1" t="s">
        <v>16</v>
      </c>
      <c r="J2309" s="1">
        <v>1.56E7</v>
      </c>
      <c r="K2309" s="1">
        <v>2000.0</v>
      </c>
      <c r="L2309" s="1">
        <v>6.5</v>
      </c>
      <c r="O2309" s="3"/>
      <c r="S2309" s="4"/>
    </row>
    <row r="2310" ht="14.25" customHeight="1">
      <c r="A2310" s="1" t="s">
        <v>1665</v>
      </c>
      <c r="B2310" s="1">
        <v>106.0</v>
      </c>
      <c r="C2310" s="1">
        <v>5.2885587E7</v>
      </c>
      <c r="D2310" s="1" t="s">
        <v>1825</v>
      </c>
      <c r="E2310" s="1" t="s">
        <v>289</v>
      </c>
      <c r="F2310" s="1" t="s">
        <v>4743</v>
      </c>
      <c r="G2310" s="1">
        <v>35312.0</v>
      </c>
      <c r="H2310" s="1">
        <v>267.0</v>
      </c>
      <c r="I2310" s="1" t="s">
        <v>16</v>
      </c>
      <c r="J2310" s="1">
        <v>1.6E7</v>
      </c>
      <c r="K2310" s="1">
        <v>1999.0</v>
      </c>
      <c r="L2310" s="1">
        <v>6.4</v>
      </c>
      <c r="O2310" s="3"/>
      <c r="S2310" s="4"/>
    </row>
    <row r="2311" ht="14.25" customHeight="1">
      <c r="A2311" s="1" t="s">
        <v>4744</v>
      </c>
      <c r="B2311" s="1">
        <v>100.0</v>
      </c>
      <c r="C2311" s="1">
        <v>4.4667095E7</v>
      </c>
      <c r="D2311" s="1" t="s">
        <v>593</v>
      </c>
      <c r="E2311" s="1" t="s">
        <v>4745</v>
      </c>
      <c r="F2311" s="1" t="s">
        <v>4746</v>
      </c>
      <c r="G2311" s="1">
        <v>190030.0</v>
      </c>
      <c r="H2311" s="1">
        <v>583.0</v>
      </c>
      <c r="I2311" s="1" t="s">
        <v>16</v>
      </c>
      <c r="J2311" s="1">
        <v>1.5E7</v>
      </c>
      <c r="K2311" s="1">
        <v>2011.0</v>
      </c>
      <c r="L2311" s="1">
        <v>8.0</v>
      </c>
      <c r="O2311" s="3"/>
      <c r="S2311" s="4"/>
    </row>
    <row r="2312" ht="14.25" customHeight="1">
      <c r="A2312" s="1" t="s">
        <v>1526</v>
      </c>
      <c r="B2312" s="1">
        <v>89.0</v>
      </c>
      <c r="C2312" s="1">
        <v>4.2638165E7</v>
      </c>
      <c r="D2312" s="1" t="s">
        <v>886</v>
      </c>
      <c r="E2312" s="1" t="s">
        <v>249</v>
      </c>
      <c r="F2312" s="1" t="s">
        <v>4747</v>
      </c>
      <c r="G2312" s="1">
        <v>42182.0</v>
      </c>
      <c r="H2312" s="1">
        <v>230.0</v>
      </c>
      <c r="I2312" s="1" t="s">
        <v>16</v>
      </c>
      <c r="J2312" s="1">
        <v>1.6E7</v>
      </c>
      <c r="K2312" s="1">
        <v>2009.0</v>
      </c>
      <c r="L2312" s="1">
        <v>4.8</v>
      </c>
      <c r="O2312" s="3"/>
      <c r="S2312" s="4"/>
    </row>
    <row r="2313" ht="14.25" customHeight="1">
      <c r="A2313" s="1" t="s">
        <v>2161</v>
      </c>
      <c r="B2313" s="1">
        <v>94.0</v>
      </c>
      <c r="C2313" s="1">
        <v>4.5507053E7</v>
      </c>
      <c r="D2313" s="1" t="s">
        <v>4401</v>
      </c>
      <c r="E2313" s="1" t="s">
        <v>415</v>
      </c>
      <c r="F2313" s="1" t="s">
        <v>4748</v>
      </c>
      <c r="G2313" s="1">
        <v>237848.0</v>
      </c>
      <c r="H2313" s="1">
        <v>377.0</v>
      </c>
      <c r="I2313" s="1" t="s">
        <v>16</v>
      </c>
      <c r="J2313" s="1">
        <v>1.6E7</v>
      </c>
      <c r="K2313" s="1">
        <v>2012.0</v>
      </c>
      <c r="L2313" s="1">
        <v>7.8</v>
      </c>
      <c r="O2313" s="3"/>
      <c r="S2313" s="4"/>
    </row>
    <row r="2314" ht="14.25" customHeight="1">
      <c r="A2314" s="1" t="s">
        <v>373</v>
      </c>
      <c r="B2314" s="1">
        <v>83.0</v>
      </c>
      <c r="C2314" s="1">
        <v>3.9511038E7</v>
      </c>
      <c r="D2314" s="1" t="s">
        <v>2551</v>
      </c>
      <c r="E2314" s="1" t="s">
        <v>1781</v>
      </c>
      <c r="F2314" s="1" t="s">
        <v>4749</v>
      </c>
      <c r="G2314" s="1">
        <v>56269.0</v>
      </c>
      <c r="H2314" s="1">
        <v>366.0</v>
      </c>
      <c r="I2314" s="1" t="s">
        <v>16</v>
      </c>
      <c r="J2314" s="1">
        <v>1.6E7</v>
      </c>
      <c r="K2314" s="1">
        <v>2006.0</v>
      </c>
      <c r="L2314" s="1">
        <v>5.9</v>
      </c>
      <c r="O2314" s="3"/>
      <c r="S2314" s="4"/>
    </row>
    <row r="2315" ht="14.25" customHeight="1">
      <c r="A2315" s="1" t="s">
        <v>4750</v>
      </c>
      <c r="B2315" s="1">
        <v>111.0</v>
      </c>
      <c r="C2315" s="1">
        <v>6462576.0</v>
      </c>
      <c r="D2315" s="1" t="s">
        <v>1391</v>
      </c>
      <c r="E2315" s="1" t="s">
        <v>4751</v>
      </c>
      <c r="F2315" s="1" t="s">
        <v>4752</v>
      </c>
      <c r="G2315" s="1">
        <v>1449.0</v>
      </c>
      <c r="H2315" s="1">
        <v>30.0</v>
      </c>
      <c r="I2315" s="1" t="s">
        <v>16</v>
      </c>
      <c r="J2315" s="1">
        <v>1.85E7</v>
      </c>
      <c r="K2315" s="1">
        <v>2016.0</v>
      </c>
      <c r="L2315" s="1">
        <v>5.4</v>
      </c>
      <c r="O2315" s="3"/>
      <c r="S2315" s="4"/>
    </row>
    <row r="2316" ht="14.25" customHeight="1">
      <c r="A2316" s="1" t="s">
        <v>4753</v>
      </c>
      <c r="B2316" s="1">
        <v>80.0</v>
      </c>
      <c r="C2316" s="1">
        <v>4.036353E7</v>
      </c>
      <c r="D2316" s="1" t="s">
        <v>1247</v>
      </c>
      <c r="E2316" s="1" t="s">
        <v>4754</v>
      </c>
      <c r="F2316" s="1" t="s">
        <v>4755</v>
      </c>
      <c r="G2316" s="1">
        <v>18254.0</v>
      </c>
      <c r="H2316" s="1">
        <v>307.0</v>
      </c>
      <c r="I2316" s="1" t="s">
        <v>16</v>
      </c>
      <c r="J2316" s="1">
        <v>1.6E7</v>
      </c>
      <c r="K2316" s="1">
        <v>2002.0</v>
      </c>
      <c r="L2316" s="1">
        <v>3.3</v>
      </c>
      <c r="O2316" s="3"/>
      <c r="S2316" s="4"/>
    </row>
    <row r="2317" ht="14.25" customHeight="1">
      <c r="A2317" s="1" t="s">
        <v>164</v>
      </c>
      <c r="B2317" s="1">
        <v>112.0</v>
      </c>
      <c r="C2317" s="1">
        <v>3.7623143E7</v>
      </c>
      <c r="D2317" s="1" t="s">
        <v>4756</v>
      </c>
      <c r="E2317" s="1" t="s">
        <v>4757</v>
      </c>
      <c r="F2317" s="1" t="s">
        <v>4758</v>
      </c>
      <c r="G2317" s="1">
        <v>467234.0</v>
      </c>
      <c r="H2317" s="1">
        <v>1083.0</v>
      </c>
      <c r="I2317" s="1" t="s">
        <v>1144</v>
      </c>
      <c r="J2317" s="1">
        <v>1.35E7</v>
      </c>
      <c r="K2317" s="1">
        <v>2006.0</v>
      </c>
      <c r="L2317" s="1">
        <v>8.2</v>
      </c>
      <c r="O2317" s="3"/>
      <c r="S2317" s="4"/>
    </row>
    <row r="2318" ht="14.25" customHeight="1">
      <c r="A2318" s="1" t="s">
        <v>2542</v>
      </c>
      <c r="B2318" s="1">
        <v>94.0</v>
      </c>
      <c r="C2318" s="1">
        <v>3.3357476E7</v>
      </c>
      <c r="D2318" s="1" t="s">
        <v>4759</v>
      </c>
      <c r="E2318" s="1" t="s">
        <v>4760</v>
      </c>
      <c r="F2318" s="1" t="s">
        <v>4761</v>
      </c>
      <c r="G2318" s="1">
        <v>7392.0</v>
      </c>
      <c r="H2318" s="1">
        <v>53.0</v>
      </c>
      <c r="I2318" s="1" t="s">
        <v>16</v>
      </c>
      <c r="J2318" s="1">
        <v>3.5E7</v>
      </c>
      <c r="K2318" s="1">
        <v>2001.0</v>
      </c>
      <c r="L2318" s="1">
        <v>5.4</v>
      </c>
      <c r="O2318" s="3"/>
      <c r="S2318" s="4"/>
    </row>
    <row r="2319" ht="14.25" customHeight="1">
      <c r="A2319" s="1" t="s">
        <v>1205</v>
      </c>
      <c r="B2319" s="1">
        <v>130.0</v>
      </c>
      <c r="C2319" s="1">
        <v>2.8734552E7</v>
      </c>
      <c r="D2319" s="1" t="s">
        <v>2126</v>
      </c>
      <c r="E2319" s="1" t="s">
        <v>2803</v>
      </c>
      <c r="F2319" s="1" t="s">
        <v>4762</v>
      </c>
      <c r="G2319" s="1">
        <v>9566.0</v>
      </c>
      <c r="H2319" s="1">
        <v>81.0</v>
      </c>
      <c r="I2319" s="1" t="s">
        <v>16</v>
      </c>
      <c r="J2319" s="1">
        <v>1.6E7</v>
      </c>
      <c r="K2319" s="1">
        <v>2001.0</v>
      </c>
      <c r="L2319" s="1">
        <v>6.4</v>
      </c>
      <c r="O2319" s="3"/>
      <c r="S2319" s="4"/>
    </row>
    <row r="2320" ht="14.25" customHeight="1">
      <c r="A2320" s="1" t="s">
        <v>4763</v>
      </c>
      <c r="B2320" s="1">
        <v>91.0</v>
      </c>
      <c r="C2320" s="1">
        <v>3.7300107E7</v>
      </c>
      <c r="D2320" s="1" t="s">
        <v>1790</v>
      </c>
      <c r="E2320" s="1" t="s">
        <v>4247</v>
      </c>
      <c r="F2320" s="1" t="s">
        <v>4764</v>
      </c>
      <c r="G2320" s="1">
        <v>29147.0</v>
      </c>
      <c r="H2320" s="1">
        <v>115.0</v>
      </c>
      <c r="I2320" s="1" t="s">
        <v>16</v>
      </c>
      <c r="J2320" s="1">
        <v>1.6E7</v>
      </c>
      <c r="K2320" s="1">
        <v>2011.0</v>
      </c>
      <c r="L2320" s="1">
        <v>4.8</v>
      </c>
      <c r="O2320" s="3"/>
      <c r="S2320" s="4"/>
    </row>
    <row r="2321" ht="14.25" customHeight="1">
      <c r="A2321" s="1" t="s">
        <v>2695</v>
      </c>
      <c r="B2321" s="1">
        <v>91.0</v>
      </c>
      <c r="C2321" s="1">
        <v>2.7087695E7</v>
      </c>
      <c r="D2321" s="1" t="s">
        <v>2162</v>
      </c>
      <c r="E2321" s="1" t="s">
        <v>4765</v>
      </c>
      <c r="F2321" s="1" t="s">
        <v>4766</v>
      </c>
      <c r="G2321" s="1">
        <v>41664.0</v>
      </c>
      <c r="H2321" s="1">
        <v>205.0</v>
      </c>
      <c r="I2321" s="1" t="s">
        <v>16</v>
      </c>
      <c r="J2321" s="1">
        <v>1.77E7</v>
      </c>
      <c r="K2321" s="1">
        <v>2001.0</v>
      </c>
      <c r="L2321" s="1">
        <v>5.9</v>
      </c>
      <c r="O2321" s="3"/>
      <c r="S2321" s="4"/>
    </row>
    <row r="2322" ht="14.25" customHeight="1">
      <c r="A2322" s="1" t="s">
        <v>4767</v>
      </c>
      <c r="B2322" s="1">
        <v>110.0</v>
      </c>
      <c r="C2322" s="1">
        <v>3.0102717E7</v>
      </c>
      <c r="D2322" s="1" t="s">
        <v>1847</v>
      </c>
      <c r="E2322" s="1" t="s">
        <v>4768</v>
      </c>
      <c r="F2322" s="1" t="s">
        <v>4769</v>
      </c>
      <c r="G2322" s="1">
        <v>28736.0</v>
      </c>
      <c r="H2322" s="1">
        <v>72.0</v>
      </c>
      <c r="I2322" s="1" t="s">
        <v>16</v>
      </c>
      <c r="J2322" s="1">
        <v>1.5E7</v>
      </c>
      <c r="K2322" s="1">
        <v>1991.0</v>
      </c>
      <c r="L2322" s="1">
        <v>5.5</v>
      </c>
      <c r="O2322" s="3"/>
      <c r="S2322" s="4"/>
    </row>
    <row r="2323" ht="14.25" customHeight="1">
      <c r="A2323" s="1" t="s">
        <v>1030</v>
      </c>
      <c r="B2323" s="1">
        <v>121.0</v>
      </c>
      <c r="C2323" s="1">
        <v>2.3618786E7</v>
      </c>
      <c r="D2323" s="1" t="s">
        <v>4770</v>
      </c>
      <c r="E2323" s="1" t="s">
        <v>4771</v>
      </c>
      <c r="F2323" s="1" t="s">
        <v>4772</v>
      </c>
      <c r="G2323" s="1">
        <v>352695.0</v>
      </c>
      <c r="H2323" s="1">
        <v>687.0</v>
      </c>
      <c r="I2323" s="1" t="s">
        <v>16</v>
      </c>
      <c r="J2323" s="1">
        <v>8000000.0</v>
      </c>
      <c r="K2323" s="1">
        <v>2007.0</v>
      </c>
      <c r="L2323" s="1">
        <v>7.9</v>
      </c>
      <c r="O2323" s="3"/>
      <c r="S2323" s="4"/>
    </row>
    <row r="2324" ht="14.25" customHeight="1">
      <c r="A2324" s="1" t="s">
        <v>4773</v>
      </c>
      <c r="B2324" s="1">
        <v>114.0</v>
      </c>
      <c r="C2324" s="1">
        <v>2.6896744E7</v>
      </c>
      <c r="D2324" s="1" t="s">
        <v>1059</v>
      </c>
      <c r="E2324" s="1" t="s">
        <v>406</v>
      </c>
      <c r="F2324" s="1" t="s">
        <v>4774</v>
      </c>
      <c r="G2324" s="1">
        <v>16582.0</v>
      </c>
      <c r="H2324" s="1">
        <v>125.0</v>
      </c>
      <c r="I2324" s="1" t="s">
        <v>16</v>
      </c>
      <c r="J2324" s="1">
        <v>1.65E7</v>
      </c>
      <c r="K2324" s="1">
        <v>2008.0</v>
      </c>
      <c r="L2324" s="1">
        <v>4.9</v>
      </c>
      <c r="O2324" s="3"/>
      <c r="S2324" s="4"/>
    </row>
    <row r="2325" ht="14.25" customHeight="1">
      <c r="A2325" s="1" t="s">
        <v>3268</v>
      </c>
      <c r="B2325" s="1">
        <v>96.0</v>
      </c>
      <c r="C2325" s="1">
        <v>2.3213577E7</v>
      </c>
      <c r="D2325" s="1" t="s">
        <v>92</v>
      </c>
      <c r="E2325" s="1" t="s">
        <v>237</v>
      </c>
      <c r="F2325" s="1" t="s">
        <v>4775</v>
      </c>
      <c r="G2325" s="1">
        <v>198111.0</v>
      </c>
      <c r="H2325" s="1">
        <v>365.0</v>
      </c>
      <c r="I2325" s="1" t="s">
        <v>16</v>
      </c>
      <c r="J2325" s="1">
        <v>1.55E7</v>
      </c>
      <c r="K2325" s="1">
        <v>2008.0</v>
      </c>
      <c r="L2325" s="1">
        <v>7.2</v>
      </c>
      <c r="O2325" s="3"/>
      <c r="S2325" s="4"/>
    </row>
    <row r="2326" ht="14.25" customHeight="1">
      <c r="A2326" s="1" t="s">
        <v>4776</v>
      </c>
      <c r="B2326" s="1">
        <v>94.0</v>
      </c>
      <c r="C2326" s="1">
        <v>2.0627372E7</v>
      </c>
      <c r="D2326" s="1" t="s">
        <v>593</v>
      </c>
      <c r="E2326" s="1" t="s">
        <v>1865</v>
      </c>
      <c r="F2326" s="1" t="s">
        <v>4777</v>
      </c>
      <c r="G2326" s="1">
        <v>13661.0</v>
      </c>
      <c r="H2326" s="1">
        <v>134.0</v>
      </c>
      <c r="I2326" s="1" t="s">
        <v>16</v>
      </c>
      <c r="J2326" s="1">
        <v>1.6E7</v>
      </c>
      <c r="K2326" s="1">
        <v>2000.0</v>
      </c>
      <c r="L2326" s="1">
        <v>5.3</v>
      </c>
      <c r="O2326" s="3"/>
      <c r="S2326" s="4"/>
    </row>
    <row r="2327" ht="14.25" customHeight="1">
      <c r="A2327" s="1" t="s">
        <v>4778</v>
      </c>
      <c r="B2327" s="1">
        <v>109.0</v>
      </c>
      <c r="C2327" s="1">
        <v>1.6346122E7</v>
      </c>
      <c r="D2327" s="1" t="s">
        <v>1391</v>
      </c>
      <c r="E2327" s="1" t="s">
        <v>1605</v>
      </c>
      <c r="F2327" s="1" t="s">
        <v>4779</v>
      </c>
      <c r="G2327" s="1">
        <v>25549.0</v>
      </c>
      <c r="H2327" s="1">
        <v>171.0</v>
      </c>
      <c r="I2327" s="1" t="s">
        <v>16</v>
      </c>
      <c r="J2327" s="1">
        <v>1.6E7</v>
      </c>
      <c r="K2327" s="1">
        <v>2002.0</v>
      </c>
      <c r="L2327" s="1">
        <v>7.2</v>
      </c>
      <c r="O2327" s="3"/>
      <c r="S2327" s="4"/>
    </row>
    <row r="2328" ht="14.25" customHeight="1">
      <c r="A2328" s="1" t="s">
        <v>1931</v>
      </c>
      <c r="B2328" s="1">
        <v>107.0</v>
      </c>
      <c r="C2328" s="1">
        <v>1.6204793E7</v>
      </c>
      <c r="D2328" s="1" t="s">
        <v>375</v>
      </c>
      <c r="E2328" s="1" t="s">
        <v>35</v>
      </c>
      <c r="F2328" s="1" t="s">
        <v>4780</v>
      </c>
      <c r="G2328" s="1">
        <v>92712.0</v>
      </c>
      <c r="H2328" s="1">
        <v>294.0</v>
      </c>
      <c r="I2328" s="1" t="s">
        <v>16</v>
      </c>
      <c r="J2328" s="1">
        <v>1.6E7</v>
      </c>
      <c r="K2328" s="1">
        <v>2009.0</v>
      </c>
      <c r="L2328" s="1">
        <v>5.1</v>
      </c>
      <c r="O2328" s="3"/>
      <c r="S2328" s="4"/>
    </row>
    <row r="2329" ht="14.25" customHeight="1">
      <c r="A2329" s="1" t="s">
        <v>4781</v>
      </c>
      <c r="B2329" s="1">
        <v>96.0</v>
      </c>
      <c r="C2329" s="1">
        <v>1.5427192E7</v>
      </c>
      <c r="D2329" s="1" t="s">
        <v>4782</v>
      </c>
      <c r="E2329" s="1" t="s">
        <v>783</v>
      </c>
      <c r="F2329" s="1" t="s">
        <v>4783</v>
      </c>
      <c r="G2329" s="1">
        <v>11768.0</v>
      </c>
      <c r="H2329" s="1">
        <v>148.0</v>
      </c>
      <c r="I2329" s="1" t="s">
        <v>16</v>
      </c>
      <c r="J2329" s="1">
        <v>1.6E7</v>
      </c>
      <c r="K2329" s="1">
        <v>2000.0</v>
      </c>
      <c r="L2329" s="1">
        <v>5.6</v>
      </c>
      <c r="O2329" s="3"/>
      <c r="S2329" s="4"/>
    </row>
    <row r="2330" ht="14.25" customHeight="1">
      <c r="A2330" s="1" t="s">
        <v>3268</v>
      </c>
      <c r="B2330" s="1">
        <v>88.0</v>
      </c>
      <c r="C2330" s="1">
        <v>1.4792779E7</v>
      </c>
      <c r="D2330" s="1" t="s">
        <v>828</v>
      </c>
      <c r="E2330" s="1" t="s">
        <v>2129</v>
      </c>
      <c r="F2330" s="1" t="s">
        <v>4784</v>
      </c>
      <c r="G2330" s="1">
        <v>24256.0</v>
      </c>
      <c r="H2330" s="1">
        <v>91.0</v>
      </c>
      <c r="I2330" s="1" t="s">
        <v>16</v>
      </c>
      <c r="J2330" s="1">
        <v>1.6E7</v>
      </c>
      <c r="K2330" s="1">
        <v>1987.0</v>
      </c>
      <c r="L2330" s="1">
        <v>7.6</v>
      </c>
      <c r="O2330" s="3"/>
      <c r="S2330" s="4"/>
    </row>
    <row r="2331" ht="14.25" customHeight="1">
      <c r="A2331" s="1" t="s">
        <v>4785</v>
      </c>
      <c r="B2331" s="1">
        <v>113.0</v>
      </c>
      <c r="C2331" s="1">
        <v>1.9057024E7</v>
      </c>
      <c r="D2331" s="1" t="s">
        <v>92</v>
      </c>
      <c r="E2331" s="1" t="s">
        <v>328</v>
      </c>
      <c r="F2331" s="1" t="s">
        <v>4786</v>
      </c>
      <c r="G2331" s="1">
        <v>113963.0</v>
      </c>
      <c r="H2331" s="1">
        <v>361.0</v>
      </c>
      <c r="I2331" s="1" t="s">
        <v>16</v>
      </c>
      <c r="J2331" s="1">
        <v>1.6E7</v>
      </c>
      <c r="K2331" s="1">
        <v>2010.0</v>
      </c>
      <c r="L2331" s="1">
        <v>7.2</v>
      </c>
      <c r="O2331" s="3"/>
      <c r="S2331" s="4"/>
    </row>
    <row r="2332" ht="14.25" customHeight="1">
      <c r="A2332" s="1" t="s">
        <v>4787</v>
      </c>
      <c r="B2332" s="1">
        <v>101.0</v>
      </c>
      <c r="C2332" s="1">
        <v>1.4108518E7</v>
      </c>
      <c r="D2332" s="1" t="s">
        <v>593</v>
      </c>
      <c r="E2332" s="1" t="s">
        <v>2916</v>
      </c>
      <c r="F2332" s="1" t="s">
        <v>4788</v>
      </c>
      <c r="G2332" s="1">
        <v>8215.0</v>
      </c>
      <c r="H2332" s="1">
        <v>95.0</v>
      </c>
      <c r="I2332" s="1" t="s">
        <v>16</v>
      </c>
      <c r="J2332" s="1">
        <v>1.6E7</v>
      </c>
      <c r="K2332" s="1">
        <v>2003.0</v>
      </c>
      <c r="L2332" s="1">
        <v>5.7</v>
      </c>
      <c r="O2332" s="3"/>
      <c r="S2332" s="4"/>
    </row>
    <row r="2333" ht="14.25" customHeight="1">
      <c r="A2333" s="1" t="s">
        <v>3864</v>
      </c>
      <c r="B2333" s="1">
        <v>105.0</v>
      </c>
      <c r="C2333" s="1">
        <v>1.3854E7</v>
      </c>
      <c r="D2333" s="1" t="s">
        <v>1037</v>
      </c>
      <c r="E2333" s="1" t="s">
        <v>822</v>
      </c>
      <c r="F2333" s="1" t="s">
        <v>4789</v>
      </c>
      <c r="G2333" s="1">
        <v>21079.0</v>
      </c>
      <c r="H2333" s="1">
        <v>55.0</v>
      </c>
      <c r="I2333" s="1" t="s">
        <v>16</v>
      </c>
      <c r="J2333" s="1">
        <v>2.0E7</v>
      </c>
      <c r="K2333" s="1">
        <v>1988.0</v>
      </c>
      <c r="L2333" s="1">
        <v>5.2</v>
      </c>
      <c r="O2333" s="3"/>
      <c r="S2333" s="4"/>
    </row>
    <row r="2334" ht="14.25" customHeight="1">
      <c r="A2334" s="1" t="s">
        <v>1130</v>
      </c>
      <c r="B2334" s="1">
        <v>125.0</v>
      </c>
      <c r="C2334" s="1">
        <v>7.7324422E7</v>
      </c>
      <c r="D2334" s="1" t="s">
        <v>1391</v>
      </c>
      <c r="E2334" s="1" t="s">
        <v>717</v>
      </c>
      <c r="F2334" s="1" t="s">
        <v>4790</v>
      </c>
      <c r="G2334" s="1">
        <v>178731.0</v>
      </c>
      <c r="H2334" s="1">
        <v>261.0</v>
      </c>
      <c r="I2334" s="1" t="s">
        <v>16</v>
      </c>
      <c r="J2334" s="1">
        <v>2.6E7</v>
      </c>
      <c r="K2334" s="1">
        <v>1993.0</v>
      </c>
      <c r="L2334" s="1">
        <v>7.7</v>
      </c>
      <c r="O2334" s="3"/>
      <c r="S2334" s="4"/>
    </row>
    <row r="2335" ht="14.25" customHeight="1">
      <c r="A2335" s="1" t="s">
        <v>4791</v>
      </c>
      <c r="B2335" s="1">
        <v>100.0</v>
      </c>
      <c r="C2335" s="1">
        <v>1.55E7</v>
      </c>
      <c r="D2335" s="1" t="s">
        <v>2032</v>
      </c>
      <c r="E2335" s="1" t="s">
        <v>4792</v>
      </c>
      <c r="F2335" s="1" t="s">
        <v>4793</v>
      </c>
      <c r="G2335" s="1">
        <v>51996.0</v>
      </c>
      <c r="H2335" s="1">
        <v>302.0</v>
      </c>
      <c r="I2335" s="1" t="s">
        <v>16</v>
      </c>
      <c r="J2335" s="1">
        <v>1.6E7</v>
      </c>
      <c r="K2335" s="1">
        <v>1999.0</v>
      </c>
      <c r="L2335" s="1">
        <v>7.0</v>
      </c>
      <c r="O2335" s="3"/>
      <c r="S2335" s="4"/>
    </row>
    <row r="2336" ht="14.25" customHeight="1">
      <c r="A2336" s="1" t="s">
        <v>4794</v>
      </c>
      <c r="B2336" s="1">
        <v>112.0</v>
      </c>
      <c r="C2336" s="1">
        <v>4734235.0</v>
      </c>
      <c r="D2336" s="1" t="s">
        <v>3479</v>
      </c>
      <c r="E2336" s="1" t="s">
        <v>4795</v>
      </c>
      <c r="F2336" s="1" t="s">
        <v>4796</v>
      </c>
      <c r="G2336" s="1">
        <v>8217.0</v>
      </c>
      <c r="H2336" s="1">
        <v>123.0</v>
      </c>
      <c r="I2336" s="1" t="s">
        <v>16</v>
      </c>
      <c r="J2336" s="1">
        <v>1.5E7</v>
      </c>
      <c r="K2336" s="1">
        <v>2000.0</v>
      </c>
      <c r="L2336" s="1">
        <v>6.0</v>
      </c>
      <c r="O2336" s="3"/>
      <c r="S2336" s="4"/>
    </row>
    <row r="2337" ht="14.25" customHeight="1">
      <c r="A2337" s="1" t="s">
        <v>3268</v>
      </c>
      <c r="B2337" s="1">
        <v>112.0</v>
      </c>
      <c r="C2337" s="1">
        <v>4839383.0</v>
      </c>
      <c r="D2337" s="1" t="s">
        <v>699</v>
      </c>
      <c r="E2337" s="1" t="s">
        <v>3268</v>
      </c>
      <c r="F2337" s="1" t="s">
        <v>4797</v>
      </c>
      <c r="G2337" s="1">
        <v>21613.0</v>
      </c>
      <c r="H2337" s="1">
        <v>148.0</v>
      </c>
      <c r="I2337" s="1" t="s">
        <v>16</v>
      </c>
      <c r="J2337" s="1">
        <v>1.6E7</v>
      </c>
      <c r="K2337" s="1">
        <v>2002.0</v>
      </c>
      <c r="L2337" s="1">
        <v>6.6</v>
      </c>
      <c r="O2337" s="3"/>
      <c r="S2337" s="4"/>
    </row>
    <row r="2338" ht="14.25" customHeight="1">
      <c r="A2338" s="1" t="s">
        <v>4798</v>
      </c>
      <c r="B2338" s="1">
        <v>95.0</v>
      </c>
      <c r="C2338" s="1">
        <v>4193025.0</v>
      </c>
      <c r="D2338" s="1" t="s">
        <v>3022</v>
      </c>
      <c r="E2338" s="1" t="s">
        <v>2290</v>
      </c>
      <c r="F2338" s="1" t="s">
        <v>4799</v>
      </c>
      <c r="G2338" s="1">
        <v>30682.0</v>
      </c>
      <c r="H2338" s="1">
        <v>194.0</v>
      </c>
      <c r="I2338" s="1" t="s">
        <v>16</v>
      </c>
      <c r="J2338" s="1">
        <v>1.5E7</v>
      </c>
      <c r="K2338" s="1">
        <v>1999.0</v>
      </c>
      <c r="L2338" s="1">
        <v>6.8</v>
      </c>
      <c r="O2338" s="3"/>
      <c r="S2338" s="4"/>
    </row>
    <row r="2339" ht="14.25" customHeight="1">
      <c r="A2339" s="1" t="s">
        <v>2322</v>
      </c>
      <c r="B2339" s="1">
        <v>110.0</v>
      </c>
      <c r="C2339" s="1">
        <v>5900000.0</v>
      </c>
      <c r="D2339" s="1" t="s">
        <v>18</v>
      </c>
      <c r="E2339" s="1" t="s">
        <v>3643</v>
      </c>
      <c r="F2339" s="1" t="s">
        <v>4800</v>
      </c>
      <c r="G2339" s="1">
        <v>98629.0</v>
      </c>
      <c r="H2339" s="1">
        <v>316.0</v>
      </c>
      <c r="I2339" s="1" t="s">
        <v>16</v>
      </c>
      <c r="J2339" s="1">
        <v>1.6E7</v>
      </c>
      <c r="K2339" s="1">
        <v>1986.0</v>
      </c>
      <c r="L2339" s="1">
        <v>7.2</v>
      </c>
      <c r="O2339" s="3"/>
      <c r="S2339" s="4"/>
    </row>
    <row r="2340" ht="14.25" customHeight="1">
      <c r="A2340" s="1" t="s">
        <v>4801</v>
      </c>
      <c r="B2340" s="1">
        <v>118.0</v>
      </c>
      <c r="C2340" s="1">
        <v>2849142.0</v>
      </c>
      <c r="D2340" s="1" t="s">
        <v>1391</v>
      </c>
      <c r="E2340" s="1" t="s">
        <v>4802</v>
      </c>
      <c r="F2340" s="1" t="s">
        <v>4803</v>
      </c>
      <c r="G2340" s="1">
        <v>24104.0</v>
      </c>
      <c r="H2340" s="1">
        <v>88.0</v>
      </c>
      <c r="I2340" s="1" t="s">
        <v>16</v>
      </c>
      <c r="J2340" s="1">
        <v>1.6E7</v>
      </c>
      <c r="K2340" s="1">
        <v>2007.0</v>
      </c>
      <c r="L2340" s="1">
        <v>7.2</v>
      </c>
      <c r="O2340" s="3"/>
      <c r="S2340" s="4"/>
    </row>
    <row r="2341" ht="14.25" customHeight="1">
      <c r="A2341" s="1" t="s">
        <v>4804</v>
      </c>
      <c r="B2341" s="1">
        <v>97.0</v>
      </c>
      <c r="C2341" s="1">
        <v>1686429.0</v>
      </c>
      <c r="D2341" s="1" t="s">
        <v>4805</v>
      </c>
      <c r="E2341" s="1" t="s">
        <v>4806</v>
      </c>
      <c r="F2341" s="1" t="s">
        <v>4807</v>
      </c>
      <c r="G2341" s="1">
        <v>8687.0</v>
      </c>
      <c r="H2341" s="1">
        <v>62.0</v>
      </c>
      <c r="I2341" s="1" t="s">
        <v>16</v>
      </c>
      <c r="J2341" s="1">
        <v>1.6E7</v>
      </c>
      <c r="K2341" s="1">
        <v>1997.0</v>
      </c>
      <c r="L2341" s="1">
        <v>2.8</v>
      </c>
      <c r="O2341" s="3"/>
      <c r="S2341" s="4"/>
    </row>
    <row r="2342" ht="14.25" customHeight="1">
      <c r="A2342" s="1" t="s">
        <v>3516</v>
      </c>
      <c r="B2342" s="1">
        <v>120.0</v>
      </c>
      <c r="C2342" s="1">
        <v>1984743.0</v>
      </c>
      <c r="D2342" s="1" t="s">
        <v>92</v>
      </c>
      <c r="E2342" s="1" t="s">
        <v>550</v>
      </c>
      <c r="F2342" s="1" t="s">
        <v>4808</v>
      </c>
      <c r="G2342" s="1">
        <v>20616.0</v>
      </c>
      <c r="H2342" s="1">
        <v>70.0</v>
      </c>
      <c r="I2342" s="1" t="s">
        <v>16</v>
      </c>
      <c r="J2342" s="1">
        <v>1.6E7</v>
      </c>
      <c r="K2342" s="1">
        <v>2013.0</v>
      </c>
      <c r="L2342" s="1">
        <v>6.6</v>
      </c>
      <c r="O2342" s="3"/>
      <c r="S2342" s="4"/>
    </row>
    <row r="2343" ht="14.25" customHeight="1">
      <c r="A2343" s="1" t="s">
        <v>4809</v>
      </c>
      <c r="B2343" s="1">
        <v>135.0</v>
      </c>
      <c r="C2343" s="1">
        <v>1666262.0</v>
      </c>
      <c r="D2343" s="1" t="s">
        <v>814</v>
      </c>
      <c r="E2343" s="1" t="s">
        <v>3290</v>
      </c>
      <c r="F2343" s="1" t="s">
        <v>4810</v>
      </c>
      <c r="G2343" s="1">
        <v>5321.0</v>
      </c>
      <c r="H2343" s="1">
        <v>78.0</v>
      </c>
      <c r="I2343" s="1" t="s">
        <v>16</v>
      </c>
      <c r="J2343" s="1">
        <v>1.6E7</v>
      </c>
      <c r="K2343" s="1">
        <v>2005.0</v>
      </c>
      <c r="L2343" s="1">
        <v>6.7</v>
      </c>
      <c r="O2343" s="3"/>
      <c r="S2343" s="4"/>
    </row>
    <row r="2344" ht="14.25" customHeight="1">
      <c r="A2344" s="1" t="s">
        <v>2132</v>
      </c>
      <c r="B2344" s="1">
        <v>101.0</v>
      </c>
      <c r="C2344" s="1">
        <v>2319187.0</v>
      </c>
      <c r="D2344" s="1" t="s">
        <v>909</v>
      </c>
      <c r="E2344" s="1" t="s">
        <v>798</v>
      </c>
      <c r="F2344" s="1" t="s">
        <v>4811</v>
      </c>
      <c r="G2344" s="1">
        <v>92640.0</v>
      </c>
      <c r="H2344" s="1">
        <v>212.0</v>
      </c>
      <c r="I2344" s="1" t="s">
        <v>16</v>
      </c>
      <c r="J2344" s="1">
        <v>2.0E7</v>
      </c>
      <c r="K2344" s="1">
        <v>2013.0</v>
      </c>
      <c r="L2344" s="1">
        <v>7.0</v>
      </c>
      <c r="O2344" s="3"/>
      <c r="S2344" s="4"/>
    </row>
    <row r="2345" ht="14.25" customHeight="1">
      <c r="A2345" s="1" t="s">
        <v>4812</v>
      </c>
      <c r="B2345" s="1">
        <v>92.0</v>
      </c>
      <c r="C2345" s="1">
        <v>1.3922211E7</v>
      </c>
      <c r="D2345" s="1" t="s">
        <v>828</v>
      </c>
      <c r="E2345" s="1" t="s">
        <v>2803</v>
      </c>
      <c r="F2345" s="1" t="s">
        <v>4813</v>
      </c>
      <c r="G2345" s="1">
        <v>18271.0</v>
      </c>
      <c r="H2345" s="1">
        <v>150.0</v>
      </c>
      <c r="I2345" s="1" t="s">
        <v>16</v>
      </c>
      <c r="J2345" s="1">
        <v>1.6E7</v>
      </c>
      <c r="K2345" s="1">
        <v>2004.0</v>
      </c>
      <c r="L2345" s="1">
        <v>4.4</v>
      </c>
      <c r="O2345" s="3"/>
      <c r="S2345" s="4"/>
    </row>
    <row r="2346" ht="14.25" customHeight="1">
      <c r="A2346" s="1" t="s">
        <v>4814</v>
      </c>
      <c r="B2346" s="1">
        <v>92.0</v>
      </c>
      <c r="C2346" s="1">
        <v>23091.0</v>
      </c>
      <c r="D2346" s="1" t="s">
        <v>2906</v>
      </c>
      <c r="E2346" s="1" t="s">
        <v>2098</v>
      </c>
      <c r="F2346" s="1" t="s">
        <v>4815</v>
      </c>
      <c r="G2346" s="1">
        <v>5664.0</v>
      </c>
      <c r="H2346" s="1">
        <v>42.0</v>
      </c>
      <c r="I2346" s="1" t="s">
        <v>16</v>
      </c>
      <c r="J2346" s="1">
        <v>1.5E7</v>
      </c>
      <c r="K2346" s="1">
        <v>2008.0</v>
      </c>
      <c r="L2346" s="1">
        <v>6.2</v>
      </c>
      <c r="O2346" s="3"/>
      <c r="S2346" s="4"/>
    </row>
    <row r="2347" ht="14.25" customHeight="1">
      <c r="A2347" s="1" t="s">
        <v>4816</v>
      </c>
      <c r="B2347" s="1">
        <v>161.0</v>
      </c>
      <c r="C2347" s="1">
        <v>336467.0</v>
      </c>
      <c r="D2347" s="1" t="s">
        <v>2143</v>
      </c>
      <c r="E2347" s="1" t="s">
        <v>4817</v>
      </c>
      <c r="F2347" s="1" t="s">
        <v>4818</v>
      </c>
      <c r="G2347" s="1">
        <v>45449.0</v>
      </c>
      <c r="H2347" s="1">
        <v>192.0</v>
      </c>
      <c r="I2347" s="1" t="s">
        <v>16</v>
      </c>
      <c r="J2347" s="1">
        <v>1.3E7</v>
      </c>
      <c r="K2347" s="1">
        <v>2009.0</v>
      </c>
      <c r="L2347" s="1">
        <v>7.3</v>
      </c>
      <c r="O2347" s="3"/>
      <c r="S2347" s="4"/>
    </row>
    <row r="2348" ht="14.25" customHeight="1">
      <c r="A2348" s="1" t="s">
        <v>4308</v>
      </c>
      <c r="B2348" s="1">
        <v>92.0</v>
      </c>
      <c r="C2348" s="1">
        <v>2964.0</v>
      </c>
      <c r="D2348" s="1" t="s">
        <v>3246</v>
      </c>
      <c r="E2348" s="1" t="s">
        <v>1820</v>
      </c>
      <c r="F2348" s="1" t="s">
        <v>4819</v>
      </c>
      <c r="G2348" s="1">
        <v>7444.0</v>
      </c>
      <c r="H2348" s="1">
        <v>42.0</v>
      </c>
      <c r="I2348" s="1" t="s">
        <v>16</v>
      </c>
      <c r="J2348" s="1">
        <v>1.6E7</v>
      </c>
      <c r="K2348" s="1">
        <v>2012.0</v>
      </c>
      <c r="L2348" s="1">
        <v>5.1</v>
      </c>
      <c r="O2348" s="3"/>
      <c r="S2348" s="4"/>
    </row>
    <row r="2349" ht="14.25" customHeight="1">
      <c r="A2349" s="1" t="s">
        <v>4820</v>
      </c>
      <c r="B2349" s="1">
        <v>122.0</v>
      </c>
      <c r="C2349" s="1">
        <v>2428883.0</v>
      </c>
      <c r="D2349" s="1" t="s">
        <v>735</v>
      </c>
      <c r="E2349" s="1" t="s">
        <v>4821</v>
      </c>
      <c r="F2349" s="1" t="s">
        <v>4822</v>
      </c>
      <c r="G2349" s="1">
        <v>21370.0</v>
      </c>
      <c r="H2349" s="1">
        <v>132.0</v>
      </c>
      <c r="I2349" s="1" t="s">
        <v>16</v>
      </c>
      <c r="J2349" s="1">
        <v>1.6E7</v>
      </c>
      <c r="K2349" s="1">
        <v>2014.0</v>
      </c>
      <c r="L2349" s="1">
        <v>6.6</v>
      </c>
      <c r="O2349" s="3"/>
      <c r="S2349" s="4"/>
    </row>
    <row r="2350" ht="14.25" customHeight="1">
      <c r="A2350" s="1" t="s">
        <v>4823</v>
      </c>
      <c r="B2350" s="1">
        <v>91.0</v>
      </c>
      <c r="C2350" s="1">
        <v>1.3571817E7</v>
      </c>
      <c r="D2350" s="1" t="s">
        <v>1825</v>
      </c>
      <c r="E2350" s="1" t="s">
        <v>272</v>
      </c>
      <c r="F2350" s="1" t="s">
        <v>4824</v>
      </c>
      <c r="G2350" s="1">
        <v>5312.0</v>
      </c>
      <c r="H2350" s="1">
        <v>40.0</v>
      </c>
      <c r="I2350" s="1" t="s">
        <v>16</v>
      </c>
      <c r="J2350" s="1">
        <v>1.56E7</v>
      </c>
      <c r="K2350" s="1">
        <v>2002.0</v>
      </c>
      <c r="L2350" s="1">
        <v>4.5</v>
      </c>
      <c r="O2350" s="3"/>
      <c r="S2350" s="4"/>
    </row>
    <row r="2351" ht="14.25" customHeight="1">
      <c r="A2351" s="1" t="s">
        <v>4825</v>
      </c>
      <c r="B2351" s="1">
        <v>93.0</v>
      </c>
      <c r="C2351" s="1">
        <v>1181197.0</v>
      </c>
      <c r="D2351" s="1" t="s">
        <v>806</v>
      </c>
      <c r="E2351" s="1" t="s">
        <v>2467</v>
      </c>
      <c r="F2351" s="1" t="s">
        <v>4826</v>
      </c>
      <c r="G2351" s="1">
        <v>3299.0</v>
      </c>
      <c r="H2351" s="1">
        <v>24.0</v>
      </c>
      <c r="I2351" s="1" t="s">
        <v>16</v>
      </c>
      <c r="J2351" s="1">
        <v>1.55E7</v>
      </c>
      <c r="K2351" s="1">
        <v>2005.0</v>
      </c>
      <c r="L2351" s="1">
        <v>5.9</v>
      </c>
      <c r="O2351" s="3"/>
      <c r="S2351" s="4"/>
    </row>
    <row r="2352" ht="14.25" customHeight="1">
      <c r="A2352" s="1" t="s">
        <v>4827</v>
      </c>
      <c r="B2352" s="1">
        <v>94.0</v>
      </c>
      <c r="C2352" s="1">
        <v>81525.0</v>
      </c>
      <c r="D2352" s="1" t="s">
        <v>1452</v>
      </c>
      <c r="E2352" s="1" t="s">
        <v>4828</v>
      </c>
      <c r="F2352" s="1" t="s">
        <v>4829</v>
      </c>
      <c r="G2352" s="1">
        <v>29392.0</v>
      </c>
      <c r="H2352" s="1">
        <v>91.0</v>
      </c>
      <c r="I2352" s="1" t="s">
        <v>1189</v>
      </c>
      <c r="J2352" s="1">
        <v>1.53E7</v>
      </c>
      <c r="K2352" s="1">
        <v>2001.0</v>
      </c>
      <c r="L2352" s="1">
        <v>6.6</v>
      </c>
      <c r="O2352" s="3"/>
      <c r="S2352" s="4"/>
    </row>
    <row r="2353" ht="14.25" customHeight="1">
      <c r="A2353" s="1" t="s">
        <v>281</v>
      </c>
      <c r="B2353" s="1">
        <v>95.0</v>
      </c>
      <c r="C2353" s="1">
        <v>7774730.0</v>
      </c>
      <c r="D2353" s="1" t="s">
        <v>4830</v>
      </c>
      <c r="E2353" s="1" t="s">
        <v>4831</v>
      </c>
      <c r="F2353" s="1" t="s">
        <v>4832</v>
      </c>
      <c r="G2353" s="1">
        <v>61912.0</v>
      </c>
      <c r="H2353" s="1">
        <v>352.0</v>
      </c>
      <c r="I2353" s="1" t="s">
        <v>16</v>
      </c>
      <c r="J2353" s="1">
        <v>1.55E7</v>
      </c>
      <c r="K2353" s="1">
        <v>2006.0</v>
      </c>
      <c r="L2353" s="1">
        <v>6.5</v>
      </c>
      <c r="O2353" s="3"/>
      <c r="S2353" s="4"/>
    </row>
    <row r="2354" ht="14.25" customHeight="1">
      <c r="A2354" s="1" t="s">
        <v>1021</v>
      </c>
      <c r="B2354" s="1">
        <v>105.0</v>
      </c>
      <c r="C2354" s="1">
        <v>2.347605E8</v>
      </c>
      <c r="D2354" s="1" t="s">
        <v>728</v>
      </c>
      <c r="E2354" s="1" t="s">
        <v>1493</v>
      </c>
      <c r="F2354" s="1" t="s">
        <v>4833</v>
      </c>
      <c r="G2354" s="1">
        <v>126464.0</v>
      </c>
      <c r="H2354" s="1">
        <v>175.0</v>
      </c>
      <c r="I2354" s="1" t="s">
        <v>16</v>
      </c>
      <c r="J2354" s="1">
        <v>1.4E7</v>
      </c>
      <c r="K2354" s="1">
        <v>1984.0</v>
      </c>
      <c r="L2354" s="1">
        <v>7.3</v>
      </c>
      <c r="O2354" s="3"/>
      <c r="S2354" s="4"/>
    </row>
    <row r="2355" ht="14.25" customHeight="1">
      <c r="A2355" s="1" t="s">
        <v>524</v>
      </c>
      <c r="B2355" s="1">
        <v>103.0</v>
      </c>
      <c r="C2355" s="1">
        <v>2.85761243E8</v>
      </c>
      <c r="D2355" s="1" t="s">
        <v>1247</v>
      </c>
      <c r="E2355" s="1" t="s">
        <v>2603</v>
      </c>
      <c r="F2355" s="1" t="s">
        <v>4834</v>
      </c>
      <c r="G2355" s="1">
        <v>311075.0</v>
      </c>
      <c r="H2355" s="1">
        <v>305.0</v>
      </c>
      <c r="I2355" s="1" t="s">
        <v>16</v>
      </c>
      <c r="J2355" s="1">
        <v>1.8E7</v>
      </c>
      <c r="K2355" s="1">
        <v>1990.0</v>
      </c>
      <c r="L2355" s="1">
        <v>7.5</v>
      </c>
      <c r="O2355" s="3"/>
      <c r="S2355" s="4"/>
    </row>
    <row r="2356" ht="14.25" customHeight="1">
      <c r="A2356" s="1" t="s">
        <v>914</v>
      </c>
      <c r="B2356" s="1">
        <v>102.0</v>
      </c>
      <c r="C2356" s="1">
        <v>1.6778096E8</v>
      </c>
      <c r="D2356" s="1" t="s">
        <v>1599</v>
      </c>
      <c r="E2356" s="1" t="s">
        <v>1267</v>
      </c>
      <c r="F2356" s="1" t="s">
        <v>4835</v>
      </c>
      <c r="G2356" s="1">
        <v>36918.0</v>
      </c>
      <c r="H2356" s="1">
        <v>42.0</v>
      </c>
      <c r="I2356" s="1" t="s">
        <v>16</v>
      </c>
      <c r="J2356" s="1">
        <v>1.1E7</v>
      </c>
      <c r="K2356" s="1">
        <v>1987.0</v>
      </c>
      <c r="L2356" s="1">
        <v>5.9</v>
      </c>
      <c r="O2356" s="3"/>
      <c r="S2356" s="4"/>
    </row>
    <row r="2357" ht="14.25" customHeight="1">
      <c r="A2357" s="1" t="s">
        <v>937</v>
      </c>
      <c r="B2357" s="1">
        <v>116.0</v>
      </c>
      <c r="C2357" s="1">
        <v>1.772E8</v>
      </c>
      <c r="D2357" s="1" t="s">
        <v>593</v>
      </c>
      <c r="E2357" s="1" t="s">
        <v>899</v>
      </c>
      <c r="F2357" s="1" t="s">
        <v>4836</v>
      </c>
      <c r="G2357" s="1">
        <v>77366.0</v>
      </c>
      <c r="H2357" s="1">
        <v>194.0</v>
      </c>
      <c r="I2357" s="1" t="s">
        <v>16</v>
      </c>
      <c r="J2357" s="1">
        <v>2.2E7</v>
      </c>
      <c r="K2357" s="1">
        <v>1982.0</v>
      </c>
      <c r="L2357" s="1">
        <v>7.4</v>
      </c>
      <c r="O2357" s="3"/>
      <c r="S2357" s="4"/>
    </row>
    <row r="2358" ht="14.25" customHeight="1">
      <c r="A2358" s="1" t="s">
        <v>722</v>
      </c>
      <c r="B2358" s="1">
        <v>110.0</v>
      </c>
      <c r="C2358" s="1">
        <v>1.76781728E8</v>
      </c>
      <c r="D2358" s="1" t="s">
        <v>704</v>
      </c>
      <c r="E2358" s="1" t="s">
        <v>226</v>
      </c>
      <c r="F2358" s="1" t="s">
        <v>4837</v>
      </c>
      <c r="G2358" s="1">
        <v>219171.0</v>
      </c>
      <c r="H2358" s="1">
        <v>388.0</v>
      </c>
      <c r="I2358" s="1" t="s">
        <v>16</v>
      </c>
      <c r="J2358" s="1">
        <v>1.5E7</v>
      </c>
      <c r="K2358" s="1">
        <v>1986.0</v>
      </c>
      <c r="L2358" s="1">
        <v>6.9</v>
      </c>
      <c r="O2358" s="3"/>
      <c r="S2358" s="4"/>
    </row>
    <row r="2359" ht="14.25" customHeight="1">
      <c r="A2359" s="1" t="s">
        <v>448</v>
      </c>
      <c r="B2359" s="1">
        <v>120.0</v>
      </c>
      <c r="C2359" s="1">
        <v>1.28067808E8</v>
      </c>
      <c r="D2359" s="1" t="s">
        <v>704</v>
      </c>
      <c r="E2359" s="1" t="s">
        <v>4838</v>
      </c>
      <c r="F2359" s="1" t="s">
        <v>4839</v>
      </c>
      <c r="G2359" s="1">
        <v>217740.0</v>
      </c>
      <c r="H2359" s="1">
        <v>1641.0</v>
      </c>
      <c r="I2359" s="1" t="s">
        <v>816</v>
      </c>
      <c r="J2359" s="1">
        <v>1.5E7</v>
      </c>
      <c r="K2359" s="1">
        <v>2000.0</v>
      </c>
      <c r="L2359" s="1">
        <v>7.9</v>
      </c>
      <c r="O2359" s="3"/>
      <c r="S2359" s="4"/>
    </row>
    <row r="2360" ht="14.25" customHeight="1">
      <c r="A2360" s="1" t="s">
        <v>21</v>
      </c>
      <c r="B2360" s="1">
        <v>122.0</v>
      </c>
      <c r="C2360" s="1">
        <v>1.30058047E8</v>
      </c>
      <c r="D2360" s="1" t="s">
        <v>1391</v>
      </c>
      <c r="E2360" s="1" t="s">
        <v>52</v>
      </c>
      <c r="F2360" s="1" t="s">
        <v>4840</v>
      </c>
      <c r="G2360" s="1">
        <v>822500.0</v>
      </c>
      <c r="H2360" s="1">
        <v>2715.0</v>
      </c>
      <c r="I2360" s="1" t="s">
        <v>16</v>
      </c>
      <c r="J2360" s="1">
        <v>1.5E7</v>
      </c>
      <c r="K2360" s="1">
        <v>1999.0</v>
      </c>
      <c r="L2360" s="1">
        <v>8.4</v>
      </c>
      <c r="O2360" s="3"/>
      <c r="S2360" s="4"/>
    </row>
    <row r="2361" ht="14.25" customHeight="1">
      <c r="A2361" s="1" t="s">
        <v>1495</v>
      </c>
      <c r="B2361" s="1">
        <v>118.0</v>
      </c>
      <c r="C2361" s="1">
        <v>1.38795342E8</v>
      </c>
      <c r="D2361" s="1" t="s">
        <v>2432</v>
      </c>
      <c r="E2361" s="1" t="s">
        <v>1475</v>
      </c>
      <c r="F2361" s="1" t="s">
        <v>4841</v>
      </c>
      <c r="G2361" s="1">
        <v>503631.0</v>
      </c>
      <c r="H2361" s="1">
        <v>636.0</v>
      </c>
      <c r="I2361" s="1" t="s">
        <v>16</v>
      </c>
      <c r="J2361" s="1">
        <v>1.5E7</v>
      </c>
      <c r="K2361" s="1">
        <v>2010.0</v>
      </c>
      <c r="L2361" s="1">
        <v>8.0</v>
      </c>
      <c r="O2361" s="3"/>
      <c r="S2361" s="4"/>
    </row>
    <row r="2362" ht="14.25" customHeight="1">
      <c r="A2362" s="1" t="s">
        <v>1117</v>
      </c>
      <c r="B2362" s="1">
        <v>107.0</v>
      </c>
      <c r="C2362" s="1">
        <v>1.119364E8</v>
      </c>
      <c r="D2362" s="1" t="s">
        <v>427</v>
      </c>
      <c r="E2362" s="1" t="s">
        <v>1810</v>
      </c>
      <c r="F2362" s="1" t="s">
        <v>4842</v>
      </c>
      <c r="G2362" s="1">
        <v>87538.0</v>
      </c>
      <c r="H2362" s="1">
        <v>79.0</v>
      </c>
      <c r="I2362" s="1" t="s">
        <v>16</v>
      </c>
      <c r="J2362" s="1">
        <v>1.5E7</v>
      </c>
      <c r="K2362" s="1">
        <v>1988.0</v>
      </c>
      <c r="L2362" s="1">
        <v>6.0</v>
      </c>
      <c r="O2362" s="3"/>
      <c r="S2362" s="4"/>
    </row>
    <row r="2363" ht="14.25" customHeight="1">
      <c r="A2363" s="1" t="s">
        <v>4843</v>
      </c>
      <c r="B2363" s="1">
        <v>102.0</v>
      </c>
      <c r="C2363" s="1">
        <v>317040.0</v>
      </c>
      <c r="D2363" s="1" t="s">
        <v>92</v>
      </c>
      <c r="E2363" s="1" t="s">
        <v>1050</v>
      </c>
      <c r="F2363" s="1" t="s">
        <v>4844</v>
      </c>
      <c r="G2363" s="1">
        <v>6723.0</v>
      </c>
      <c r="H2363" s="1">
        <v>36.0</v>
      </c>
      <c r="I2363" s="1" t="s">
        <v>16</v>
      </c>
      <c r="J2363" s="1">
        <v>1.55E7</v>
      </c>
      <c r="K2363" s="1">
        <v>2008.0</v>
      </c>
      <c r="L2363" s="1">
        <v>6.8</v>
      </c>
      <c r="O2363" s="3"/>
      <c r="S2363" s="4"/>
    </row>
    <row r="2364" ht="14.25" customHeight="1">
      <c r="A2364" s="1" t="s">
        <v>168</v>
      </c>
      <c r="B2364" s="1">
        <v>154.0</v>
      </c>
      <c r="C2364" s="1">
        <v>9.4175854E7</v>
      </c>
      <c r="D2364" s="1" t="s">
        <v>1391</v>
      </c>
      <c r="E2364" s="1" t="s">
        <v>693</v>
      </c>
      <c r="F2364" s="1" t="s">
        <v>4845</v>
      </c>
      <c r="G2364" s="1">
        <v>60988.0</v>
      </c>
      <c r="H2364" s="1">
        <v>199.0</v>
      </c>
      <c r="I2364" s="1" t="s">
        <v>16</v>
      </c>
      <c r="J2364" s="1">
        <v>1.5E7</v>
      </c>
      <c r="K2364" s="1">
        <v>1985.0</v>
      </c>
      <c r="L2364" s="1">
        <v>7.8</v>
      </c>
      <c r="O2364" s="3"/>
      <c r="S2364" s="4"/>
    </row>
    <row r="2365" ht="14.25" customHeight="1">
      <c r="A2365" s="1" t="s">
        <v>4846</v>
      </c>
      <c r="B2365" s="1">
        <v>114.0</v>
      </c>
      <c r="C2365" s="1">
        <v>9.1121452E7</v>
      </c>
      <c r="D2365" s="1" t="s">
        <v>3851</v>
      </c>
      <c r="E2365" s="1" t="s">
        <v>155</v>
      </c>
      <c r="F2365" s="1" t="s">
        <v>4847</v>
      </c>
      <c r="G2365" s="1">
        <v>467613.0</v>
      </c>
      <c r="H2365" s="1">
        <v>608.0</v>
      </c>
      <c r="I2365" s="1" t="s">
        <v>16</v>
      </c>
      <c r="J2365" s="1">
        <v>1.4E7</v>
      </c>
      <c r="K2365" s="1">
        <v>2014.0</v>
      </c>
      <c r="L2365" s="1">
        <v>8.1</v>
      </c>
      <c r="O2365" s="3"/>
      <c r="S2365" s="4"/>
    </row>
    <row r="2366" ht="14.25" customHeight="1">
      <c r="A2366" s="1" t="s">
        <v>4721</v>
      </c>
      <c r="B2366" s="1">
        <v>109.0</v>
      </c>
      <c r="C2366" s="1">
        <v>6.98E7</v>
      </c>
      <c r="D2366" s="1" t="s">
        <v>3929</v>
      </c>
      <c r="E2366" s="1" t="s">
        <v>1713</v>
      </c>
      <c r="F2366" s="1" t="s">
        <v>4848</v>
      </c>
      <c r="G2366" s="1">
        <v>18140.0</v>
      </c>
      <c r="H2366" s="1">
        <v>60.0</v>
      </c>
      <c r="I2366" s="1" t="s">
        <v>16</v>
      </c>
      <c r="J2366" s="1">
        <v>1.0E7</v>
      </c>
      <c r="K2366" s="1">
        <v>1980.0</v>
      </c>
      <c r="L2366" s="1">
        <v>6.1</v>
      </c>
      <c r="O2366" s="3"/>
      <c r="S2366" s="4"/>
    </row>
    <row r="2367" ht="14.25" customHeight="1">
      <c r="A2367" s="1" t="s">
        <v>942</v>
      </c>
      <c r="B2367" s="1">
        <v>94.0</v>
      </c>
      <c r="C2367" s="1">
        <v>6.4001297E7</v>
      </c>
      <c r="D2367" s="1" t="s">
        <v>1247</v>
      </c>
      <c r="E2367" s="1" t="s">
        <v>210</v>
      </c>
      <c r="F2367" s="1" t="s">
        <v>4849</v>
      </c>
      <c r="G2367" s="1">
        <v>32002.0</v>
      </c>
      <c r="H2367" s="1">
        <v>103.0</v>
      </c>
      <c r="I2367" s="1" t="s">
        <v>16</v>
      </c>
      <c r="J2367" s="1">
        <v>1.5E7</v>
      </c>
      <c r="K2367" s="1">
        <v>2010.0</v>
      </c>
      <c r="L2367" s="1">
        <v>6.2</v>
      </c>
      <c r="O2367" s="3"/>
      <c r="S2367" s="4"/>
    </row>
    <row r="2368" ht="14.25" customHeight="1">
      <c r="A2368" s="1" t="s">
        <v>4850</v>
      </c>
      <c r="B2368" s="1">
        <v>100.0</v>
      </c>
      <c r="C2368" s="1">
        <v>7.158822E7</v>
      </c>
      <c r="D2368" s="1" t="s">
        <v>2945</v>
      </c>
      <c r="E2368" s="1" t="s">
        <v>2502</v>
      </c>
      <c r="F2368" s="1" t="s">
        <v>4851</v>
      </c>
      <c r="G2368" s="1">
        <v>134869.0</v>
      </c>
      <c r="H2368" s="1">
        <v>304.0</v>
      </c>
      <c r="I2368" s="1" t="s">
        <v>16</v>
      </c>
      <c r="J2368" s="1">
        <v>2.0E7</v>
      </c>
      <c r="K2368" s="1">
        <v>2013.0</v>
      </c>
      <c r="L2368" s="1">
        <v>6.2</v>
      </c>
      <c r="O2368" s="3"/>
      <c r="S2368" s="4"/>
    </row>
    <row r="2369" ht="14.25" customHeight="1">
      <c r="A2369" s="1" t="s">
        <v>1719</v>
      </c>
      <c r="B2369" s="1">
        <v>98.0</v>
      </c>
      <c r="C2369" s="1">
        <v>6.14E7</v>
      </c>
      <c r="D2369" s="1" t="s">
        <v>1720</v>
      </c>
      <c r="E2369" s="1" t="s">
        <v>4852</v>
      </c>
      <c r="F2369" s="1" t="s">
        <v>4853</v>
      </c>
      <c r="G2369" s="1">
        <v>71183.0</v>
      </c>
      <c r="H2369" s="1">
        <v>183.0</v>
      </c>
      <c r="I2369" s="1" t="s">
        <v>16</v>
      </c>
      <c r="J2369" s="1">
        <v>1.5E7</v>
      </c>
      <c r="K2369" s="1">
        <v>1983.0</v>
      </c>
      <c r="L2369" s="1">
        <v>7.4</v>
      </c>
      <c r="O2369" s="3"/>
      <c r="S2369" s="4"/>
    </row>
    <row r="2370" ht="14.25" customHeight="1">
      <c r="A2370" s="1" t="s">
        <v>4127</v>
      </c>
      <c r="B2370" s="1">
        <v>102.0</v>
      </c>
      <c r="C2370" s="1">
        <v>1.0197884E8</v>
      </c>
      <c r="D2370" s="1" t="s">
        <v>828</v>
      </c>
      <c r="E2370" s="1" t="s">
        <v>4854</v>
      </c>
      <c r="F2370" s="1" t="s">
        <v>4855</v>
      </c>
      <c r="G2370" s="1">
        <v>77724.0</v>
      </c>
      <c r="H2370" s="1">
        <v>162.0</v>
      </c>
      <c r="I2370" s="1" t="s">
        <v>16</v>
      </c>
      <c r="J2370" s="1">
        <v>1.5E7</v>
      </c>
      <c r="K2370" s="1">
        <v>2013.0</v>
      </c>
      <c r="L2370" s="1">
        <v>6.6</v>
      </c>
      <c r="O2370" s="3"/>
      <c r="S2370" s="4"/>
    </row>
    <row r="2371" ht="14.25" customHeight="1">
      <c r="A2371" s="1" t="s">
        <v>2251</v>
      </c>
      <c r="B2371" s="1">
        <v>94.0</v>
      </c>
      <c r="C2371" s="1">
        <v>5.6437947E7</v>
      </c>
      <c r="D2371" s="1" t="s">
        <v>646</v>
      </c>
      <c r="E2371" s="1" t="s">
        <v>4856</v>
      </c>
      <c r="F2371" s="1" t="s">
        <v>4857</v>
      </c>
      <c r="G2371" s="1">
        <v>85333.0</v>
      </c>
      <c r="H2371" s="1">
        <v>421.0</v>
      </c>
      <c r="I2371" s="1" t="s">
        <v>16</v>
      </c>
      <c r="J2371" s="1">
        <v>9800000.0</v>
      </c>
      <c r="K2371" s="1">
        <v>2006.0</v>
      </c>
      <c r="L2371" s="1">
        <v>7.3</v>
      </c>
      <c r="O2371" s="3"/>
      <c r="S2371" s="4"/>
    </row>
    <row r="2372" ht="14.25" customHeight="1">
      <c r="A2372" s="1" t="s">
        <v>111</v>
      </c>
      <c r="B2372" s="1">
        <v>92.0</v>
      </c>
      <c r="C2372" s="1">
        <v>7.3326666E7</v>
      </c>
      <c r="D2372" s="1" t="s">
        <v>1148</v>
      </c>
      <c r="E2372" s="1" t="s">
        <v>750</v>
      </c>
      <c r="F2372" s="1" t="s">
        <v>4858</v>
      </c>
      <c r="G2372" s="1">
        <v>189413.0</v>
      </c>
      <c r="H2372" s="1">
        <v>306.0</v>
      </c>
      <c r="I2372" s="1" t="s">
        <v>16</v>
      </c>
      <c r="J2372" s="1">
        <v>1.5E7</v>
      </c>
      <c r="K2372" s="1">
        <v>1988.0</v>
      </c>
      <c r="L2372" s="1">
        <v>7.5</v>
      </c>
      <c r="O2372" s="3"/>
      <c r="S2372" s="4"/>
    </row>
    <row r="2373" ht="14.25" customHeight="1">
      <c r="A2373" s="1" t="s">
        <v>3709</v>
      </c>
      <c r="B2373" s="1">
        <v>113.0</v>
      </c>
      <c r="C2373" s="1">
        <v>5.5184721E7</v>
      </c>
      <c r="D2373" s="1" t="s">
        <v>1059</v>
      </c>
      <c r="E2373" s="1" t="s">
        <v>2561</v>
      </c>
      <c r="F2373" s="1" t="s">
        <v>4859</v>
      </c>
      <c r="G2373" s="1">
        <v>9811.0</v>
      </c>
      <c r="H2373" s="1">
        <v>100.0</v>
      </c>
      <c r="I2373" s="1" t="s">
        <v>16</v>
      </c>
      <c r="J2373" s="1">
        <v>1.5E7</v>
      </c>
      <c r="K2373" s="1">
        <v>2007.0</v>
      </c>
      <c r="L2373" s="1">
        <v>5.6</v>
      </c>
      <c r="O2373" s="3"/>
      <c r="S2373" s="4"/>
    </row>
    <row r="2374" ht="14.25" customHeight="1">
      <c r="A2374" s="1" t="s">
        <v>4860</v>
      </c>
      <c r="B2374" s="1">
        <v>115.0</v>
      </c>
      <c r="C2374" s="1">
        <v>5.00033E7</v>
      </c>
      <c r="D2374" s="1" t="s">
        <v>4861</v>
      </c>
      <c r="E2374" s="1" t="s">
        <v>143</v>
      </c>
      <c r="F2374" s="1" t="s">
        <v>4862</v>
      </c>
      <c r="G2374" s="1">
        <v>36624.0</v>
      </c>
      <c r="H2374" s="1">
        <v>132.0</v>
      </c>
      <c r="I2374" s="1" t="s">
        <v>16</v>
      </c>
      <c r="J2374" s="1">
        <v>1.5E7</v>
      </c>
      <c r="K2374" s="1">
        <v>1994.0</v>
      </c>
      <c r="L2374" s="1">
        <v>7.3</v>
      </c>
      <c r="O2374" s="3"/>
      <c r="S2374" s="4"/>
    </row>
    <row r="2375" ht="14.25" customHeight="1">
      <c r="A2375" s="1" t="s">
        <v>4863</v>
      </c>
      <c r="B2375" s="1">
        <v>95.0</v>
      </c>
      <c r="C2375" s="1">
        <v>5.4322273E7</v>
      </c>
      <c r="D2375" s="1" t="s">
        <v>380</v>
      </c>
      <c r="E2375" s="1" t="s">
        <v>511</v>
      </c>
      <c r="F2375" s="1" t="s">
        <v>4864</v>
      </c>
      <c r="G2375" s="1">
        <v>139749.0</v>
      </c>
      <c r="H2375" s="1">
        <v>509.0</v>
      </c>
      <c r="I2375" s="1" t="s">
        <v>16</v>
      </c>
      <c r="J2375" s="1">
        <v>1.7E7</v>
      </c>
      <c r="K2375" s="1">
        <v>2012.0</v>
      </c>
      <c r="L2375" s="1">
        <v>6.4</v>
      </c>
      <c r="O2375" s="3"/>
      <c r="S2375" s="4"/>
    </row>
    <row r="2376" ht="14.25" customHeight="1">
      <c r="A2376" s="1" t="s">
        <v>743</v>
      </c>
      <c r="B2376" s="1">
        <v>87.0</v>
      </c>
      <c r="C2376" s="1">
        <v>4.7860214E7</v>
      </c>
      <c r="D2376" s="1" t="s">
        <v>2657</v>
      </c>
      <c r="E2376" s="1" t="s">
        <v>1893</v>
      </c>
      <c r="F2376" s="1" t="s">
        <v>4865</v>
      </c>
      <c r="G2376" s="1">
        <v>34711.0</v>
      </c>
      <c r="H2376" s="1">
        <v>468.0</v>
      </c>
      <c r="I2376" s="1" t="s">
        <v>16</v>
      </c>
      <c r="J2376" s="1">
        <v>1.5E7</v>
      </c>
      <c r="K2376" s="1">
        <v>2006.0</v>
      </c>
      <c r="L2376" s="1">
        <v>5.0</v>
      </c>
      <c r="O2376" s="3"/>
      <c r="S2376" s="4"/>
    </row>
    <row r="2377" ht="14.25" customHeight="1">
      <c r="A2377" s="1" t="s">
        <v>345</v>
      </c>
      <c r="B2377" s="1">
        <v>88.0</v>
      </c>
      <c r="C2377" s="1">
        <v>4.7811275E7</v>
      </c>
      <c r="D2377" s="1" t="s">
        <v>993</v>
      </c>
      <c r="E2377" s="1" t="s">
        <v>4866</v>
      </c>
      <c r="F2377" s="1" t="s">
        <v>4867</v>
      </c>
      <c r="G2377" s="1">
        <v>29008.0</v>
      </c>
      <c r="H2377" s="1">
        <v>99.0</v>
      </c>
      <c r="I2377" s="1" t="s">
        <v>16</v>
      </c>
      <c r="J2377" s="1">
        <v>1.5E7</v>
      </c>
      <c r="K2377" s="1">
        <v>2002.0</v>
      </c>
      <c r="L2377" s="1">
        <v>5.4</v>
      </c>
      <c r="O2377" s="3"/>
      <c r="S2377" s="4"/>
    </row>
    <row r="2378" ht="14.25" customHeight="1">
      <c r="A2378" s="1" t="s">
        <v>1274</v>
      </c>
      <c r="B2378" s="1">
        <v>97.0</v>
      </c>
      <c r="C2378" s="1">
        <v>4.3022524E7</v>
      </c>
      <c r="D2378" s="1" t="s">
        <v>1059</v>
      </c>
      <c r="E2378" s="1" t="s">
        <v>725</v>
      </c>
      <c r="F2378" s="1" t="s">
        <v>4868</v>
      </c>
      <c r="G2378" s="1">
        <v>67604.0</v>
      </c>
      <c r="H2378" s="1">
        <v>218.0</v>
      </c>
      <c r="I2378" s="1" t="s">
        <v>16</v>
      </c>
      <c r="J2378" s="1">
        <v>1.5E7</v>
      </c>
      <c r="K2378" s="1">
        <v>1997.0</v>
      </c>
      <c r="L2378" s="1">
        <v>7.1</v>
      </c>
      <c r="O2378" s="3"/>
      <c r="S2378" s="4"/>
    </row>
    <row r="2379" ht="14.25" customHeight="1">
      <c r="A2379" s="1" t="s">
        <v>4869</v>
      </c>
      <c r="B2379" s="1">
        <v>94.0</v>
      </c>
      <c r="C2379" s="1">
        <v>4.267263E7</v>
      </c>
      <c r="D2379" s="1" t="s">
        <v>4870</v>
      </c>
      <c r="E2379" s="1" t="s">
        <v>4871</v>
      </c>
      <c r="F2379" s="1" t="s">
        <v>4872</v>
      </c>
      <c r="G2379" s="1">
        <v>27580.0</v>
      </c>
      <c r="H2379" s="1">
        <v>172.0</v>
      </c>
      <c r="I2379" s="1" t="s">
        <v>16</v>
      </c>
      <c r="J2379" s="1">
        <v>1.7E7</v>
      </c>
      <c r="K2379" s="1">
        <v>2003.0</v>
      </c>
      <c r="L2379" s="1">
        <v>5.3</v>
      </c>
      <c r="O2379" s="3"/>
      <c r="S2379" s="4"/>
    </row>
    <row r="2380" ht="14.25" customHeight="1">
      <c r="A2380" s="1" t="s">
        <v>4873</v>
      </c>
      <c r="B2380" s="1">
        <v>112.0</v>
      </c>
      <c r="C2380" s="1">
        <v>4.2919096E7</v>
      </c>
      <c r="D2380" s="1" t="s">
        <v>392</v>
      </c>
      <c r="E2380" s="1" t="s">
        <v>632</v>
      </c>
      <c r="F2380" s="1" t="s">
        <v>4874</v>
      </c>
      <c r="G2380" s="1">
        <v>64747.0</v>
      </c>
      <c r="H2380" s="1">
        <v>122.0</v>
      </c>
      <c r="I2380" s="1" t="s">
        <v>16</v>
      </c>
      <c r="J2380" s="1">
        <v>1.5E7</v>
      </c>
      <c r="K2380" s="1">
        <v>2013.0</v>
      </c>
      <c r="L2380" s="1">
        <v>6.5</v>
      </c>
      <c r="O2380" s="3"/>
      <c r="S2380" s="4"/>
    </row>
    <row r="2381" ht="14.25" customHeight="1">
      <c r="A2381" s="1" t="s">
        <v>4875</v>
      </c>
      <c r="B2381" s="1">
        <v>98.0</v>
      </c>
      <c r="C2381" s="1">
        <v>4.259253E7</v>
      </c>
      <c r="D2381" s="1" t="s">
        <v>375</v>
      </c>
      <c r="E2381" s="1" t="s">
        <v>896</v>
      </c>
      <c r="F2381" s="1" t="s">
        <v>4876</v>
      </c>
      <c r="G2381" s="1">
        <v>29867.0</v>
      </c>
      <c r="H2381" s="1">
        <v>181.0</v>
      </c>
      <c r="I2381" s="1" t="s">
        <v>16</v>
      </c>
      <c r="J2381" s="1">
        <v>1.5E7</v>
      </c>
      <c r="K2381" s="1">
        <v>2015.0</v>
      </c>
      <c r="L2381" s="1">
        <v>6.2</v>
      </c>
      <c r="O2381" s="3"/>
      <c r="S2381" s="4"/>
    </row>
    <row r="2382" ht="14.25" customHeight="1">
      <c r="A2382" s="1" t="s">
        <v>1980</v>
      </c>
      <c r="B2382" s="1">
        <v>104.0</v>
      </c>
      <c r="C2382" s="1">
        <v>4.0064955E7</v>
      </c>
      <c r="D2382" s="1" t="s">
        <v>2807</v>
      </c>
      <c r="E2382" s="1" t="s">
        <v>4877</v>
      </c>
      <c r="F2382" s="1" t="s">
        <v>4878</v>
      </c>
      <c r="G2382" s="1">
        <v>92074.0</v>
      </c>
      <c r="H2382" s="1">
        <v>502.0</v>
      </c>
      <c r="I2382" s="1" t="s">
        <v>16</v>
      </c>
      <c r="J2382" s="1">
        <v>1.5E7</v>
      </c>
      <c r="K2382" s="1">
        <v>1998.0</v>
      </c>
      <c r="L2382" s="1">
        <v>6.4</v>
      </c>
      <c r="O2382" s="3"/>
      <c r="S2382" s="4"/>
    </row>
    <row r="2383" ht="14.25" customHeight="1">
      <c r="A2383" s="1" t="s">
        <v>596</v>
      </c>
      <c r="B2383" s="1">
        <v>120.0</v>
      </c>
      <c r="C2383" s="1">
        <v>4.4886089E7</v>
      </c>
      <c r="D2383" s="1" t="s">
        <v>901</v>
      </c>
      <c r="E2383" s="1" t="s">
        <v>725</v>
      </c>
      <c r="F2383" s="1" t="s">
        <v>4879</v>
      </c>
      <c r="G2383" s="1">
        <v>69576.0</v>
      </c>
      <c r="H2383" s="1">
        <v>207.0</v>
      </c>
      <c r="I2383" s="1" t="s">
        <v>16</v>
      </c>
      <c r="J2383" s="1">
        <v>1.0E7</v>
      </c>
      <c r="K2383" s="1">
        <v>1997.0</v>
      </c>
      <c r="L2383" s="1">
        <v>6.9</v>
      </c>
      <c r="O2383" s="3"/>
      <c r="S2383" s="4"/>
    </row>
    <row r="2384" ht="14.25" customHeight="1">
      <c r="A2384" s="1" t="s">
        <v>4880</v>
      </c>
      <c r="B2384" s="1">
        <v>99.0</v>
      </c>
      <c r="C2384" s="1">
        <v>3.7882551E7</v>
      </c>
      <c r="D2384" s="1" t="s">
        <v>828</v>
      </c>
      <c r="E2384" s="1" t="s">
        <v>459</v>
      </c>
      <c r="F2384" s="1" t="s">
        <v>4881</v>
      </c>
      <c r="G2384" s="1">
        <v>80305.0</v>
      </c>
      <c r="H2384" s="1">
        <v>393.0</v>
      </c>
      <c r="I2384" s="1" t="s">
        <v>16</v>
      </c>
      <c r="J2384" s="1">
        <v>1.6E7</v>
      </c>
      <c r="K2384" s="1">
        <v>2001.0</v>
      </c>
      <c r="L2384" s="1">
        <v>5.7</v>
      </c>
      <c r="O2384" s="3"/>
      <c r="S2384" s="4"/>
    </row>
    <row r="2385" ht="14.25" customHeight="1">
      <c r="A2385" s="1" t="s">
        <v>218</v>
      </c>
      <c r="B2385" s="1">
        <v>109.0</v>
      </c>
      <c r="C2385" s="1">
        <v>4.0983001E7</v>
      </c>
      <c r="D2385" s="1" t="s">
        <v>901</v>
      </c>
      <c r="E2385" s="1" t="s">
        <v>162</v>
      </c>
      <c r="F2385" s="1" t="s">
        <v>4882</v>
      </c>
      <c r="G2385" s="1">
        <v>181025.0</v>
      </c>
      <c r="H2385" s="1">
        <v>336.0</v>
      </c>
      <c r="I2385" s="1" t="s">
        <v>16</v>
      </c>
      <c r="J2385" s="1">
        <v>7000000.0</v>
      </c>
      <c r="K2385" s="1">
        <v>2012.0</v>
      </c>
      <c r="L2385" s="1">
        <v>7.7</v>
      </c>
      <c r="O2385" s="3"/>
      <c r="S2385" s="4"/>
    </row>
    <row r="2386" ht="14.25" customHeight="1">
      <c r="A2386" s="1" t="s">
        <v>1364</v>
      </c>
      <c r="B2386" s="1">
        <v>105.0</v>
      </c>
      <c r="C2386" s="1">
        <v>2.0991497E7</v>
      </c>
      <c r="D2386" s="1" t="s">
        <v>593</v>
      </c>
      <c r="E2386" s="1" t="s">
        <v>78</v>
      </c>
      <c r="F2386" s="1" t="s">
        <v>2864</v>
      </c>
      <c r="G2386" s="1">
        <v>39782.0</v>
      </c>
      <c r="H2386" s="1">
        <v>172.0</v>
      </c>
      <c r="I2386" s="1" t="s">
        <v>16</v>
      </c>
      <c r="J2386" s="1">
        <v>3.7E7</v>
      </c>
      <c r="K2386" s="1">
        <v>2015.0</v>
      </c>
      <c r="L2386" s="1">
        <v>5.4</v>
      </c>
      <c r="O2386" s="3"/>
      <c r="S2386" s="4"/>
    </row>
    <row r="2387" ht="14.25" customHeight="1">
      <c r="A2387" s="1" t="s">
        <v>214</v>
      </c>
      <c r="B2387" s="1">
        <v>106.0</v>
      </c>
      <c r="C2387" s="1">
        <v>3.500718E7</v>
      </c>
      <c r="D2387" s="1" t="s">
        <v>197</v>
      </c>
      <c r="E2387" s="1" t="s">
        <v>289</v>
      </c>
      <c r="F2387" s="1" t="s">
        <v>4883</v>
      </c>
      <c r="G2387" s="1">
        <v>26846.0</v>
      </c>
      <c r="H2387" s="1">
        <v>193.0</v>
      </c>
      <c r="I2387" s="1" t="s">
        <v>16</v>
      </c>
      <c r="J2387" s="1">
        <v>1.5E7</v>
      </c>
      <c r="K2387" s="1">
        <v>2000.0</v>
      </c>
      <c r="L2387" s="1">
        <v>5.6</v>
      </c>
      <c r="O2387" s="3"/>
      <c r="S2387" s="4"/>
    </row>
    <row r="2388" ht="14.25" customHeight="1">
      <c r="A2388" s="1" t="s">
        <v>4884</v>
      </c>
      <c r="B2388" s="1">
        <v>123.0</v>
      </c>
      <c r="C2388" s="1">
        <v>3.5887263E7</v>
      </c>
      <c r="D2388" s="1" t="s">
        <v>2521</v>
      </c>
      <c r="E2388" s="1" t="s">
        <v>1929</v>
      </c>
      <c r="F2388" s="1" t="s">
        <v>4885</v>
      </c>
      <c r="G2388" s="1">
        <v>265507.0</v>
      </c>
      <c r="H2388" s="1">
        <v>388.0</v>
      </c>
      <c r="I2388" s="1" t="s">
        <v>16</v>
      </c>
      <c r="J2388" s="1">
        <v>1.5E7</v>
      </c>
      <c r="K2388" s="1">
        <v>2014.0</v>
      </c>
      <c r="L2388" s="1">
        <v>7.7</v>
      </c>
      <c r="O2388" s="3"/>
      <c r="S2388" s="4"/>
    </row>
    <row r="2389" ht="14.25" customHeight="1">
      <c r="A2389" s="1" t="s">
        <v>2542</v>
      </c>
      <c r="B2389" s="1">
        <v>86.0</v>
      </c>
      <c r="C2389" s="1">
        <v>3.4308901E7</v>
      </c>
      <c r="D2389" s="1" t="s">
        <v>427</v>
      </c>
      <c r="E2389" s="1" t="s">
        <v>935</v>
      </c>
      <c r="F2389" s="1" t="s">
        <v>4886</v>
      </c>
      <c r="G2389" s="1">
        <v>15939.0</v>
      </c>
      <c r="H2389" s="1">
        <v>87.0</v>
      </c>
      <c r="I2389" s="1" t="s">
        <v>16</v>
      </c>
      <c r="J2389" s="1">
        <v>1.6E7</v>
      </c>
      <c r="K2389" s="1">
        <v>2003.0</v>
      </c>
      <c r="L2389" s="1">
        <v>5.1</v>
      </c>
      <c r="O2389" s="3"/>
      <c r="S2389" s="4"/>
    </row>
    <row r="2390" ht="14.25" customHeight="1">
      <c r="A2390" s="1" t="s">
        <v>4887</v>
      </c>
      <c r="B2390" s="1">
        <v>120.0</v>
      </c>
      <c r="C2390" s="1">
        <v>3.3771174E7</v>
      </c>
      <c r="D2390" s="1" t="s">
        <v>593</v>
      </c>
      <c r="E2390" s="1" t="s">
        <v>603</v>
      </c>
      <c r="F2390" s="1" t="s">
        <v>4888</v>
      </c>
      <c r="G2390" s="1">
        <v>27044.0</v>
      </c>
      <c r="H2390" s="1">
        <v>240.0</v>
      </c>
      <c r="I2390" s="1" t="s">
        <v>16</v>
      </c>
      <c r="J2390" s="1">
        <v>1.5E7</v>
      </c>
      <c r="K2390" s="1">
        <v>2000.0</v>
      </c>
      <c r="L2390" s="1">
        <v>6.8</v>
      </c>
      <c r="O2390" s="3"/>
      <c r="S2390" s="4"/>
    </row>
    <row r="2391" ht="14.25" customHeight="1">
      <c r="A2391" s="1" t="s">
        <v>3552</v>
      </c>
      <c r="B2391" s="1">
        <v>227.0</v>
      </c>
      <c r="C2391" s="1">
        <v>6000000.0</v>
      </c>
      <c r="D2391" s="1" t="s">
        <v>1400</v>
      </c>
      <c r="E2391" s="1" t="s">
        <v>4889</v>
      </c>
      <c r="F2391" s="1" t="s">
        <v>4890</v>
      </c>
      <c r="G2391" s="1">
        <v>192775.0</v>
      </c>
      <c r="H2391" s="1">
        <v>559.0</v>
      </c>
      <c r="I2391" s="1" t="s">
        <v>16</v>
      </c>
      <c r="J2391" s="1">
        <v>1.5E7</v>
      </c>
      <c r="K2391" s="1">
        <v>1962.0</v>
      </c>
      <c r="L2391" s="1">
        <v>8.4</v>
      </c>
      <c r="O2391" s="3"/>
      <c r="S2391" s="4"/>
    </row>
    <row r="2392" ht="14.25" customHeight="1">
      <c r="A2392" s="1" t="s">
        <v>4891</v>
      </c>
      <c r="B2392" s="1">
        <v>119.0</v>
      </c>
      <c r="C2392" s="1">
        <v>3.3386128E7</v>
      </c>
      <c r="D2392" s="1" t="s">
        <v>2551</v>
      </c>
      <c r="E2392" s="1" t="s">
        <v>3901</v>
      </c>
      <c r="F2392" s="1" t="s">
        <v>4892</v>
      </c>
      <c r="G2392" s="1">
        <v>36372.0</v>
      </c>
      <c r="H2392" s="1">
        <v>491.0</v>
      </c>
      <c r="I2392" s="1" t="s">
        <v>16</v>
      </c>
      <c r="J2392" s="1">
        <v>1.5E7</v>
      </c>
      <c r="K2392" s="1">
        <v>2009.0</v>
      </c>
      <c r="L2392" s="1">
        <v>4.9</v>
      </c>
      <c r="O2392" s="3"/>
      <c r="S2392" s="4"/>
    </row>
    <row r="2393" ht="14.25" customHeight="1">
      <c r="A2393" s="1" t="s">
        <v>3030</v>
      </c>
      <c r="B2393" s="1">
        <v>115.0</v>
      </c>
      <c r="C2393" s="1">
        <v>3.7877959E7</v>
      </c>
      <c r="D2393" s="1" t="s">
        <v>4279</v>
      </c>
      <c r="E2393" s="1" t="s">
        <v>3031</v>
      </c>
      <c r="F2393" s="1" t="s">
        <v>4893</v>
      </c>
      <c r="G2393" s="1">
        <v>86664.0</v>
      </c>
      <c r="H2393" s="1">
        <v>252.0</v>
      </c>
      <c r="I2393" s="1" t="s">
        <v>16</v>
      </c>
      <c r="J2393" s="1">
        <v>1.5E7</v>
      </c>
      <c r="K2393" s="1">
        <v>2014.0</v>
      </c>
      <c r="L2393" s="1">
        <v>7.1</v>
      </c>
      <c r="O2393" s="3"/>
      <c r="S2393" s="4"/>
    </row>
    <row r="2394" ht="14.25" customHeight="1">
      <c r="A2394" s="1" t="s">
        <v>4894</v>
      </c>
      <c r="B2394" s="1">
        <v>114.0</v>
      </c>
      <c r="C2394" s="1">
        <v>3.2721635E7</v>
      </c>
      <c r="D2394" s="1" t="s">
        <v>2707</v>
      </c>
      <c r="E2394" s="1" t="s">
        <v>3968</v>
      </c>
      <c r="F2394" s="1" t="s">
        <v>4895</v>
      </c>
      <c r="G2394" s="1">
        <v>67822.0</v>
      </c>
      <c r="H2394" s="1">
        <v>279.0</v>
      </c>
      <c r="I2394" s="1" t="s">
        <v>16</v>
      </c>
      <c r="J2394" s="1">
        <v>1.5E7</v>
      </c>
      <c r="K2394" s="1">
        <v>2009.0</v>
      </c>
      <c r="L2394" s="1">
        <v>6.6</v>
      </c>
      <c r="O2394" s="3"/>
      <c r="S2394" s="4"/>
    </row>
    <row r="2395" ht="14.25" customHeight="1">
      <c r="A2395" s="1" t="s">
        <v>4787</v>
      </c>
      <c r="B2395" s="1">
        <v>90.0</v>
      </c>
      <c r="C2395" s="1">
        <v>3.15853E7</v>
      </c>
      <c r="D2395" s="1" t="s">
        <v>699</v>
      </c>
      <c r="E2395" s="1" t="s">
        <v>4896</v>
      </c>
      <c r="F2395" s="1" t="s">
        <v>4897</v>
      </c>
      <c r="G2395" s="1">
        <v>38248.0</v>
      </c>
      <c r="H2395" s="1">
        <v>250.0</v>
      </c>
      <c r="I2395" s="1" t="s">
        <v>16</v>
      </c>
      <c r="J2395" s="1">
        <v>1.5E7</v>
      </c>
      <c r="K2395" s="1">
        <v>2005.0</v>
      </c>
      <c r="L2395" s="1">
        <v>6.1</v>
      </c>
      <c r="O2395" s="3"/>
      <c r="S2395" s="4"/>
    </row>
    <row r="2396" ht="14.25" customHeight="1">
      <c r="A2396" s="1" t="s">
        <v>4898</v>
      </c>
      <c r="B2396" s="1">
        <v>94.0</v>
      </c>
      <c r="C2396" s="1">
        <v>3.0259652E7</v>
      </c>
      <c r="D2396" s="1" t="s">
        <v>4899</v>
      </c>
      <c r="E2396" s="1" t="s">
        <v>720</v>
      </c>
      <c r="F2396" s="1" t="s">
        <v>4900</v>
      </c>
      <c r="G2396" s="1">
        <v>26905.0</v>
      </c>
      <c r="H2396" s="1">
        <v>614.0</v>
      </c>
      <c r="I2396" s="1" t="s">
        <v>16</v>
      </c>
      <c r="J2396" s="1">
        <v>1.5E7</v>
      </c>
      <c r="K2396" s="1">
        <v>2002.0</v>
      </c>
      <c r="L2396" s="1">
        <v>4.1</v>
      </c>
      <c r="O2396" s="3"/>
      <c r="S2396" s="4"/>
    </row>
    <row r="2397" ht="14.25" customHeight="1">
      <c r="A2397" s="1" t="s">
        <v>472</v>
      </c>
      <c r="B2397" s="1">
        <v>106.0</v>
      </c>
      <c r="C2397" s="1">
        <v>1.63192114E8</v>
      </c>
      <c r="D2397" s="1" t="s">
        <v>18</v>
      </c>
      <c r="E2397" s="1" t="s">
        <v>100</v>
      </c>
      <c r="F2397" s="1" t="s">
        <v>541</v>
      </c>
      <c r="G2397" s="1">
        <v>229687.0</v>
      </c>
      <c r="H2397" s="1">
        <v>637.0</v>
      </c>
      <c r="I2397" s="1" t="s">
        <v>16</v>
      </c>
      <c r="J2397" s="1">
        <v>1.25E8</v>
      </c>
      <c r="K2397" s="1">
        <v>2010.0</v>
      </c>
      <c r="L2397" s="1">
        <v>5.8</v>
      </c>
      <c r="O2397" s="3"/>
      <c r="S2397" s="4"/>
    </row>
    <row r="2398" ht="14.25" customHeight="1">
      <c r="A2398" s="1" t="s">
        <v>1580</v>
      </c>
      <c r="B2398" s="1">
        <v>98.0</v>
      </c>
      <c r="C2398" s="1">
        <v>3.0857814E7</v>
      </c>
      <c r="D2398" s="1" t="s">
        <v>1398</v>
      </c>
      <c r="E2398" s="1" t="s">
        <v>188</v>
      </c>
      <c r="F2398" s="1" t="s">
        <v>4901</v>
      </c>
      <c r="G2398" s="1">
        <v>294163.0</v>
      </c>
      <c r="H2398" s="1">
        <v>718.0</v>
      </c>
      <c r="I2398" s="1" t="s">
        <v>16</v>
      </c>
      <c r="J2398" s="1">
        <v>1.6E7</v>
      </c>
      <c r="K2398" s="1">
        <v>1987.0</v>
      </c>
      <c r="L2398" s="1">
        <v>8.1</v>
      </c>
      <c r="O2398" s="3"/>
      <c r="S2398" s="4"/>
    </row>
    <row r="2399" ht="14.25" customHeight="1">
      <c r="A2399" s="1" t="s">
        <v>717</v>
      </c>
      <c r="B2399" s="1">
        <v>126.0</v>
      </c>
      <c r="C2399" s="1">
        <v>3.0226144E7</v>
      </c>
      <c r="D2399" s="1" t="s">
        <v>646</v>
      </c>
      <c r="E2399" s="1" t="s">
        <v>717</v>
      </c>
      <c r="F2399" s="1" t="s">
        <v>4902</v>
      </c>
      <c r="G2399" s="1">
        <v>47626.0</v>
      </c>
      <c r="H2399" s="1">
        <v>118.0</v>
      </c>
      <c r="I2399" s="1" t="s">
        <v>16</v>
      </c>
      <c r="J2399" s="1">
        <v>1.5E7</v>
      </c>
      <c r="K2399" s="1">
        <v>2007.0</v>
      </c>
      <c r="L2399" s="1">
        <v>7.6</v>
      </c>
      <c r="O2399" s="3"/>
      <c r="S2399" s="4"/>
    </row>
    <row r="2400" ht="14.25" customHeight="1">
      <c r="A2400" s="1" t="s">
        <v>4903</v>
      </c>
      <c r="B2400" s="1">
        <v>100.0</v>
      </c>
      <c r="C2400" s="1">
        <v>3.5054909E7</v>
      </c>
      <c r="D2400" s="1" t="s">
        <v>811</v>
      </c>
      <c r="E2400" s="1" t="s">
        <v>1717</v>
      </c>
      <c r="F2400" s="1" t="s">
        <v>4904</v>
      </c>
      <c r="G2400" s="1">
        <v>431578.0</v>
      </c>
      <c r="H2400" s="1">
        <v>1264.0</v>
      </c>
      <c r="I2400" s="1" t="s">
        <v>16</v>
      </c>
      <c r="J2400" s="1">
        <v>1.5E7</v>
      </c>
      <c r="K2400" s="1">
        <v>2011.0</v>
      </c>
      <c r="L2400" s="1">
        <v>7.8</v>
      </c>
      <c r="O2400" s="3"/>
      <c r="S2400" s="4"/>
    </row>
    <row r="2401" ht="14.25" customHeight="1">
      <c r="A2401" s="1" t="s">
        <v>4905</v>
      </c>
      <c r="B2401" s="1">
        <v>89.0</v>
      </c>
      <c r="C2401" s="1">
        <v>2.9302097E7</v>
      </c>
      <c r="D2401" s="1" t="s">
        <v>4906</v>
      </c>
      <c r="E2401" s="1" t="s">
        <v>2305</v>
      </c>
      <c r="F2401" s="1" t="s">
        <v>4907</v>
      </c>
      <c r="G2401" s="1">
        <v>23408.0</v>
      </c>
      <c r="H2401" s="1">
        <v>105.0</v>
      </c>
      <c r="I2401" s="1" t="s">
        <v>16</v>
      </c>
      <c r="J2401" s="1">
        <v>1.5E7</v>
      </c>
      <c r="K2401" s="1">
        <v>2004.0</v>
      </c>
      <c r="L2401" s="1">
        <v>4.6</v>
      </c>
      <c r="O2401" s="3"/>
      <c r="S2401" s="4"/>
    </row>
    <row r="2402" ht="14.25" customHeight="1">
      <c r="A2402" s="1" t="s">
        <v>4568</v>
      </c>
      <c r="B2402" s="1">
        <v>111.0</v>
      </c>
      <c r="C2402" s="1">
        <v>2.9106737E7</v>
      </c>
      <c r="D2402" s="1" t="s">
        <v>593</v>
      </c>
      <c r="E2402" s="1" t="s">
        <v>3083</v>
      </c>
      <c r="F2402" s="1" t="s">
        <v>4908</v>
      </c>
      <c r="G2402" s="1">
        <v>15582.0</v>
      </c>
      <c r="H2402" s="1">
        <v>132.0</v>
      </c>
      <c r="I2402" s="1" t="s">
        <v>16</v>
      </c>
      <c r="J2402" s="1">
        <v>1.5E7</v>
      </c>
      <c r="K2402" s="1">
        <v>1998.0</v>
      </c>
      <c r="L2402" s="1">
        <v>6.0</v>
      </c>
      <c r="O2402" s="3"/>
      <c r="S2402" s="4"/>
    </row>
    <row r="2403" ht="14.25" customHeight="1">
      <c r="A2403" s="1" t="s">
        <v>4909</v>
      </c>
      <c r="B2403" s="1">
        <v>100.0</v>
      </c>
      <c r="C2403" s="1">
        <v>2.8637507E7</v>
      </c>
      <c r="D2403" s="1" t="s">
        <v>333</v>
      </c>
      <c r="E2403" s="1" t="s">
        <v>550</v>
      </c>
      <c r="F2403" s="1" t="s">
        <v>4910</v>
      </c>
      <c r="G2403" s="1">
        <v>212167.0</v>
      </c>
      <c r="H2403" s="1">
        <v>713.0</v>
      </c>
      <c r="I2403" s="1" t="s">
        <v>16</v>
      </c>
      <c r="J2403" s="1">
        <v>1.5E7</v>
      </c>
      <c r="K2403" s="1">
        <v>2007.0</v>
      </c>
      <c r="L2403" s="1">
        <v>7.0</v>
      </c>
      <c r="O2403" s="3"/>
      <c r="S2403" s="4"/>
    </row>
    <row r="2404" ht="14.25" customHeight="1">
      <c r="A2404" s="1" t="s">
        <v>2297</v>
      </c>
      <c r="B2404" s="1">
        <v>115.0</v>
      </c>
      <c r="C2404" s="1">
        <v>3.0127963E7</v>
      </c>
      <c r="D2404" s="1" t="s">
        <v>3151</v>
      </c>
      <c r="E2404" s="1" t="s">
        <v>4911</v>
      </c>
      <c r="F2404" s="1" t="s">
        <v>4912</v>
      </c>
      <c r="G2404" s="1">
        <v>12596.0</v>
      </c>
      <c r="H2404" s="1">
        <v>64.0</v>
      </c>
      <c r="I2404" s="1" t="s">
        <v>16</v>
      </c>
      <c r="J2404" s="1">
        <v>1.5E7</v>
      </c>
      <c r="K2404" s="1">
        <v>2014.0</v>
      </c>
      <c r="L2404" s="1">
        <v>6.7</v>
      </c>
      <c r="O2404" s="3"/>
      <c r="S2404" s="4"/>
    </row>
    <row r="2405" ht="14.25" customHeight="1">
      <c r="A2405" s="1" t="s">
        <v>1873</v>
      </c>
      <c r="B2405" s="1">
        <v>106.0</v>
      </c>
      <c r="C2405" s="1">
        <v>3.2645546E7</v>
      </c>
      <c r="D2405" s="1" t="s">
        <v>1599</v>
      </c>
      <c r="E2405" s="1" t="s">
        <v>2980</v>
      </c>
      <c r="F2405" s="1" t="s">
        <v>4913</v>
      </c>
      <c r="G2405" s="1">
        <v>8427.0</v>
      </c>
      <c r="H2405" s="1">
        <v>88.0</v>
      </c>
      <c r="I2405" s="1" t="s">
        <v>16</v>
      </c>
      <c r="J2405" s="1">
        <v>1.4E7</v>
      </c>
      <c r="K2405" s="1">
        <v>2005.0</v>
      </c>
      <c r="L2405" s="1">
        <v>6.4</v>
      </c>
      <c r="O2405" s="3"/>
      <c r="S2405" s="4"/>
    </row>
    <row r="2406" ht="14.25" customHeight="1">
      <c r="A2406" s="1" t="s">
        <v>4914</v>
      </c>
      <c r="B2406" s="1">
        <v>124.0</v>
      </c>
      <c r="C2406" s="1">
        <v>2.7441122E7</v>
      </c>
      <c r="D2406" s="1" t="s">
        <v>1986</v>
      </c>
      <c r="E2406" s="1" t="s">
        <v>518</v>
      </c>
      <c r="F2406" s="1" t="s">
        <v>4915</v>
      </c>
      <c r="G2406" s="1">
        <v>14322.0</v>
      </c>
      <c r="H2406" s="1">
        <v>116.0</v>
      </c>
      <c r="I2406" s="1" t="s">
        <v>16</v>
      </c>
      <c r="J2406" s="1">
        <v>1.5E7</v>
      </c>
      <c r="K2406" s="1">
        <v>2000.0</v>
      </c>
      <c r="L2406" s="1">
        <v>7.2</v>
      </c>
      <c r="O2406" s="3"/>
      <c r="S2406" s="4"/>
    </row>
    <row r="2407" ht="14.25" customHeight="1">
      <c r="A2407" s="1" t="s">
        <v>2201</v>
      </c>
      <c r="B2407" s="1">
        <v>107.0</v>
      </c>
      <c r="C2407" s="1">
        <v>2.8014536E7</v>
      </c>
      <c r="D2407" s="1" t="s">
        <v>642</v>
      </c>
      <c r="E2407" s="1" t="s">
        <v>3922</v>
      </c>
      <c r="F2407" s="1" t="s">
        <v>4916</v>
      </c>
      <c r="G2407" s="1">
        <v>73347.0</v>
      </c>
      <c r="H2407" s="1">
        <v>296.0</v>
      </c>
      <c r="I2407" s="1" t="s">
        <v>16</v>
      </c>
      <c r="J2407" s="1">
        <v>1.5E7</v>
      </c>
      <c r="K2407" s="1">
        <v>1997.0</v>
      </c>
      <c r="L2407" s="1">
        <v>7.4</v>
      </c>
      <c r="O2407" s="3"/>
      <c r="S2407" s="4"/>
    </row>
    <row r="2408" ht="14.25" customHeight="1">
      <c r="A2408" s="1" t="s">
        <v>4917</v>
      </c>
      <c r="B2408" s="1">
        <v>99.0</v>
      </c>
      <c r="C2408" s="1">
        <v>3.386001E7</v>
      </c>
      <c r="D2408" s="1" t="s">
        <v>699</v>
      </c>
      <c r="E2408" s="1" t="s">
        <v>282</v>
      </c>
      <c r="F2408" s="1" t="s">
        <v>4918</v>
      </c>
      <c r="G2408" s="1">
        <v>33088.0</v>
      </c>
      <c r="H2408" s="1">
        <v>143.0</v>
      </c>
      <c r="I2408" s="1" t="s">
        <v>16</v>
      </c>
      <c r="J2408" s="1">
        <v>1.5E7</v>
      </c>
      <c r="K2408" s="1">
        <v>2009.0</v>
      </c>
      <c r="L2408" s="1">
        <v>4.8</v>
      </c>
      <c r="O2408" s="3"/>
      <c r="S2408" s="4"/>
    </row>
    <row r="2409" ht="14.25" customHeight="1">
      <c r="A2409" s="1" t="s">
        <v>4919</v>
      </c>
      <c r="B2409" s="1">
        <v>90.0</v>
      </c>
      <c r="C2409" s="1">
        <v>2.6421314E7</v>
      </c>
      <c r="D2409" s="1" t="s">
        <v>4920</v>
      </c>
      <c r="E2409" s="1" t="s">
        <v>4921</v>
      </c>
      <c r="F2409" s="1" t="s">
        <v>4922</v>
      </c>
      <c r="G2409" s="1">
        <v>28964.0</v>
      </c>
      <c r="H2409" s="1">
        <v>457.0</v>
      </c>
      <c r="I2409" s="1" t="s">
        <v>16</v>
      </c>
      <c r="J2409" s="1">
        <v>1.5E7</v>
      </c>
      <c r="K2409" s="1">
        <v>2000.0</v>
      </c>
      <c r="L2409" s="1">
        <v>4.0</v>
      </c>
      <c r="O2409" s="3"/>
      <c r="S2409" s="4"/>
    </row>
    <row r="2410" ht="14.25" customHeight="1">
      <c r="A2410" s="1" t="s">
        <v>4237</v>
      </c>
      <c r="B2410" s="1">
        <v>101.0</v>
      </c>
      <c r="C2410" s="1">
        <v>2.4881E7</v>
      </c>
      <c r="D2410" s="1" t="s">
        <v>380</v>
      </c>
      <c r="E2410" s="1" t="s">
        <v>4923</v>
      </c>
      <c r="F2410" s="1" t="s">
        <v>4924</v>
      </c>
      <c r="G2410" s="1">
        <v>57140.0</v>
      </c>
      <c r="H2410" s="1">
        <v>195.0</v>
      </c>
      <c r="I2410" s="1" t="s">
        <v>16</v>
      </c>
      <c r="J2410" s="1">
        <v>1.5E7</v>
      </c>
      <c r="K2410" s="1">
        <v>1996.0</v>
      </c>
      <c r="L2410" s="1">
        <v>6.2</v>
      </c>
      <c r="O2410" s="3"/>
      <c r="S2410" s="4"/>
    </row>
    <row r="2411" ht="14.25" customHeight="1">
      <c r="A2411" s="1" t="s">
        <v>3268</v>
      </c>
      <c r="B2411" s="1">
        <v>119.0</v>
      </c>
      <c r="C2411" s="1">
        <v>2.3089926E7</v>
      </c>
      <c r="D2411" s="1" t="s">
        <v>3495</v>
      </c>
      <c r="E2411" s="1" t="s">
        <v>237</v>
      </c>
      <c r="F2411" s="1" t="s">
        <v>4925</v>
      </c>
      <c r="G2411" s="1">
        <v>166269.0</v>
      </c>
      <c r="H2411" s="1">
        <v>735.0</v>
      </c>
      <c r="I2411" s="1" t="s">
        <v>16</v>
      </c>
      <c r="J2411" s="1">
        <v>1.5E7</v>
      </c>
      <c r="K2411" s="1">
        <v>2005.0</v>
      </c>
      <c r="L2411" s="1">
        <v>7.7</v>
      </c>
      <c r="O2411" s="3"/>
      <c r="S2411" s="4"/>
    </row>
    <row r="2412" ht="14.25" customHeight="1">
      <c r="A2412" s="1" t="s">
        <v>4926</v>
      </c>
      <c r="B2412" s="1">
        <v>103.0</v>
      </c>
      <c r="C2412" s="1">
        <v>2.6161406E7</v>
      </c>
      <c r="D2412" s="1" t="s">
        <v>335</v>
      </c>
      <c r="E2412" s="1" t="s">
        <v>4927</v>
      </c>
      <c r="F2412" s="1" t="s">
        <v>4928</v>
      </c>
      <c r="G2412" s="1">
        <v>13874.0</v>
      </c>
      <c r="H2412" s="1">
        <v>52.0</v>
      </c>
      <c r="I2412" s="1" t="s">
        <v>16</v>
      </c>
      <c r="J2412" s="1">
        <v>1.5E7</v>
      </c>
      <c r="K2412" s="1">
        <v>2010.0</v>
      </c>
      <c r="L2412" s="1">
        <v>6.7</v>
      </c>
      <c r="O2412" s="3"/>
      <c r="S2412" s="4"/>
    </row>
    <row r="2413" ht="14.25" customHeight="1">
      <c r="A2413" s="1" t="s">
        <v>4809</v>
      </c>
      <c r="B2413" s="1">
        <v>134.0</v>
      </c>
      <c r="C2413" s="1">
        <v>2.2954968E7</v>
      </c>
      <c r="D2413" s="1" t="s">
        <v>92</v>
      </c>
      <c r="E2413" s="1" t="s">
        <v>326</v>
      </c>
      <c r="F2413" s="1" t="s">
        <v>4929</v>
      </c>
      <c r="G2413" s="1">
        <v>45703.0</v>
      </c>
      <c r="H2413" s="1">
        <v>156.0</v>
      </c>
      <c r="I2413" s="1" t="s">
        <v>16</v>
      </c>
      <c r="J2413" s="1">
        <v>1.15E7</v>
      </c>
      <c r="K2413" s="1">
        <v>1993.0</v>
      </c>
      <c r="L2413" s="1">
        <v>7.9</v>
      </c>
      <c r="O2413" s="3"/>
      <c r="S2413" s="4"/>
    </row>
    <row r="2414" ht="14.25" customHeight="1">
      <c r="A2414" s="1" t="s">
        <v>2820</v>
      </c>
      <c r="B2414" s="1">
        <v>155.0</v>
      </c>
      <c r="C2414" s="1">
        <v>2.6384919E7</v>
      </c>
      <c r="D2414" s="1" t="s">
        <v>1391</v>
      </c>
      <c r="E2414" s="1" t="s">
        <v>951</v>
      </c>
      <c r="F2414" s="1" t="s">
        <v>4930</v>
      </c>
      <c r="G2414" s="1">
        <v>189032.0</v>
      </c>
      <c r="H2414" s="1">
        <v>560.0</v>
      </c>
      <c r="I2414" s="1" t="s">
        <v>16</v>
      </c>
      <c r="J2414" s="1">
        <v>1.5E7</v>
      </c>
      <c r="K2414" s="1">
        <v>1997.0</v>
      </c>
      <c r="L2414" s="1">
        <v>7.9</v>
      </c>
      <c r="O2414" s="3"/>
      <c r="S2414" s="4"/>
    </row>
    <row r="2415" ht="14.25" customHeight="1">
      <c r="A2415" s="1" t="s">
        <v>4687</v>
      </c>
      <c r="B2415" s="1">
        <v>94.0</v>
      </c>
      <c r="C2415" s="1">
        <v>2.2189039E7</v>
      </c>
      <c r="D2415" s="1" t="s">
        <v>2311</v>
      </c>
      <c r="E2415" s="1" t="s">
        <v>4931</v>
      </c>
      <c r="F2415" s="1" t="s">
        <v>4932</v>
      </c>
      <c r="G2415" s="1">
        <v>17074.0</v>
      </c>
      <c r="H2415" s="1">
        <v>55.0</v>
      </c>
      <c r="I2415" s="1" t="s">
        <v>16</v>
      </c>
      <c r="J2415" s="1">
        <v>1.5E7</v>
      </c>
      <c r="K2415" s="1">
        <v>1993.0</v>
      </c>
      <c r="L2415" s="1">
        <v>5.5</v>
      </c>
      <c r="O2415" s="3"/>
      <c r="S2415" s="4"/>
    </row>
    <row r="2416" ht="14.25" customHeight="1">
      <c r="A2416" s="1" t="s">
        <v>4933</v>
      </c>
      <c r="B2416" s="1">
        <v>95.0</v>
      </c>
      <c r="C2416" s="1">
        <v>2.0998709E7</v>
      </c>
      <c r="D2416" s="1" t="s">
        <v>1336</v>
      </c>
      <c r="E2416" s="1" t="s">
        <v>4802</v>
      </c>
      <c r="F2416" s="1" t="s">
        <v>4934</v>
      </c>
      <c r="G2416" s="1">
        <v>6095.0</v>
      </c>
      <c r="H2416" s="1">
        <v>76.0</v>
      </c>
      <c r="I2416" s="1" t="s">
        <v>16</v>
      </c>
      <c r="J2416" s="1">
        <v>1.5E7</v>
      </c>
      <c r="K2416" s="1">
        <v>2006.0</v>
      </c>
      <c r="L2416" s="1">
        <v>6.2</v>
      </c>
      <c r="O2416" s="3"/>
      <c r="S2416" s="4"/>
    </row>
    <row r="2417" ht="14.25" customHeight="1">
      <c r="A2417" s="1" t="s">
        <v>4935</v>
      </c>
      <c r="B2417" s="1">
        <v>89.0</v>
      </c>
      <c r="C2417" s="1">
        <v>2.0801344E7</v>
      </c>
      <c r="D2417" s="1" t="s">
        <v>2551</v>
      </c>
      <c r="E2417" s="1" t="s">
        <v>4936</v>
      </c>
      <c r="F2417" s="1" t="s">
        <v>4937</v>
      </c>
      <c r="G2417" s="1">
        <v>49721.0</v>
      </c>
      <c r="H2417" s="1">
        <v>211.0</v>
      </c>
      <c r="I2417" s="1" t="s">
        <v>16</v>
      </c>
      <c r="J2417" s="1">
        <v>1.5E7</v>
      </c>
      <c r="K2417" s="1">
        <v>2007.0</v>
      </c>
      <c r="L2417" s="1">
        <v>5.1</v>
      </c>
      <c r="O2417" s="3"/>
      <c r="S2417" s="4"/>
    </row>
    <row r="2418" ht="14.25" customHeight="1">
      <c r="A2418" s="1" t="s">
        <v>4938</v>
      </c>
      <c r="B2418" s="1">
        <v>97.0</v>
      </c>
      <c r="C2418" s="1">
        <v>2.1468807E7</v>
      </c>
      <c r="D2418" s="1" t="s">
        <v>1239</v>
      </c>
      <c r="E2418" s="1" t="s">
        <v>1256</v>
      </c>
      <c r="F2418" s="1" t="s">
        <v>4939</v>
      </c>
      <c r="G2418" s="1">
        <v>13048.0</v>
      </c>
      <c r="H2418" s="1">
        <v>227.0</v>
      </c>
      <c r="I2418" s="1" t="s">
        <v>16</v>
      </c>
      <c r="J2418" s="1">
        <v>1.4E7</v>
      </c>
      <c r="K2418" s="1">
        <v>2000.0</v>
      </c>
      <c r="L2418" s="1">
        <v>4.1</v>
      </c>
      <c r="O2418" s="3"/>
      <c r="S2418" s="4"/>
    </row>
    <row r="2419" ht="14.25" customHeight="1">
      <c r="A2419" s="1" t="s">
        <v>1645</v>
      </c>
      <c r="B2419" s="1">
        <v>90.0</v>
      </c>
      <c r="C2419" s="1">
        <v>1.9158074E7</v>
      </c>
      <c r="D2419" s="1" t="s">
        <v>841</v>
      </c>
      <c r="E2419" s="1" t="s">
        <v>4940</v>
      </c>
      <c r="F2419" s="1" t="s">
        <v>4941</v>
      </c>
      <c r="G2419" s="1">
        <v>17983.0</v>
      </c>
      <c r="H2419" s="1">
        <v>127.0</v>
      </c>
      <c r="I2419" s="1" t="s">
        <v>16</v>
      </c>
      <c r="J2419" s="1">
        <v>1.5E7</v>
      </c>
      <c r="K2419" s="1">
        <v>2002.0</v>
      </c>
      <c r="L2419" s="1">
        <v>6.7</v>
      </c>
      <c r="O2419" s="3"/>
      <c r="S2419" s="4"/>
    </row>
    <row r="2420" ht="14.25" customHeight="1">
      <c r="A2420" s="1" t="s">
        <v>4942</v>
      </c>
      <c r="B2420" s="1">
        <v>92.0</v>
      </c>
      <c r="C2420" s="1">
        <v>1.8843314E7</v>
      </c>
      <c r="D2420" s="1" t="s">
        <v>392</v>
      </c>
      <c r="E2420" s="1" t="s">
        <v>4943</v>
      </c>
      <c r="F2420" s="1" t="s">
        <v>4944</v>
      </c>
      <c r="G2420" s="1">
        <v>27486.0</v>
      </c>
      <c r="H2420" s="1">
        <v>284.0</v>
      </c>
      <c r="I2420" s="1" t="s">
        <v>16</v>
      </c>
      <c r="J2420" s="1">
        <v>2.0E7</v>
      </c>
      <c r="K2420" s="1">
        <v>2006.0</v>
      </c>
      <c r="L2420" s="1">
        <v>4.7</v>
      </c>
      <c r="O2420" s="3"/>
      <c r="S2420" s="4"/>
    </row>
    <row r="2421" ht="14.25" customHeight="1">
      <c r="A2421" s="1" t="s">
        <v>4945</v>
      </c>
      <c r="B2421" s="1">
        <v>100.0</v>
      </c>
      <c r="C2421" s="1">
        <v>2.0566327E7</v>
      </c>
      <c r="D2421" s="1" t="s">
        <v>907</v>
      </c>
      <c r="E2421" s="1" t="s">
        <v>3090</v>
      </c>
      <c r="F2421" s="1" t="s">
        <v>4946</v>
      </c>
      <c r="G2421" s="1">
        <v>15385.0</v>
      </c>
      <c r="H2421" s="1">
        <v>84.0</v>
      </c>
      <c r="I2421" s="1" t="s">
        <v>16</v>
      </c>
      <c r="J2421" s="1">
        <v>1.5E7</v>
      </c>
      <c r="K2421" s="1">
        <v>2016.0</v>
      </c>
      <c r="L2421" s="1">
        <v>6.4</v>
      </c>
      <c r="O2421" s="3"/>
      <c r="S2421" s="4"/>
    </row>
    <row r="2422" ht="14.25" customHeight="1">
      <c r="A2422" s="1" t="s">
        <v>4270</v>
      </c>
      <c r="B2422" s="1">
        <v>117.0</v>
      </c>
      <c r="C2422" s="1">
        <v>2.0218921E7</v>
      </c>
      <c r="D2422" s="1" t="s">
        <v>2466</v>
      </c>
      <c r="E2422" s="1" t="s">
        <v>4247</v>
      </c>
      <c r="F2422" s="1" t="s">
        <v>4947</v>
      </c>
      <c r="G2422" s="1">
        <v>14814.0</v>
      </c>
      <c r="H2422" s="1">
        <v>114.0</v>
      </c>
      <c r="I2422" s="1" t="s">
        <v>16</v>
      </c>
      <c r="J2422" s="1">
        <v>1.5E7</v>
      </c>
      <c r="K2422" s="1">
        <v>2010.0</v>
      </c>
      <c r="L2422" s="1">
        <v>6.3</v>
      </c>
      <c r="O2422" s="3"/>
      <c r="S2422" s="4"/>
    </row>
    <row r="2423" ht="14.25" customHeight="1">
      <c r="A2423" s="1" t="s">
        <v>4948</v>
      </c>
      <c r="B2423" s="1">
        <v>84.0</v>
      </c>
      <c r="C2423" s="1">
        <v>1.7411331E7</v>
      </c>
      <c r="D2423" s="1" t="s">
        <v>1742</v>
      </c>
      <c r="E2423" s="1" t="s">
        <v>1157</v>
      </c>
      <c r="F2423" s="1" t="s">
        <v>4949</v>
      </c>
      <c r="G2423" s="1">
        <v>17328.0</v>
      </c>
      <c r="H2423" s="1">
        <v>237.0</v>
      </c>
      <c r="I2423" s="1" t="s">
        <v>16</v>
      </c>
      <c r="J2423" s="1">
        <v>1.5E7</v>
      </c>
      <c r="K2423" s="1">
        <v>1998.0</v>
      </c>
      <c r="L2423" s="1">
        <v>5.5</v>
      </c>
      <c r="O2423" s="3"/>
      <c r="S2423" s="4"/>
    </row>
    <row r="2424" ht="14.25" customHeight="1">
      <c r="A2424" s="1" t="s">
        <v>4950</v>
      </c>
      <c r="B2424" s="1">
        <v>140.0</v>
      </c>
      <c r="C2424" s="1">
        <v>2.1383298E7</v>
      </c>
      <c r="D2424" s="1" t="s">
        <v>901</v>
      </c>
      <c r="E2424" s="1" t="s">
        <v>1717</v>
      </c>
      <c r="F2424" s="1" t="s">
        <v>4951</v>
      </c>
      <c r="G2424" s="1">
        <v>187170.0</v>
      </c>
      <c r="H2424" s="1">
        <v>376.0</v>
      </c>
      <c r="I2424" s="1" t="s">
        <v>16</v>
      </c>
      <c r="J2424" s="1">
        <v>1.5E7</v>
      </c>
      <c r="K2424" s="1">
        <v>2012.0</v>
      </c>
      <c r="L2424" s="1">
        <v>7.3</v>
      </c>
      <c r="O2424" s="3"/>
      <c r="S2424" s="4"/>
    </row>
    <row r="2425" ht="14.25" customHeight="1">
      <c r="A2425" s="1" t="s">
        <v>620</v>
      </c>
      <c r="B2425" s="1">
        <v>108.0</v>
      </c>
      <c r="C2425" s="1">
        <v>2.4984868E7</v>
      </c>
      <c r="D2425" s="1" t="s">
        <v>146</v>
      </c>
      <c r="E2425" s="1" t="s">
        <v>3667</v>
      </c>
      <c r="F2425" s="1" t="s">
        <v>4952</v>
      </c>
      <c r="G2425" s="1">
        <v>50056.0</v>
      </c>
      <c r="H2425" s="1">
        <v>152.0</v>
      </c>
      <c r="I2425" s="1" t="s">
        <v>16</v>
      </c>
      <c r="J2425" s="1">
        <v>1.5E7</v>
      </c>
      <c r="K2425" s="1">
        <v>2014.0</v>
      </c>
      <c r="L2425" s="1">
        <v>6.3</v>
      </c>
      <c r="O2425" s="3"/>
      <c r="S2425" s="4"/>
    </row>
    <row r="2426" ht="14.25" customHeight="1">
      <c r="A2426" s="1" t="s">
        <v>4953</v>
      </c>
      <c r="B2426" s="1">
        <v>109.0</v>
      </c>
      <c r="C2426" s="1">
        <v>1.6459004E7</v>
      </c>
      <c r="D2426" s="1" t="s">
        <v>806</v>
      </c>
      <c r="E2426" s="1" t="s">
        <v>4954</v>
      </c>
      <c r="F2426" s="1" t="s">
        <v>4955</v>
      </c>
      <c r="G2426" s="1">
        <v>13320.0</v>
      </c>
      <c r="H2426" s="1">
        <v>415.0</v>
      </c>
      <c r="I2426" s="1" t="s">
        <v>16</v>
      </c>
      <c r="J2426" s="1">
        <v>1.5E7</v>
      </c>
      <c r="K2426" s="1">
        <v>1999.0</v>
      </c>
      <c r="L2426" s="1">
        <v>4.9</v>
      </c>
      <c r="O2426" s="3"/>
      <c r="S2426" s="4"/>
    </row>
    <row r="2427" ht="14.25" customHeight="1">
      <c r="A2427" s="1" t="s">
        <v>961</v>
      </c>
      <c r="B2427" s="1">
        <v>131.0</v>
      </c>
      <c r="C2427" s="1">
        <v>1.57E7</v>
      </c>
      <c r="D2427" s="1" t="s">
        <v>920</v>
      </c>
      <c r="E2427" s="1" t="s">
        <v>550</v>
      </c>
      <c r="F2427" s="1" t="s">
        <v>4956</v>
      </c>
      <c r="G2427" s="1">
        <v>332065.0</v>
      </c>
      <c r="H2427" s="1">
        <v>876.0</v>
      </c>
      <c r="I2427" s="1" t="s">
        <v>16</v>
      </c>
      <c r="J2427" s="1">
        <v>1.5E7</v>
      </c>
      <c r="K2427" s="1">
        <v>2008.0</v>
      </c>
      <c r="L2427" s="1">
        <v>7.6</v>
      </c>
      <c r="O2427" s="3"/>
      <c r="S2427" s="4"/>
    </row>
    <row r="2428" ht="14.25" customHeight="1">
      <c r="A2428" s="1" t="s">
        <v>4957</v>
      </c>
      <c r="B2428" s="1">
        <v>114.0</v>
      </c>
      <c r="C2428" s="1">
        <v>1.51E7</v>
      </c>
      <c r="D2428" s="1" t="s">
        <v>934</v>
      </c>
      <c r="E2428" s="1" t="s">
        <v>3726</v>
      </c>
      <c r="F2428" s="1" t="s">
        <v>4958</v>
      </c>
      <c r="G2428" s="1">
        <v>22797.0</v>
      </c>
      <c r="H2428" s="1">
        <v>96.0</v>
      </c>
      <c r="I2428" s="1" t="s">
        <v>16</v>
      </c>
      <c r="J2428" s="1">
        <v>1.5E7</v>
      </c>
      <c r="K2428" s="1">
        <v>1984.0</v>
      </c>
      <c r="L2428" s="1">
        <v>6.0</v>
      </c>
      <c r="O2428" s="3"/>
      <c r="S2428" s="4"/>
    </row>
    <row r="2429" ht="14.25" customHeight="1">
      <c r="A2429" s="1" t="s">
        <v>3437</v>
      </c>
      <c r="B2429" s="1">
        <v>97.0</v>
      </c>
      <c r="C2429" s="1">
        <v>1.493857E7</v>
      </c>
      <c r="D2429" s="1" t="s">
        <v>640</v>
      </c>
      <c r="E2429" s="1" t="s">
        <v>293</v>
      </c>
      <c r="F2429" s="1" t="s">
        <v>4959</v>
      </c>
      <c r="G2429" s="1">
        <v>111625.0</v>
      </c>
      <c r="H2429" s="1">
        <v>369.0</v>
      </c>
      <c r="I2429" s="1" t="s">
        <v>16</v>
      </c>
      <c r="J2429" s="1">
        <v>1.5E7</v>
      </c>
      <c r="K2429" s="1">
        <v>2012.0</v>
      </c>
      <c r="L2429" s="1">
        <v>6.2</v>
      </c>
      <c r="O2429" s="3"/>
      <c r="S2429" s="4"/>
    </row>
    <row r="2430" ht="14.25" customHeight="1">
      <c r="A2430" s="1" t="s">
        <v>4195</v>
      </c>
      <c r="B2430" s="1">
        <v>122.0</v>
      </c>
      <c r="C2430" s="1">
        <v>1.7237244E7</v>
      </c>
      <c r="D2430" s="1" t="s">
        <v>901</v>
      </c>
      <c r="E2430" s="1" t="s">
        <v>390</v>
      </c>
      <c r="F2430" s="1" t="s">
        <v>4960</v>
      </c>
      <c r="G2430" s="1">
        <v>57210.0</v>
      </c>
      <c r="H2430" s="1">
        <v>158.0</v>
      </c>
      <c r="I2430" s="1" t="s">
        <v>16</v>
      </c>
      <c r="J2430" s="1">
        <v>1.5E7</v>
      </c>
      <c r="K2430" s="1">
        <v>2014.0</v>
      </c>
      <c r="L2430" s="1">
        <v>6.8</v>
      </c>
      <c r="O2430" s="3"/>
      <c r="S2430" s="4"/>
    </row>
    <row r="2431" ht="14.25" customHeight="1">
      <c r="A2431" s="1" t="s">
        <v>4961</v>
      </c>
      <c r="B2431" s="1">
        <v>87.0</v>
      </c>
      <c r="C2431" s="1">
        <v>1.4249005E7</v>
      </c>
      <c r="D2431" s="1" t="s">
        <v>828</v>
      </c>
      <c r="E2431" s="1" t="s">
        <v>3639</v>
      </c>
      <c r="F2431" s="1" t="s">
        <v>4962</v>
      </c>
      <c r="G2431" s="1">
        <v>39788.0</v>
      </c>
      <c r="H2431" s="1">
        <v>619.0</v>
      </c>
      <c r="I2431" s="1" t="s">
        <v>16</v>
      </c>
      <c r="J2431" s="1">
        <v>1.5E7</v>
      </c>
      <c r="K2431" s="1">
        <v>2001.0</v>
      </c>
      <c r="L2431" s="1">
        <v>4.5</v>
      </c>
      <c r="O2431" s="3"/>
      <c r="S2431" s="4"/>
    </row>
    <row r="2432" ht="14.25" customHeight="1">
      <c r="A2432" s="1" t="s">
        <v>4963</v>
      </c>
      <c r="B2432" s="1">
        <v>85.0</v>
      </c>
      <c r="C2432" s="1">
        <v>1.270188E7</v>
      </c>
      <c r="D2432" s="1" t="s">
        <v>200</v>
      </c>
      <c r="E2432" s="1" t="s">
        <v>4964</v>
      </c>
      <c r="F2432" s="1" t="s">
        <v>4965</v>
      </c>
      <c r="G2432" s="1">
        <v>2037.0</v>
      </c>
      <c r="H2432" s="1">
        <v>22.0</v>
      </c>
      <c r="I2432" s="1" t="s">
        <v>16</v>
      </c>
      <c r="J2432" s="1">
        <v>1.5E7</v>
      </c>
      <c r="K2432" s="1">
        <v>2008.0</v>
      </c>
      <c r="L2432" s="1">
        <v>5.7</v>
      </c>
      <c r="O2432" s="3"/>
      <c r="S2432" s="4"/>
    </row>
    <row r="2433" ht="14.25" customHeight="1">
      <c r="A2433" s="1" t="s">
        <v>4966</v>
      </c>
      <c r="B2433" s="1">
        <v>101.0</v>
      </c>
      <c r="C2433" s="1">
        <v>1.280119E7</v>
      </c>
      <c r="D2433" s="1" t="s">
        <v>13</v>
      </c>
      <c r="E2433" s="1" t="s">
        <v>3643</v>
      </c>
      <c r="F2433" s="1" t="s">
        <v>4967</v>
      </c>
      <c r="G2433" s="1">
        <v>16340.0</v>
      </c>
      <c r="H2433" s="1">
        <v>355.0</v>
      </c>
      <c r="I2433" s="1" t="s">
        <v>16</v>
      </c>
      <c r="J2433" s="1">
        <v>1.5E7</v>
      </c>
      <c r="K2433" s="1">
        <v>2000.0</v>
      </c>
      <c r="L2433" s="1">
        <v>4.6</v>
      </c>
      <c r="O2433" s="3"/>
      <c r="S2433" s="4"/>
    </row>
    <row r="2434" ht="14.25" customHeight="1">
      <c r="A2434" s="1" t="s">
        <v>4968</v>
      </c>
      <c r="B2434" s="1">
        <v>121.0</v>
      </c>
      <c r="C2434" s="1">
        <v>1.2549485E7</v>
      </c>
      <c r="D2434" s="1" t="s">
        <v>4969</v>
      </c>
      <c r="E2434" s="1" t="s">
        <v>2980</v>
      </c>
      <c r="F2434" s="1" t="s">
        <v>4970</v>
      </c>
      <c r="G2434" s="1">
        <v>4603.0</v>
      </c>
      <c r="H2434" s="1">
        <v>91.0</v>
      </c>
      <c r="I2434" s="1" t="s">
        <v>16</v>
      </c>
      <c r="J2434" s="1">
        <v>1.5E7</v>
      </c>
      <c r="K2434" s="1">
        <v>2006.0</v>
      </c>
      <c r="L2434" s="1">
        <v>6.2</v>
      </c>
      <c r="O2434" s="3"/>
      <c r="S2434" s="4"/>
    </row>
    <row r="2435" ht="14.25" customHeight="1">
      <c r="A2435" s="1" t="s">
        <v>4971</v>
      </c>
      <c r="B2435" s="1">
        <v>107.0</v>
      </c>
      <c r="C2435" s="1">
        <v>1.3766014E7</v>
      </c>
      <c r="D2435" s="1" t="s">
        <v>92</v>
      </c>
      <c r="E2435" s="1" t="s">
        <v>953</v>
      </c>
      <c r="F2435" s="1" t="s">
        <v>4972</v>
      </c>
      <c r="G2435" s="1">
        <v>106111.0</v>
      </c>
      <c r="H2435" s="1">
        <v>181.0</v>
      </c>
      <c r="I2435" s="1" t="s">
        <v>16</v>
      </c>
      <c r="J2435" s="1">
        <v>1.5E7</v>
      </c>
      <c r="K2435" s="1">
        <v>2011.0</v>
      </c>
      <c r="L2435" s="1">
        <v>7.0</v>
      </c>
      <c r="O2435" s="3"/>
      <c r="S2435" s="4"/>
    </row>
    <row r="2436" ht="14.25" customHeight="1">
      <c r="A2436" s="1" t="s">
        <v>4973</v>
      </c>
      <c r="B2436" s="1">
        <v>111.0</v>
      </c>
      <c r="C2436" s="1">
        <v>1.3034417E7</v>
      </c>
      <c r="D2436" s="1" t="s">
        <v>1540</v>
      </c>
      <c r="E2436" s="1" t="s">
        <v>4974</v>
      </c>
      <c r="F2436" s="1" t="s">
        <v>4975</v>
      </c>
      <c r="G2436" s="1">
        <v>55665.0</v>
      </c>
      <c r="H2436" s="1">
        <v>118.0</v>
      </c>
      <c r="I2436" s="1" t="s">
        <v>16</v>
      </c>
      <c r="J2436" s="1">
        <v>1.5E7</v>
      </c>
      <c r="K2436" s="1">
        <v>2009.0</v>
      </c>
      <c r="L2436" s="1">
        <v>6.9</v>
      </c>
      <c r="O2436" s="3"/>
      <c r="S2436" s="4"/>
    </row>
    <row r="2437" ht="14.25" customHeight="1">
      <c r="A2437" s="1" t="s">
        <v>4976</v>
      </c>
      <c r="B2437" s="1">
        <v>97.0</v>
      </c>
      <c r="C2437" s="1">
        <v>1.2212417E7</v>
      </c>
      <c r="D2437" s="1" t="s">
        <v>640</v>
      </c>
      <c r="E2437" s="1" t="s">
        <v>2115</v>
      </c>
      <c r="F2437" s="1" t="s">
        <v>4977</v>
      </c>
      <c r="G2437" s="1">
        <v>30643.0</v>
      </c>
      <c r="H2437" s="1">
        <v>144.0</v>
      </c>
      <c r="I2437" s="1" t="s">
        <v>16</v>
      </c>
      <c r="J2437" s="1">
        <v>1.5E7</v>
      </c>
      <c r="K2437" s="1">
        <v>2003.0</v>
      </c>
      <c r="L2437" s="1">
        <v>6.7</v>
      </c>
      <c r="O2437" s="3"/>
      <c r="S2437" s="4"/>
    </row>
    <row r="2438" ht="14.25" customHeight="1">
      <c r="A2438" s="1" t="s">
        <v>1329</v>
      </c>
      <c r="B2438" s="1">
        <v>97.0</v>
      </c>
      <c r="C2438" s="1">
        <v>1.1614236E7</v>
      </c>
      <c r="D2438" s="1" t="s">
        <v>828</v>
      </c>
      <c r="E2438" s="1" t="s">
        <v>130</v>
      </c>
      <c r="F2438" s="1" t="s">
        <v>4978</v>
      </c>
      <c r="G2438" s="1">
        <v>9294.0</v>
      </c>
      <c r="H2438" s="1">
        <v>140.0</v>
      </c>
      <c r="I2438" s="1" t="s">
        <v>16</v>
      </c>
      <c r="J2438" s="1">
        <v>1.5E7</v>
      </c>
      <c r="K2438" s="1">
        <v>1999.0</v>
      </c>
      <c r="L2438" s="1">
        <v>5.6</v>
      </c>
      <c r="O2438" s="3"/>
      <c r="S2438" s="4"/>
    </row>
    <row r="2439" ht="14.25" customHeight="1">
      <c r="A2439" s="1" t="s">
        <v>2668</v>
      </c>
      <c r="B2439" s="1">
        <v>125.0</v>
      </c>
      <c r="C2439" s="1">
        <v>1.3337299E7</v>
      </c>
      <c r="D2439" s="1" t="s">
        <v>2591</v>
      </c>
      <c r="E2439" s="1" t="s">
        <v>2335</v>
      </c>
      <c r="F2439" s="1" t="s">
        <v>4979</v>
      </c>
      <c r="G2439" s="1">
        <v>9649.0</v>
      </c>
      <c r="H2439" s="1">
        <v>226.0</v>
      </c>
      <c r="I2439" s="1" t="s">
        <v>16</v>
      </c>
      <c r="J2439" s="1">
        <v>2.0E7</v>
      </c>
      <c r="K2439" s="1">
        <v>2004.0</v>
      </c>
      <c r="L2439" s="1">
        <v>6.6</v>
      </c>
      <c r="O2439" s="3"/>
      <c r="S2439" s="4"/>
    </row>
    <row r="2440" ht="14.25" customHeight="1">
      <c r="A2440" s="1" t="s">
        <v>3268</v>
      </c>
      <c r="B2440" s="1">
        <v>124.0</v>
      </c>
      <c r="C2440" s="1">
        <v>1.0763469E7</v>
      </c>
      <c r="D2440" s="1" t="s">
        <v>593</v>
      </c>
      <c r="E2440" s="1" t="s">
        <v>3268</v>
      </c>
      <c r="F2440" s="1" t="s">
        <v>4980</v>
      </c>
      <c r="G2440" s="1">
        <v>13692.0</v>
      </c>
      <c r="H2440" s="1">
        <v>55.0</v>
      </c>
      <c r="I2440" s="1" t="s">
        <v>16</v>
      </c>
      <c r="J2440" s="1">
        <v>1.5E7</v>
      </c>
      <c r="K2440" s="1">
        <v>1989.0</v>
      </c>
      <c r="L2440" s="1">
        <v>6.4</v>
      </c>
      <c r="O2440" s="3"/>
      <c r="S2440" s="4"/>
    </row>
    <row r="2441" ht="14.25" customHeight="1">
      <c r="A2441" s="1" t="s">
        <v>4981</v>
      </c>
      <c r="B2441" s="1">
        <v>76.0</v>
      </c>
      <c r="C2441" s="1">
        <v>1.1144518E7</v>
      </c>
      <c r="D2441" s="1" t="s">
        <v>3651</v>
      </c>
      <c r="E2441" s="1" t="s">
        <v>4982</v>
      </c>
      <c r="F2441" s="1" t="s">
        <v>4983</v>
      </c>
      <c r="G2441" s="1">
        <v>2724.0</v>
      </c>
      <c r="H2441" s="1">
        <v>53.0</v>
      </c>
      <c r="I2441" s="1" t="s">
        <v>16</v>
      </c>
      <c r="J2441" s="1">
        <v>1.5E7</v>
      </c>
      <c r="K2441" s="1">
        <v>1998.0</v>
      </c>
      <c r="L2441" s="1">
        <v>2.8</v>
      </c>
      <c r="O2441" s="3"/>
      <c r="S2441" s="4"/>
    </row>
    <row r="2442" ht="14.25" customHeight="1">
      <c r="A2442" s="1" t="s">
        <v>4984</v>
      </c>
      <c r="B2442" s="1">
        <v>107.0</v>
      </c>
      <c r="C2442" s="1">
        <v>1.5608545E7</v>
      </c>
      <c r="D2442" s="1" t="s">
        <v>553</v>
      </c>
      <c r="E2442" s="1" t="s">
        <v>2867</v>
      </c>
      <c r="F2442" s="1" t="s">
        <v>4985</v>
      </c>
      <c r="G2442" s="1">
        <v>53471.0</v>
      </c>
      <c r="H2442" s="1">
        <v>224.0</v>
      </c>
      <c r="I2442" s="1" t="s">
        <v>16</v>
      </c>
      <c r="J2442" s="1">
        <v>1.5E7</v>
      </c>
      <c r="K2442" s="1">
        <v>2012.0</v>
      </c>
      <c r="L2442" s="1">
        <v>5.4</v>
      </c>
      <c r="O2442" s="3"/>
      <c r="S2442" s="4"/>
    </row>
    <row r="2443" ht="14.25" customHeight="1">
      <c r="A2443" s="1" t="s">
        <v>426</v>
      </c>
      <c r="B2443" s="1">
        <v>91.0</v>
      </c>
      <c r="C2443" s="1">
        <v>1.0443316E7</v>
      </c>
      <c r="D2443" s="1" t="s">
        <v>593</v>
      </c>
      <c r="E2443" s="1" t="s">
        <v>750</v>
      </c>
      <c r="F2443" s="1" t="s">
        <v>4986</v>
      </c>
      <c r="G2443" s="1">
        <v>7159.0</v>
      </c>
      <c r="H2443" s="1">
        <v>88.0</v>
      </c>
      <c r="I2443" s="1" t="s">
        <v>16</v>
      </c>
      <c r="J2443" s="1">
        <v>1.5E7</v>
      </c>
      <c r="K2443" s="1">
        <v>1998.0</v>
      </c>
      <c r="L2443" s="1">
        <v>5.0</v>
      </c>
      <c r="O2443" s="3"/>
      <c r="S2443" s="4"/>
    </row>
    <row r="2444" ht="14.25" customHeight="1">
      <c r="A2444" s="1" t="s">
        <v>4987</v>
      </c>
      <c r="B2444" s="1">
        <v>96.0</v>
      </c>
      <c r="C2444" s="1">
        <v>1.0494147E7</v>
      </c>
      <c r="D2444" s="1" t="s">
        <v>92</v>
      </c>
      <c r="E2444" s="1" t="s">
        <v>1157</v>
      </c>
      <c r="F2444" s="1" t="s">
        <v>4988</v>
      </c>
      <c r="G2444" s="1">
        <v>7403.0</v>
      </c>
      <c r="H2444" s="1">
        <v>162.0</v>
      </c>
      <c r="I2444" s="1" t="s">
        <v>16</v>
      </c>
      <c r="J2444" s="1">
        <v>1.5E7</v>
      </c>
      <c r="K2444" s="1">
        <v>2000.0</v>
      </c>
      <c r="L2444" s="1">
        <v>5.1</v>
      </c>
      <c r="O2444" s="3"/>
      <c r="S2444" s="4"/>
    </row>
    <row r="2445" ht="14.25" customHeight="1">
      <c r="A2445" s="1" t="s">
        <v>1150</v>
      </c>
      <c r="B2445" s="1">
        <v>142.0</v>
      </c>
      <c r="C2445" s="1">
        <v>9929000.0</v>
      </c>
      <c r="D2445" s="1" t="s">
        <v>770</v>
      </c>
      <c r="E2445" s="1" t="s">
        <v>725</v>
      </c>
      <c r="F2445" s="1" t="s">
        <v>4989</v>
      </c>
      <c r="G2445" s="1">
        <v>152306.0</v>
      </c>
      <c r="H2445" s="1">
        <v>513.0</v>
      </c>
      <c r="I2445" s="1" t="s">
        <v>16</v>
      </c>
      <c r="J2445" s="1">
        <v>1.5E7</v>
      </c>
      <c r="K2445" s="1">
        <v>1985.0</v>
      </c>
      <c r="L2445" s="1">
        <v>8.0</v>
      </c>
      <c r="O2445" s="3"/>
      <c r="S2445" s="4"/>
    </row>
    <row r="2446" ht="14.25" customHeight="1">
      <c r="A2446" s="1" t="s">
        <v>4550</v>
      </c>
      <c r="B2446" s="1">
        <v>103.0</v>
      </c>
      <c r="C2446" s="1">
        <v>1.041198E7</v>
      </c>
      <c r="D2446" s="1" t="s">
        <v>4990</v>
      </c>
      <c r="E2446" s="1" t="s">
        <v>4991</v>
      </c>
      <c r="F2446" s="1" t="s">
        <v>4992</v>
      </c>
      <c r="G2446" s="1">
        <v>22649.0</v>
      </c>
      <c r="H2446" s="1">
        <v>212.0</v>
      </c>
      <c r="I2446" s="1" t="s">
        <v>16</v>
      </c>
      <c r="J2446" s="1">
        <v>1.5E7</v>
      </c>
      <c r="K2446" s="1">
        <v>2004.0</v>
      </c>
      <c r="L2446" s="1">
        <v>5.9</v>
      </c>
      <c r="O2446" s="3"/>
      <c r="S2446" s="4"/>
    </row>
    <row r="2447" ht="14.25" customHeight="1">
      <c r="A2447" s="1" t="s">
        <v>1736</v>
      </c>
      <c r="B2447" s="1">
        <v>117.0</v>
      </c>
      <c r="C2447" s="1">
        <v>1.7439163E7</v>
      </c>
      <c r="D2447" s="1" t="s">
        <v>427</v>
      </c>
      <c r="E2447" s="1" t="s">
        <v>390</v>
      </c>
      <c r="F2447" s="1" t="s">
        <v>4993</v>
      </c>
      <c r="G2447" s="1">
        <v>537419.0</v>
      </c>
      <c r="H2447" s="1">
        <v>1028.0</v>
      </c>
      <c r="I2447" s="1" t="s">
        <v>16</v>
      </c>
      <c r="J2447" s="1">
        <v>1.5E7</v>
      </c>
      <c r="K2447" s="1">
        <v>1998.0</v>
      </c>
      <c r="L2447" s="1">
        <v>8.2</v>
      </c>
      <c r="O2447" s="3"/>
      <c r="S2447" s="4"/>
    </row>
    <row r="2448" ht="14.25" customHeight="1">
      <c r="A2448" s="1" t="s">
        <v>4994</v>
      </c>
      <c r="B2448" s="1">
        <v>116.0</v>
      </c>
      <c r="C2448" s="1">
        <v>9396487.0</v>
      </c>
      <c r="D2448" s="1" t="s">
        <v>2466</v>
      </c>
      <c r="E2448" s="1" t="s">
        <v>309</v>
      </c>
      <c r="F2448" s="1" t="s">
        <v>4995</v>
      </c>
      <c r="G2448" s="1">
        <v>52421.0</v>
      </c>
      <c r="H2448" s="1">
        <v>200.0</v>
      </c>
      <c r="I2448" s="1" t="s">
        <v>16</v>
      </c>
      <c r="J2448" s="1">
        <v>1.5E7</v>
      </c>
      <c r="K2448" s="1">
        <v>2006.0</v>
      </c>
      <c r="L2448" s="1">
        <v>7.0</v>
      </c>
      <c r="O2448" s="3"/>
      <c r="S2448" s="4"/>
    </row>
    <row r="2449" ht="14.25" customHeight="1">
      <c r="A2449" s="1" t="s">
        <v>1292</v>
      </c>
      <c r="B2449" s="1">
        <v>118.0</v>
      </c>
      <c r="C2449" s="1">
        <v>9059588.0</v>
      </c>
      <c r="D2449" s="1" t="s">
        <v>2126</v>
      </c>
      <c r="E2449" s="1" t="s">
        <v>4996</v>
      </c>
      <c r="F2449" s="1" t="s">
        <v>4997</v>
      </c>
      <c r="G2449" s="1">
        <v>17261.0</v>
      </c>
      <c r="H2449" s="1">
        <v>125.0</v>
      </c>
      <c r="I2449" s="1" t="s">
        <v>16</v>
      </c>
      <c r="J2449" s="1">
        <v>1.5E7</v>
      </c>
      <c r="K2449" s="1">
        <v>2002.0</v>
      </c>
      <c r="L2449" s="1">
        <v>6.6</v>
      </c>
      <c r="O2449" s="3"/>
      <c r="S2449" s="4"/>
    </row>
    <row r="2450" ht="14.25" customHeight="1">
      <c r="A2450" s="1" t="s">
        <v>4998</v>
      </c>
      <c r="B2450" s="1">
        <v>108.0</v>
      </c>
      <c r="C2450" s="1">
        <v>9172810.0</v>
      </c>
      <c r="D2450" s="1" t="s">
        <v>4999</v>
      </c>
      <c r="E2450" s="1" t="s">
        <v>245</v>
      </c>
      <c r="F2450" s="1" t="s">
        <v>5000</v>
      </c>
      <c r="G2450" s="1">
        <v>24150.0</v>
      </c>
      <c r="H2450" s="1">
        <v>118.0</v>
      </c>
      <c r="I2450" s="1" t="s">
        <v>16</v>
      </c>
      <c r="J2450" s="1">
        <v>1.6E7</v>
      </c>
      <c r="K2450" s="1">
        <v>2007.0</v>
      </c>
      <c r="L2450" s="1">
        <v>6.7</v>
      </c>
      <c r="O2450" s="3"/>
      <c r="S2450" s="4"/>
    </row>
    <row r="2451" ht="14.25" customHeight="1">
      <c r="A2451" s="1" t="s">
        <v>5001</v>
      </c>
      <c r="B2451" s="1">
        <v>94.0</v>
      </c>
      <c r="C2451" s="1">
        <v>8735529.0</v>
      </c>
      <c r="D2451" s="1" t="s">
        <v>593</v>
      </c>
      <c r="E2451" s="1" t="s">
        <v>861</v>
      </c>
      <c r="F2451" s="1" t="s">
        <v>5002</v>
      </c>
      <c r="G2451" s="1">
        <v>8055.0</v>
      </c>
      <c r="H2451" s="1">
        <v>89.0</v>
      </c>
      <c r="I2451" s="1" t="s">
        <v>16</v>
      </c>
      <c r="J2451" s="1">
        <v>1.5E7</v>
      </c>
      <c r="K2451" s="1">
        <v>2000.0</v>
      </c>
      <c r="L2451" s="1">
        <v>5.5</v>
      </c>
      <c r="O2451" s="3"/>
      <c r="S2451" s="4"/>
    </row>
    <row r="2452" ht="14.25" customHeight="1">
      <c r="A2452" s="1" t="s">
        <v>5003</v>
      </c>
      <c r="B2452" s="1">
        <v>97.0</v>
      </c>
      <c r="C2452" s="1">
        <v>8586376.0</v>
      </c>
      <c r="D2452" s="1" t="s">
        <v>828</v>
      </c>
      <c r="E2452" s="1" t="s">
        <v>272</v>
      </c>
      <c r="F2452" s="1" t="s">
        <v>5004</v>
      </c>
      <c r="G2452" s="1">
        <v>26598.0</v>
      </c>
      <c r="H2452" s="1">
        <v>132.0</v>
      </c>
      <c r="I2452" s="1" t="s">
        <v>16</v>
      </c>
      <c r="J2452" s="1">
        <v>2.0E7</v>
      </c>
      <c r="K2452" s="1">
        <v>2002.0</v>
      </c>
      <c r="L2452" s="1">
        <v>4.9</v>
      </c>
      <c r="O2452" s="3"/>
      <c r="S2452" s="4"/>
    </row>
    <row r="2453" ht="14.25" customHeight="1">
      <c r="A2453" s="1" t="s">
        <v>2385</v>
      </c>
      <c r="B2453" s="1">
        <v>97.0</v>
      </c>
      <c r="C2453" s="1">
        <v>8378141.0</v>
      </c>
      <c r="D2453" s="1" t="s">
        <v>593</v>
      </c>
      <c r="E2453" s="1" t="s">
        <v>1475</v>
      </c>
      <c r="F2453" s="1" t="s">
        <v>5005</v>
      </c>
      <c r="G2453" s="1">
        <v>18966.0</v>
      </c>
      <c r="H2453" s="1">
        <v>141.0</v>
      </c>
      <c r="I2453" s="1" t="s">
        <v>16</v>
      </c>
      <c r="J2453" s="1">
        <v>1.5E7</v>
      </c>
      <c r="K2453" s="1">
        <v>2002.0</v>
      </c>
      <c r="L2453" s="1">
        <v>6.9</v>
      </c>
      <c r="O2453" s="3"/>
      <c r="S2453" s="4"/>
    </row>
    <row r="2454" ht="14.25" customHeight="1">
      <c r="A2454" s="1" t="s">
        <v>5006</v>
      </c>
      <c r="B2454" s="1">
        <v>91.0</v>
      </c>
      <c r="C2454" s="1">
        <v>8080116.0</v>
      </c>
      <c r="D2454" s="1" t="s">
        <v>993</v>
      </c>
      <c r="E2454" s="1" t="s">
        <v>878</v>
      </c>
      <c r="F2454" s="1" t="s">
        <v>5007</v>
      </c>
      <c r="G2454" s="1">
        <v>6562.0</v>
      </c>
      <c r="H2454" s="1">
        <v>66.0</v>
      </c>
      <c r="I2454" s="1" t="s">
        <v>16</v>
      </c>
      <c r="J2454" s="1">
        <v>1.5E7</v>
      </c>
      <c r="K2454" s="1">
        <v>2006.0</v>
      </c>
      <c r="L2454" s="1">
        <v>5.6</v>
      </c>
      <c r="O2454" s="3"/>
      <c r="S2454" s="4"/>
    </row>
    <row r="2455" ht="14.25" customHeight="1">
      <c r="A2455" s="1" t="s">
        <v>5008</v>
      </c>
      <c r="B2455" s="1">
        <v>107.0</v>
      </c>
      <c r="C2455" s="1">
        <v>7757130.0</v>
      </c>
      <c r="D2455" s="1" t="s">
        <v>3596</v>
      </c>
      <c r="E2455" s="1" t="s">
        <v>5009</v>
      </c>
      <c r="F2455" s="1" t="s">
        <v>5010</v>
      </c>
      <c r="G2455" s="1">
        <v>307639.0</v>
      </c>
      <c r="H2455" s="1">
        <v>513.0</v>
      </c>
      <c r="I2455" s="1" t="s">
        <v>16</v>
      </c>
      <c r="J2455" s="1">
        <v>1.5E7</v>
      </c>
      <c r="K2455" s="1">
        <v>2008.0</v>
      </c>
      <c r="L2455" s="1">
        <v>8.0</v>
      </c>
      <c r="O2455" s="3"/>
      <c r="S2455" s="4"/>
    </row>
    <row r="2456" ht="14.25" customHeight="1">
      <c r="A2456" s="1" t="s">
        <v>5011</v>
      </c>
      <c r="B2456" s="1">
        <v>95.0</v>
      </c>
      <c r="C2456" s="1">
        <v>9123834.0</v>
      </c>
      <c r="D2456" s="1" t="s">
        <v>699</v>
      </c>
      <c r="E2456" s="1" t="s">
        <v>3810</v>
      </c>
      <c r="F2456" s="1" t="s">
        <v>5012</v>
      </c>
      <c r="G2456" s="1">
        <v>4065.0</v>
      </c>
      <c r="H2456" s="1">
        <v>33.0</v>
      </c>
      <c r="I2456" s="1" t="s">
        <v>16</v>
      </c>
      <c r="J2456" s="1">
        <v>1.5E7</v>
      </c>
      <c r="K2456" s="1">
        <v>2013.0</v>
      </c>
      <c r="L2456" s="1">
        <v>5.3</v>
      </c>
      <c r="O2456" s="3"/>
      <c r="S2456" s="4"/>
    </row>
    <row r="2457" ht="14.25" customHeight="1">
      <c r="A2457" s="1" t="s">
        <v>5013</v>
      </c>
      <c r="B2457" s="1">
        <v>102.0</v>
      </c>
      <c r="C2457" s="1">
        <v>6409206.0</v>
      </c>
      <c r="D2457" s="1" t="s">
        <v>3022</v>
      </c>
      <c r="E2457" s="1" t="s">
        <v>78</v>
      </c>
      <c r="F2457" s="1" t="s">
        <v>5014</v>
      </c>
      <c r="G2457" s="1">
        <v>32311.0</v>
      </c>
      <c r="H2457" s="1">
        <v>104.0</v>
      </c>
      <c r="I2457" s="1" t="s">
        <v>16</v>
      </c>
      <c r="J2457" s="1">
        <v>1.5E7</v>
      </c>
      <c r="K2457" s="1">
        <v>2008.0</v>
      </c>
      <c r="L2457" s="1">
        <v>6.2</v>
      </c>
      <c r="O2457" s="3"/>
      <c r="S2457" s="4"/>
    </row>
    <row r="2458" ht="14.25" customHeight="1">
      <c r="A2458" s="1" t="s">
        <v>5015</v>
      </c>
      <c r="B2458" s="1">
        <v>88.0</v>
      </c>
      <c r="C2458" s="1">
        <v>6373693.0</v>
      </c>
      <c r="D2458" s="1" t="s">
        <v>699</v>
      </c>
      <c r="E2458" s="1" t="s">
        <v>35</v>
      </c>
      <c r="F2458" s="1" t="s">
        <v>5016</v>
      </c>
      <c r="G2458" s="1">
        <v>11498.0</v>
      </c>
      <c r="H2458" s="1">
        <v>53.0</v>
      </c>
      <c r="I2458" s="1" t="s">
        <v>16</v>
      </c>
      <c r="J2458" s="1">
        <v>1.5E7</v>
      </c>
      <c r="K2458" s="1">
        <v>2009.0</v>
      </c>
      <c r="L2458" s="1">
        <v>5.3</v>
      </c>
      <c r="O2458" s="3"/>
      <c r="S2458" s="4"/>
    </row>
    <row r="2459" ht="14.25" customHeight="1">
      <c r="A2459" s="1" t="s">
        <v>2409</v>
      </c>
      <c r="B2459" s="1">
        <v>106.0</v>
      </c>
      <c r="C2459" s="1">
        <v>7556708.0</v>
      </c>
      <c r="D2459" s="1" t="s">
        <v>1391</v>
      </c>
      <c r="E2459" s="1" t="s">
        <v>486</v>
      </c>
      <c r="F2459" s="1" t="s">
        <v>5017</v>
      </c>
      <c r="G2459" s="1">
        <v>30284.0</v>
      </c>
      <c r="H2459" s="1">
        <v>102.0</v>
      </c>
      <c r="I2459" s="1" t="s">
        <v>16</v>
      </c>
      <c r="J2459" s="1">
        <v>1.5E7</v>
      </c>
      <c r="K2459" s="1">
        <v>2012.0</v>
      </c>
      <c r="L2459" s="1">
        <v>6.6</v>
      </c>
      <c r="O2459" s="3"/>
      <c r="S2459" s="4"/>
    </row>
    <row r="2460" ht="14.25" customHeight="1">
      <c r="A2460" s="1" t="s">
        <v>3268</v>
      </c>
      <c r="B2460" s="1">
        <v>92.0</v>
      </c>
      <c r="C2460" s="1">
        <v>5306447.0</v>
      </c>
      <c r="D2460" s="1" t="s">
        <v>699</v>
      </c>
      <c r="E2460" s="1" t="s">
        <v>5018</v>
      </c>
      <c r="F2460" s="1" t="s">
        <v>5019</v>
      </c>
      <c r="G2460" s="1">
        <v>58967.0</v>
      </c>
      <c r="H2460" s="1">
        <v>169.0</v>
      </c>
      <c r="I2460" s="1" t="s">
        <v>16</v>
      </c>
      <c r="J2460" s="1">
        <v>1.5E7</v>
      </c>
      <c r="K2460" s="1">
        <v>2009.0</v>
      </c>
      <c r="L2460" s="1">
        <v>7.2</v>
      </c>
      <c r="O2460" s="3"/>
      <c r="S2460" s="4"/>
    </row>
    <row r="2461" ht="14.25" customHeight="1">
      <c r="A2461" s="1" t="s">
        <v>5020</v>
      </c>
      <c r="B2461" s="1">
        <v>105.0</v>
      </c>
      <c r="C2461" s="1">
        <v>5217498.0</v>
      </c>
      <c r="D2461" s="1" t="s">
        <v>806</v>
      </c>
      <c r="E2461" s="1" t="s">
        <v>5021</v>
      </c>
      <c r="F2461" s="1" t="s">
        <v>5022</v>
      </c>
      <c r="G2461" s="1">
        <v>3668.0</v>
      </c>
      <c r="H2461" s="1">
        <v>85.0</v>
      </c>
      <c r="I2461" s="1" t="s">
        <v>16</v>
      </c>
      <c r="J2461" s="1">
        <v>1.5E7</v>
      </c>
      <c r="K2461" s="1">
        <v>2000.0</v>
      </c>
      <c r="L2461" s="1">
        <v>4.6</v>
      </c>
      <c r="O2461" s="3"/>
      <c r="S2461" s="4"/>
    </row>
    <row r="2462" ht="14.25" customHeight="1">
      <c r="A2462" s="1" t="s">
        <v>4820</v>
      </c>
      <c r="B2462" s="1">
        <v>107.0</v>
      </c>
      <c r="C2462" s="1">
        <v>5023275.0</v>
      </c>
      <c r="D2462" s="1" t="s">
        <v>5023</v>
      </c>
      <c r="E2462" s="1" t="s">
        <v>5024</v>
      </c>
      <c r="F2462" s="1" t="s">
        <v>5025</v>
      </c>
      <c r="G2462" s="1">
        <v>34194.0</v>
      </c>
      <c r="H2462" s="1">
        <v>199.0</v>
      </c>
      <c r="I2462" s="1" t="s">
        <v>16</v>
      </c>
      <c r="J2462" s="1">
        <v>1.5E7</v>
      </c>
      <c r="K2462" s="1">
        <v>2005.0</v>
      </c>
      <c r="L2462" s="1">
        <v>7.5</v>
      </c>
      <c r="O2462" s="3"/>
      <c r="S2462" s="4"/>
    </row>
    <row r="2463" ht="14.25" customHeight="1">
      <c r="A2463" s="1" t="s">
        <v>5026</v>
      </c>
      <c r="B2463" s="1">
        <v>120.0</v>
      </c>
      <c r="C2463" s="1">
        <v>4956401.0</v>
      </c>
      <c r="D2463" s="1" t="s">
        <v>1384</v>
      </c>
      <c r="E2463" s="1" t="s">
        <v>346</v>
      </c>
      <c r="F2463" s="1" t="s">
        <v>5027</v>
      </c>
      <c r="G2463" s="1">
        <v>12601.0</v>
      </c>
      <c r="H2463" s="1">
        <v>89.0</v>
      </c>
      <c r="I2463" s="1" t="s">
        <v>16</v>
      </c>
      <c r="J2463" s="1">
        <v>1.5E7</v>
      </c>
      <c r="K2463" s="1">
        <v>1999.0</v>
      </c>
      <c r="L2463" s="1">
        <v>6.5</v>
      </c>
      <c r="O2463" s="3"/>
      <c r="S2463" s="4"/>
    </row>
    <row r="2464" ht="14.25" customHeight="1">
      <c r="A2464" s="1" t="s">
        <v>109</v>
      </c>
      <c r="B2464" s="1">
        <v>103.0</v>
      </c>
      <c r="C2464" s="1">
        <v>4235837.0</v>
      </c>
      <c r="D2464" s="1" t="s">
        <v>4782</v>
      </c>
      <c r="E2464" s="1" t="s">
        <v>96</v>
      </c>
      <c r="F2464" s="1" t="s">
        <v>5028</v>
      </c>
      <c r="G2464" s="1">
        <v>175962.0</v>
      </c>
      <c r="H2464" s="1">
        <v>336.0</v>
      </c>
      <c r="I2464" s="1" t="s">
        <v>16</v>
      </c>
      <c r="J2464" s="1">
        <v>1.5E7</v>
      </c>
      <c r="K2464" s="1">
        <v>2005.0</v>
      </c>
      <c r="L2464" s="1">
        <v>7.6</v>
      </c>
      <c r="O2464" s="3"/>
      <c r="S2464" s="4"/>
    </row>
    <row r="2465" ht="14.25" customHeight="1">
      <c r="A2465" s="1" t="s">
        <v>5029</v>
      </c>
      <c r="B2465" s="1">
        <v>92.0</v>
      </c>
      <c r="C2465" s="1">
        <v>4002955.0</v>
      </c>
      <c r="D2465" s="1" t="s">
        <v>3194</v>
      </c>
      <c r="E2465" s="1" t="s">
        <v>272</v>
      </c>
      <c r="F2465" s="1" t="s">
        <v>5030</v>
      </c>
      <c r="G2465" s="1">
        <v>33745.0</v>
      </c>
      <c r="H2465" s="1">
        <v>198.0</v>
      </c>
      <c r="I2465" s="1" t="s">
        <v>16</v>
      </c>
      <c r="J2465" s="1">
        <v>2.0E7</v>
      </c>
      <c r="K2465" s="1">
        <v>1999.0</v>
      </c>
      <c r="L2465" s="1">
        <v>6.2</v>
      </c>
      <c r="O2465" s="3"/>
      <c r="S2465" s="4"/>
    </row>
    <row r="2466" ht="14.25" customHeight="1">
      <c r="A2466" s="1" t="s">
        <v>2339</v>
      </c>
      <c r="B2466" s="1">
        <v>147.0</v>
      </c>
      <c r="C2466" s="1">
        <v>7219578.0</v>
      </c>
      <c r="D2466" s="1" t="s">
        <v>806</v>
      </c>
      <c r="E2466" s="1" t="s">
        <v>90</v>
      </c>
      <c r="F2466" s="1" t="s">
        <v>5031</v>
      </c>
      <c r="G2466" s="1">
        <v>235992.0</v>
      </c>
      <c r="H2466" s="1">
        <v>1768.0</v>
      </c>
      <c r="I2466" s="1" t="s">
        <v>16</v>
      </c>
      <c r="J2466" s="1">
        <v>1.5E7</v>
      </c>
      <c r="K2466" s="1">
        <v>2001.0</v>
      </c>
      <c r="L2466" s="1">
        <v>8.0</v>
      </c>
      <c r="O2466" s="3"/>
      <c r="S2466" s="4"/>
    </row>
    <row r="2467" ht="14.25" customHeight="1">
      <c r="A2467" s="1" t="s">
        <v>3268</v>
      </c>
      <c r="B2467" s="1">
        <v>98.0</v>
      </c>
      <c r="C2467" s="1">
        <v>3247816.0</v>
      </c>
      <c r="D2467" s="1" t="s">
        <v>593</v>
      </c>
      <c r="E2467" s="1" t="s">
        <v>326</v>
      </c>
      <c r="F2467" s="1" t="s">
        <v>5032</v>
      </c>
      <c r="G2467" s="1">
        <v>36145.0</v>
      </c>
      <c r="H2467" s="1">
        <v>108.0</v>
      </c>
      <c r="I2467" s="1" t="s">
        <v>16</v>
      </c>
      <c r="J2467" s="1">
        <v>2.2E7</v>
      </c>
      <c r="K2467" s="1">
        <v>2010.0</v>
      </c>
      <c r="L2467" s="1">
        <v>6.3</v>
      </c>
      <c r="O2467" s="3"/>
      <c r="S2467" s="4"/>
    </row>
    <row r="2468" ht="14.25" customHeight="1">
      <c r="A2468" s="1" t="s">
        <v>5033</v>
      </c>
      <c r="B2468" s="1">
        <v>103.0</v>
      </c>
      <c r="C2468" s="1">
        <v>2412045.0</v>
      </c>
      <c r="D2468" s="1" t="s">
        <v>3742</v>
      </c>
      <c r="E2468" s="1" t="s">
        <v>2504</v>
      </c>
      <c r="F2468" s="1" t="s">
        <v>5034</v>
      </c>
      <c r="G2468" s="1">
        <v>109873.0</v>
      </c>
      <c r="H2468" s="1">
        <v>320.0</v>
      </c>
      <c r="I2468" s="1" t="s">
        <v>16</v>
      </c>
      <c r="J2468" s="1">
        <v>1.5E7</v>
      </c>
      <c r="K2468" s="1">
        <v>2010.0</v>
      </c>
      <c r="L2468" s="1">
        <v>7.2</v>
      </c>
      <c r="O2468" s="3"/>
      <c r="S2468" s="4"/>
    </row>
    <row r="2469" ht="14.25" customHeight="1">
      <c r="A2469" s="1" t="s">
        <v>5035</v>
      </c>
      <c r="B2469" s="1">
        <v>111.0</v>
      </c>
      <c r="C2469" s="1">
        <v>2203641.0</v>
      </c>
      <c r="D2469" s="1" t="s">
        <v>909</v>
      </c>
      <c r="E2469" s="1" t="s">
        <v>5036</v>
      </c>
      <c r="F2469" s="1" t="s">
        <v>5037</v>
      </c>
      <c r="G2469" s="1">
        <v>42792.0</v>
      </c>
      <c r="H2469" s="1">
        <v>162.0</v>
      </c>
      <c r="I2469" s="1" t="s">
        <v>16</v>
      </c>
      <c r="J2469" s="1">
        <v>1.5E7</v>
      </c>
      <c r="K2469" s="1">
        <v>2008.0</v>
      </c>
      <c r="L2469" s="1">
        <v>6.7</v>
      </c>
      <c r="O2469" s="3"/>
      <c r="S2469" s="4"/>
    </row>
    <row r="2470" ht="14.25" customHeight="1">
      <c r="A2470" s="1" t="s">
        <v>5038</v>
      </c>
      <c r="B2470" s="1">
        <v>98.0</v>
      </c>
      <c r="C2470" s="1">
        <v>1953732.0</v>
      </c>
      <c r="D2470" s="1" t="s">
        <v>565</v>
      </c>
      <c r="E2470" s="1" t="s">
        <v>5039</v>
      </c>
      <c r="F2470" s="1" t="s">
        <v>5040</v>
      </c>
      <c r="G2470" s="1">
        <v>4996.0</v>
      </c>
      <c r="H2470" s="1">
        <v>62.0</v>
      </c>
      <c r="I2470" s="1" t="s">
        <v>16</v>
      </c>
      <c r="J2470" s="1">
        <v>1.5E7</v>
      </c>
      <c r="K2470" s="1">
        <v>1986.0</v>
      </c>
      <c r="L2470" s="1">
        <v>5.3</v>
      </c>
      <c r="O2470" s="3"/>
      <c r="S2470" s="4"/>
    </row>
    <row r="2471" ht="14.25" customHeight="1">
      <c r="A2471" s="1" t="s">
        <v>5041</v>
      </c>
      <c r="B2471" s="1">
        <v>111.0</v>
      </c>
      <c r="C2471" s="1">
        <v>1954202.0</v>
      </c>
      <c r="D2471" s="1" t="s">
        <v>3596</v>
      </c>
      <c r="E2471" s="1" t="s">
        <v>3594</v>
      </c>
      <c r="F2471" s="1" t="s">
        <v>5042</v>
      </c>
      <c r="G2471" s="1">
        <v>5917.0</v>
      </c>
      <c r="H2471" s="1">
        <v>71.0</v>
      </c>
      <c r="I2471" s="1" t="s">
        <v>16</v>
      </c>
      <c r="J2471" s="1">
        <v>1.5E7</v>
      </c>
      <c r="K2471" s="1">
        <v>1999.0</v>
      </c>
      <c r="L2471" s="1">
        <v>6.3</v>
      </c>
      <c r="O2471" s="3"/>
      <c r="S2471" s="4"/>
    </row>
    <row r="2472" ht="14.25" customHeight="1">
      <c r="A2472" s="1" t="s">
        <v>4619</v>
      </c>
      <c r="B2472" s="1">
        <v>111.0</v>
      </c>
      <c r="C2472" s="1">
        <v>1294640.0</v>
      </c>
      <c r="D2472" s="1" t="s">
        <v>2646</v>
      </c>
      <c r="E2472" s="1" t="s">
        <v>90</v>
      </c>
      <c r="F2472" s="1" t="s">
        <v>5043</v>
      </c>
      <c r="G2472" s="1">
        <v>69569.0</v>
      </c>
      <c r="H2472" s="1">
        <v>436.0</v>
      </c>
      <c r="I2472" s="1" t="s">
        <v>16</v>
      </c>
      <c r="J2472" s="1">
        <v>1.5E7</v>
      </c>
      <c r="K2472" s="1">
        <v>2007.0</v>
      </c>
      <c r="L2472" s="1">
        <v>6.5</v>
      </c>
      <c r="O2472" s="3"/>
      <c r="S2472" s="4"/>
    </row>
    <row r="2473" ht="14.25" customHeight="1">
      <c r="A2473" s="1" t="s">
        <v>5044</v>
      </c>
      <c r="B2473" s="1">
        <v>145.0</v>
      </c>
      <c r="C2473" s="1">
        <v>26435.0</v>
      </c>
      <c r="D2473" s="1" t="s">
        <v>770</v>
      </c>
      <c r="E2473" s="1" t="s">
        <v>5045</v>
      </c>
      <c r="F2473" s="1" t="s">
        <v>5046</v>
      </c>
      <c r="G2473" s="1">
        <v>111841.0</v>
      </c>
      <c r="H2473" s="1">
        <v>413.0</v>
      </c>
      <c r="I2473" s="1" t="s">
        <v>4449</v>
      </c>
      <c r="J2473" s="1">
        <v>6000000.0</v>
      </c>
      <c r="K2473" s="1">
        <v>1927.0</v>
      </c>
      <c r="L2473" s="1">
        <v>8.3</v>
      </c>
      <c r="O2473" s="3"/>
      <c r="S2473" s="4"/>
    </row>
    <row r="2474" ht="14.25" customHeight="1">
      <c r="A2474" s="1" t="s">
        <v>2007</v>
      </c>
      <c r="B2474" s="1">
        <v>84.0</v>
      </c>
      <c r="C2474" s="1">
        <v>1197786.0</v>
      </c>
      <c r="D2474" s="1" t="s">
        <v>146</v>
      </c>
      <c r="E2474" s="1" t="s">
        <v>5047</v>
      </c>
      <c r="F2474" s="1" t="s">
        <v>5048</v>
      </c>
      <c r="G2474" s="1">
        <v>55928.0</v>
      </c>
      <c r="H2474" s="1">
        <v>157.0</v>
      </c>
      <c r="I2474" s="1" t="s">
        <v>1189</v>
      </c>
      <c r="J2474" s="1">
        <v>1.2E7</v>
      </c>
      <c r="K2474" s="1">
        <v>2004.0</v>
      </c>
      <c r="L2474" s="1">
        <v>7.2</v>
      </c>
      <c r="O2474" s="3"/>
      <c r="S2474" s="4"/>
    </row>
    <row r="2475" ht="14.25" customHeight="1">
      <c r="A2475" s="1" t="s">
        <v>2081</v>
      </c>
      <c r="B2475" s="1">
        <v>115.0</v>
      </c>
      <c r="C2475" s="1">
        <v>529766.0</v>
      </c>
      <c r="D2475" s="1" t="s">
        <v>811</v>
      </c>
      <c r="E2475" s="1" t="s">
        <v>119</v>
      </c>
      <c r="F2475" s="1" t="s">
        <v>5049</v>
      </c>
      <c r="G2475" s="1">
        <v>22345.0</v>
      </c>
      <c r="H2475" s="1">
        <v>144.0</v>
      </c>
      <c r="I2475" s="1" t="s">
        <v>16</v>
      </c>
      <c r="J2475" s="1">
        <v>7000000.0</v>
      </c>
      <c r="K2475" s="1">
        <v>1995.0</v>
      </c>
      <c r="L2475" s="1">
        <v>6.8</v>
      </c>
      <c r="O2475" s="3"/>
      <c r="S2475" s="4"/>
    </row>
    <row r="2476" ht="14.25" customHeight="1">
      <c r="A2476" s="1" t="s">
        <v>5050</v>
      </c>
      <c r="B2476" s="1">
        <v>105.0</v>
      </c>
      <c r="C2476" s="1">
        <v>613556.0</v>
      </c>
      <c r="D2476" s="1" t="s">
        <v>331</v>
      </c>
      <c r="E2476" s="1" t="s">
        <v>5051</v>
      </c>
      <c r="F2476" s="1" t="s">
        <v>5052</v>
      </c>
      <c r="G2476" s="1">
        <v>9427.0</v>
      </c>
      <c r="H2476" s="1">
        <v>87.0</v>
      </c>
      <c r="I2476" s="1" t="s">
        <v>816</v>
      </c>
      <c r="J2476" s="1">
        <v>1.5E7</v>
      </c>
      <c r="K2476" s="1">
        <v>2015.0</v>
      </c>
      <c r="L2476" s="1">
        <v>6.4</v>
      </c>
      <c r="O2476" s="3"/>
      <c r="S2476" s="4"/>
    </row>
    <row r="2477" ht="14.25" customHeight="1">
      <c r="A2477" s="1" t="s">
        <v>5053</v>
      </c>
      <c r="B2477" s="1">
        <v>98.0</v>
      </c>
      <c r="C2477" s="1">
        <v>353743.0</v>
      </c>
      <c r="D2477" s="1" t="s">
        <v>5054</v>
      </c>
      <c r="E2477" s="1" t="s">
        <v>4120</v>
      </c>
      <c r="F2477" s="1" t="s">
        <v>5055</v>
      </c>
      <c r="G2477" s="1">
        <v>20730.0</v>
      </c>
      <c r="H2477" s="1">
        <v>111.0</v>
      </c>
      <c r="I2477" s="1" t="s">
        <v>16</v>
      </c>
      <c r="J2477" s="1">
        <v>1.5E7</v>
      </c>
      <c r="K2477" s="1">
        <v>2001.0</v>
      </c>
      <c r="L2477" s="1">
        <v>6.9</v>
      </c>
      <c r="O2477" s="3"/>
      <c r="S2477" s="4"/>
    </row>
    <row r="2478" ht="14.25" customHeight="1">
      <c r="A2478" s="1" t="s">
        <v>5056</v>
      </c>
      <c r="B2478" s="1">
        <v>110.0</v>
      </c>
      <c r="C2478" s="1">
        <v>102055.0</v>
      </c>
      <c r="D2478" s="1" t="s">
        <v>553</v>
      </c>
      <c r="E2478" s="1" t="s">
        <v>5057</v>
      </c>
      <c r="F2478" s="1" t="s">
        <v>5058</v>
      </c>
      <c r="G2478" s="1">
        <v>24570.0</v>
      </c>
      <c r="H2478" s="1">
        <v>72.0</v>
      </c>
      <c r="I2478" s="1" t="s">
        <v>5059</v>
      </c>
      <c r="J2478" s="1">
        <v>3.0E8</v>
      </c>
      <c r="K2478" s="1">
        <v>2008.0</v>
      </c>
      <c r="L2478" s="1">
        <v>6.2</v>
      </c>
      <c r="O2478" s="3"/>
      <c r="S2478" s="4"/>
    </row>
    <row r="2479" ht="14.25" customHeight="1">
      <c r="A2479" s="1" t="s">
        <v>5060</v>
      </c>
      <c r="B2479" s="1">
        <v>103.0</v>
      </c>
      <c r="C2479" s="1">
        <v>73548.0</v>
      </c>
      <c r="D2479" s="1" t="s">
        <v>5061</v>
      </c>
      <c r="E2479" s="1" t="s">
        <v>282</v>
      </c>
      <c r="F2479" s="1" t="s">
        <v>5062</v>
      </c>
      <c r="G2479" s="1">
        <v>47574.0</v>
      </c>
      <c r="H2479" s="1">
        <v>209.0</v>
      </c>
      <c r="I2479" s="1" t="s">
        <v>16</v>
      </c>
      <c r="J2479" s="1">
        <v>1.5E7</v>
      </c>
      <c r="K2479" s="1">
        <v>2008.0</v>
      </c>
      <c r="L2479" s="1">
        <v>6.1</v>
      </c>
      <c r="O2479" s="3"/>
      <c r="S2479" s="4"/>
    </row>
    <row r="2480" ht="14.25" customHeight="1">
      <c r="A2480" s="1" t="s">
        <v>5063</v>
      </c>
      <c r="B2480" s="1">
        <v>90.0</v>
      </c>
      <c r="C2480" s="1">
        <v>28870.0</v>
      </c>
      <c r="D2480" s="1" t="s">
        <v>901</v>
      </c>
      <c r="E2480" s="1" t="s">
        <v>191</v>
      </c>
      <c r="F2480" s="1" t="s">
        <v>5064</v>
      </c>
      <c r="G2480" s="1">
        <v>14280.0</v>
      </c>
      <c r="H2480" s="1">
        <v>41.0</v>
      </c>
      <c r="I2480" s="1" t="s">
        <v>16</v>
      </c>
      <c r="J2480" s="1">
        <v>1.5E7</v>
      </c>
      <c r="K2480" s="1">
        <v>2011.0</v>
      </c>
      <c r="L2480" s="1">
        <v>5.1</v>
      </c>
      <c r="O2480" s="3"/>
      <c r="S2480" s="4"/>
    </row>
    <row r="2481" ht="14.25" customHeight="1">
      <c r="A2481" s="1" t="s">
        <v>5065</v>
      </c>
      <c r="B2481" s="1">
        <v>105.0</v>
      </c>
      <c r="C2481" s="1">
        <v>22723.0</v>
      </c>
      <c r="D2481" s="1" t="s">
        <v>5066</v>
      </c>
      <c r="E2481" s="1" t="s">
        <v>5067</v>
      </c>
      <c r="F2481" s="1" t="s">
        <v>5068</v>
      </c>
      <c r="G2481" s="1">
        <v>2236.0</v>
      </c>
      <c r="H2481" s="1">
        <v>40.0</v>
      </c>
      <c r="I2481" s="1" t="s">
        <v>16</v>
      </c>
      <c r="J2481" s="1">
        <v>2.5E7</v>
      </c>
      <c r="K2481" s="1">
        <v>2001.0</v>
      </c>
      <c r="L2481" s="1">
        <v>4.5</v>
      </c>
      <c r="O2481" s="3"/>
      <c r="S2481" s="4"/>
    </row>
    <row r="2482" ht="14.25" customHeight="1">
      <c r="A2482" s="1" t="s">
        <v>5069</v>
      </c>
      <c r="B2482" s="1">
        <v>93.0</v>
      </c>
      <c r="C2482" s="1">
        <v>20380.0</v>
      </c>
      <c r="D2482" s="1" t="s">
        <v>5070</v>
      </c>
      <c r="E2482" s="1" t="s">
        <v>5071</v>
      </c>
      <c r="F2482" s="1" t="s">
        <v>5072</v>
      </c>
      <c r="G2482" s="1">
        <v>7519.0</v>
      </c>
      <c r="H2482" s="1">
        <v>39.0</v>
      </c>
      <c r="I2482" s="1" t="s">
        <v>16</v>
      </c>
      <c r="J2482" s="1">
        <v>1.5E7</v>
      </c>
      <c r="K2482" s="1">
        <v>2007.0</v>
      </c>
      <c r="L2482" s="1">
        <v>5.9</v>
      </c>
      <c r="O2482" s="3"/>
      <c r="S2482" s="4"/>
    </row>
    <row r="2483" ht="14.25" customHeight="1">
      <c r="A2483" s="1" t="s">
        <v>1719</v>
      </c>
      <c r="B2483" s="1">
        <v>101.0</v>
      </c>
      <c r="C2483" s="1">
        <v>7.0906973E7</v>
      </c>
      <c r="D2483" s="1" t="s">
        <v>1481</v>
      </c>
      <c r="E2483" s="1" t="s">
        <v>899</v>
      </c>
      <c r="F2483" s="1" t="s">
        <v>5073</v>
      </c>
      <c r="G2483" s="1">
        <v>437418.0</v>
      </c>
      <c r="H2483" s="1">
        <v>609.0</v>
      </c>
      <c r="I2483" s="1" t="s">
        <v>16</v>
      </c>
      <c r="J2483" s="1">
        <v>1.46E7</v>
      </c>
      <c r="K2483" s="1">
        <v>1993.0</v>
      </c>
      <c r="L2483" s="1">
        <v>8.1</v>
      </c>
      <c r="O2483" s="3"/>
      <c r="S2483" s="4"/>
    </row>
    <row r="2484" ht="14.25" customHeight="1">
      <c r="A2484" s="1" t="s">
        <v>5074</v>
      </c>
      <c r="B2484" s="1">
        <v>115.0</v>
      </c>
      <c r="C2484" s="1">
        <v>6.6009973E7</v>
      </c>
      <c r="D2484" s="1" t="s">
        <v>3479</v>
      </c>
      <c r="E2484" s="1" t="s">
        <v>1781</v>
      </c>
      <c r="F2484" s="1" t="s">
        <v>5075</v>
      </c>
      <c r="G2484" s="1">
        <v>38202.0</v>
      </c>
      <c r="H2484" s="1">
        <v>135.0</v>
      </c>
      <c r="I2484" s="1" t="s">
        <v>16</v>
      </c>
      <c r="J2484" s="1">
        <v>1.48E7</v>
      </c>
      <c r="K2484" s="1">
        <v>2015.0</v>
      </c>
      <c r="L2484" s="1">
        <v>5.7</v>
      </c>
      <c r="O2484" s="3"/>
      <c r="S2484" s="4"/>
    </row>
    <row r="2485" ht="14.25" customHeight="1">
      <c r="A2485" s="1" t="s">
        <v>159</v>
      </c>
      <c r="B2485" s="1">
        <v>120.0</v>
      </c>
      <c r="C2485" s="1">
        <v>4.6338728E7</v>
      </c>
      <c r="D2485" s="1" t="s">
        <v>92</v>
      </c>
      <c r="E2485" s="1" t="s">
        <v>93</v>
      </c>
      <c r="F2485" s="1" t="s">
        <v>5076</v>
      </c>
      <c r="G2485" s="1">
        <v>167750.0</v>
      </c>
      <c r="H2485" s="1">
        <v>506.0</v>
      </c>
      <c r="I2485" s="1" t="s">
        <v>16</v>
      </c>
      <c r="J2485" s="1">
        <v>1.45E7</v>
      </c>
      <c r="K2485" s="1">
        <v>1996.0</v>
      </c>
      <c r="L2485" s="1">
        <v>6.8</v>
      </c>
      <c r="O2485" s="3"/>
      <c r="S2485" s="4"/>
    </row>
    <row r="2486" ht="14.25" customHeight="1">
      <c r="A2486" s="1" t="s">
        <v>5077</v>
      </c>
      <c r="B2486" s="1">
        <v>111.0</v>
      </c>
      <c r="C2486" s="1">
        <v>7691700.0</v>
      </c>
      <c r="D2486" s="1" t="s">
        <v>1384</v>
      </c>
      <c r="E2486" s="1" t="s">
        <v>4535</v>
      </c>
      <c r="F2486" s="1" t="s">
        <v>5078</v>
      </c>
      <c r="G2486" s="1">
        <v>12937.0</v>
      </c>
      <c r="H2486" s="1">
        <v>73.0</v>
      </c>
      <c r="I2486" s="1" t="s">
        <v>1189</v>
      </c>
      <c r="J2486" s="1">
        <v>1.0E7</v>
      </c>
      <c r="K2486" s="1">
        <v>2010.0</v>
      </c>
      <c r="L2486" s="1">
        <v>7.5</v>
      </c>
      <c r="O2486" s="3"/>
      <c r="S2486" s="4"/>
    </row>
    <row r="2487" ht="14.25" customHeight="1">
      <c r="A2487" s="1" t="s">
        <v>1506</v>
      </c>
      <c r="B2487" s="1">
        <v>131.0</v>
      </c>
      <c r="C2487" s="1">
        <v>1.01157447E8</v>
      </c>
      <c r="D2487" s="1" t="s">
        <v>735</v>
      </c>
      <c r="E2487" s="1" t="s">
        <v>1506</v>
      </c>
      <c r="F2487" s="1" t="s">
        <v>5079</v>
      </c>
      <c r="G2487" s="1">
        <v>277505.0</v>
      </c>
      <c r="H2487" s="1">
        <v>495.0</v>
      </c>
      <c r="I2487" s="1" t="s">
        <v>16</v>
      </c>
      <c r="J2487" s="1">
        <v>1.44E7</v>
      </c>
      <c r="K2487" s="1">
        <v>1992.0</v>
      </c>
      <c r="L2487" s="1">
        <v>8.3</v>
      </c>
      <c r="O2487" s="3"/>
      <c r="S2487" s="4"/>
    </row>
    <row r="2488" ht="14.25" customHeight="1">
      <c r="A2488" s="1" t="s">
        <v>5080</v>
      </c>
      <c r="B2488" s="1">
        <v>139.0</v>
      </c>
      <c r="C2488" s="1">
        <v>74205.0</v>
      </c>
      <c r="D2488" s="1" t="s">
        <v>1391</v>
      </c>
      <c r="E2488" s="1" t="s">
        <v>103</v>
      </c>
      <c r="F2488" s="1" t="s">
        <v>5081</v>
      </c>
      <c r="G2488" s="1">
        <v>18646.0</v>
      </c>
      <c r="H2488" s="1">
        <v>81.0</v>
      </c>
      <c r="I2488" s="1" t="s">
        <v>16</v>
      </c>
      <c r="J2488" s="1">
        <v>1.42E7</v>
      </c>
      <c r="K2488" s="1">
        <v>2005.0</v>
      </c>
      <c r="L2488" s="1">
        <v>7.4</v>
      </c>
      <c r="O2488" s="3"/>
      <c r="S2488" s="4"/>
    </row>
    <row r="2489" ht="14.25" customHeight="1">
      <c r="A2489" s="1" t="s">
        <v>2132</v>
      </c>
      <c r="B2489" s="1">
        <v>120.0</v>
      </c>
      <c r="C2489" s="1">
        <v>1.41319195E8</v>
      </c>
      <c r="D2489" s="1" t="s">
        <v>92</v>
      </c>
      <c r="E2489" s="1" t="s">
        <v>5082</v>
      </c>
      <c r="F2489" s="1" t="s">
        <v>5083</v>
      </c>
      <c r="G2489" s="1">
        <v>641997.0</v>
      </c>
      <c r="H2489" s="1">
        <v>1017.0</v>
      </c>
      <c r="I2489" s="1" t="s">
        <v>16</v>
      </c>
      <c r="J2489" s="1">
        <v>1.5E7</v>
      </c>
      <c r="K2489" s="1">
        <v>2008.0</v>
      </c>
      <c r="L2489" s="1">
        <v>8.0</v>
      </c>
      <c r="O2489" s="3"/>
      <c r="S2489" s="4"/>
    </row>
    <row r="2490" ht="14.25" customHeight="1">
      <c r="A2490" s="1" t="s">
        <v>2085</v>
      </c>
      <c r="B2490" s="1">
        <v>119.0</v>
      </c>
      <c r="C2490" s="1">
        <v>1.56645693E8</v>
      </c>
      <c r="D2490" s="1" t="s">
        <v>3495</v>
      </c>
      <c r="E2490" s="1" t="s">
        <v>5084</v>
      </c>
      <c r="F2490" s="1" t="s">
        <v>5085</v>
      </c>
      <c r="G2490" s="1">
        <v>55101.0</v>
      </c>
      <c r="H2490" s="1">
        <v>201.0</v>
      </c>
      <c r="I2490" s="1" t="s">
        <v>16</v>
      </c>
      <c r="J2490" s="1">
        <v>1.4E7</v>
      </c>
      <c r="K2490" s="1">
        <v>1987.0</v>
      </c>
      <c r="L2490" s="1">
        <v>6.9</v>
      </c>
      <c r="O2490" s="3"/>
      <c r="S2490" s="4"/>
    </row>
    <row r="2491" ht="14.25" customHeight="1">
      <c r="A2491" s="1" t="s">
        <v>1349</v>
      </c>
      <c r="B2491" s="1">
        <v>125.0</v>
      </c>
      <c r="C2491" s="1">
        <v>1.78406268E8</v>
      </c>
      <c r="D2491" s="1" t="s">
        <v>699</v>
      </c>
      <c r="E2491" s="1" t="s">
        <v>1028</v>
      </c>
      <c r="F2491" s="1" t="s">
        <v>5086</v>
      </c>
      <c r="G2491" s="1">
        <v>213476.0</v>
      </c>
      <c r="H2491" s="1">
        <v>271.0</v>
      </c>
      <c r="I2491" s="1" t="s">
        <v>16</v>
      </c>
      <c r="J2491" s="1">
        <v>1.4E7</v>
      </c>
      <c r="K2491" s="1">
        <v>1990.0</v>
      </c>
      <c r="L2491" s="1">
        <v>6.9</v>
      </c>
      <c r="O2491" s="3"/>
      <c r="S2491" s="4"/>
    </row>
    <row r="2492" ht="14.25" customHeight="1">
      <c r="A2492" s="1" t="s">
        <v>5087</v>
      </c>
      <c r="B2492" s="1">
        <v>108.0</v>
      </c>
      <c r="C2492" s="1">
        <v>1.0930621E8</v>
      </c>
      <c r="D2492" s="1" t="s">
        <v>678</v>
      </c>
      <c r="E2492" s="1" t="s">
        <v>3652</v>
      </c>
      <c r="F2492" s="1" t="s">
        <v>5088</v>
      </c>
      <c r="G2492" s="1">
        <v>44096.0</v>
      </c>
      <c r="H2492" s="1">
        <v>62.0</v>
      </c>
      <c r="I2492" s="1" t="s">
        <v>16</v>
      </c>
      <c r="J2492" s="1">
        <v>1.58E7</v>
      </c>
      <c r="K2492" s="1">
        <v>1988.0</v>
      </c>
      <c r="L2492" s="1">
        <v>5.5</v>
      </c>
      <c r="O2492" s="3"/>
      <c r="S2492" s="4"/>
    </row>
    <row r="2493" ht="14.25" customHeight="1">
      <c r="A2493" s="1" t="s">
        <v>324</v>
      </c>
      <c r="B2493" s="1">
        <v>145.0</v>
      </c>
      <c r="C2493" s="1">
        <v>7.0001698E7</v>
      </c>
      <c r="D2493" s="1" t="s">
        <v>2887</v>
      </c>
      <c r="E2493" s="1" t="s">
        <v>226</v>
      </c>
      <c r="F2493" s="1" t="s">
        <v>5089</v>
      </c>
      <c r="G2493" s="1">
        <v>76842.0</v>
      </c>
      <c r="H2493" s="1">
        <v>173.0</v>
      </c>
      <c r="I2493" s="1" t="s">
        <v>16</v>
      </c>
      <c r="J2493" s="1">
        <v>1.4E7</v>
      </c>
      <c r="K2493" s="1">
        <v>1989.0</v>
      </c>
      <c r="L2493" s="1">
        <v>7.2</v>
      </c>
      <c r="O2493" s="3"/>
      <c r="S2493" s="4"/>
    </row>
    <row r="2494" ht="14.25" customHeight="1">
      <c r="A2494" s="1" t="s">
        <v>300</v>
      </c>
      <c r="B2494" s="1">
        <v>98.0</v>
      </c>
      <c r="C2494" s="1">
        <v>6.8856263E7</v>
      </c>
      <c r="D2494" s="1" t="s">
        <v>3123</v>
      </c>
      <c r="E2494" s="1" t="s">
        <v>5090</v>
      </c>
      <c r="F2494" s="1" t="s">
        <v>5091</v>
      </c>
      <c r="G2494" s="1">
        <v>69733.0</v>
      </c>
      <c r="H2494" s="1">
        <v>97.0</v>
      </c>
      <c r="I2494" s="1" t="s">
        <v>16</v>
      </c>
      <c r="J2494" s="1">
        <v>1.5E7</v>
      </c>
      <c r="K2494" s="1">
        <v>1993.0</v>
      </c>
      <c r="L2494" s="1">
        <v>6.9</v>
      </c>
      <c r="O2494" s="3"/>
      <c r="S2494" s="4"/>
    </row>
    <row r="2495" ht="14.25" customHeight="1">
      <c r="A2495" s="1" t="s">
        <v>2205</v>
      </c>
      <c r="B2495" s="1">
        <v>101.0</v>
      </c>
      <c r="C2495" s="1">
        <v>5.1527787E7</v>
      </c>
      <c r="D2495" s="1" t="s">
        <v>2657</v>
      </c>
      <c r="E2495" s="1" t="s">
        <v>5092</v>
      </c>
      <c r="F2495" s="1" t="s">
        <v>5093</v>
      </c>
      <c r="G2495" s="1">
        <v>45603.0</v>
      </c>
      <c r="H2495" s="1">
        <v>268.0</v>
      </c>
      <c r="I2495" s="1" t="s">
        <v>16</v>
      </c>
      <c r="J2495" s="1">
        <v>1.5E7</v>
      </c>
      <c r="K2495" s="1">
        <v>2009.0</v>
      </c>
      <c r="L2495" s="1">
        <v>5.5</v>
      </c>
      <c r="O2495" s="3"/>
      <c r="S2495" s="4"/>
    </row>
    <row r="2496" ht="14.25" customHeight="1">
      <c r="A2496" s="1" t="s">
        <v>3795</v>
      </c>
      <c r="B2496" s="1">
        <v>109.0</v>
      </c>
      <c r="C2496" s="1">
        <v>6.1356221E7</v>
      </c>
      <c r="D2496" s="1" t="s">
        <v>3098</v>
      </c>
      <c r="E2496" s="1" t="s">
        <v>4368</v>
      </c>
      <c r="F2496" s="1" t="s">
        <v>5094</v>
      </c>
      <c r="G2496" s="1">
        <v>19505.0</v>
      </c>
      <c r="H2496" s="1">
        <v>162.0</v>
      </c>
      <c r="I2496" s="1" t="s">
        <v>16</v>
      </c>
      <c r="J2496" s="1">
        <v>1.4E7</v>
      </c>
      <c r="K2496" s="1">
        <v>2007.0</v>
      </c>
      <c r="L2496" s="1">
        <v>5.2</v>
      </c>
      <c r="O2496" s="3"/>
      <c r="S2496" s="4"/>
    </row>
    <row r="2497" ht="14.25" customHeight="1">
      <c r="A2497" s="1" t="s">
        <v>3187</v>
      </c>
      <c r="B2497" s="1">
        <v>123.0</v>
      </c>
      <c r="C2497" s="1">
        <v>4.68E7</v>
      </c>
      <c r="D2497" s="1" t="s">
        <v>99</v>
      </c>
      <c r="E2497" s="1" t="s">
        <v>5095</v>
      </c>
      <c r="F2497" s="1" t="s">
        <v>5096</v>
      </c>
      <c r="G2497" s="1">
        <v>76477.0</v>
      </c>
      <c r="H2497" s="1">
        <v>275.0</v>
      </c>
      <c r="I2497" s="1" t="s">
        <v>16</v>
      </c>
      <c r="J2497" s="1">
        <v>1.4E7</v>
      </c>
      <c r="K2497" s="1">
        <v>1977.0</v>
      </c>
      <c r="L2497" s="1">
        <v>7.1</v>
      </c>
      <c r="O2497" s="3"/>
      <c r="S2497" s="4"/>
    </row>
    <row r="2498" ht="14.25" customHeight="1">
      <c r="A2498" s="1" t="s">
        <v>5097</v>
      </c>
      <c r="B2498" s="1">
        <v>99.0</v>
      </c>
      <c r="C2498" s="1">
        <v>3.8048637E7</v>
      </c>
      <c r="D2498" s="1" t="s">
        <v>1239</v>
      </c>
      <c r="E2498" s="1" t="s">
        <v>3180</v>
      </c>
      <c r="F2498" s="1" t="s">
        <v>5098</v>
      </c>
      <c r="G2498" s="1">
        <v>47814.0</v>
      </c>
      <c r="H2498" s="1">
        <v>426.0</v>
      </c>
      <c r="I2498" s="1" t="s">
        <v>16</v>
      </c>
      <c r="J2498" s="1">
        <v>1.4E7</v>
      </c>
      <c r="K2498" s="1">
        <v>1998.0</v>
      </c>
      <c r="L2498" s="1">
        <v>5.5</v>
      </c>
      <c r="O2498" s="3"/>
      <c r="S2498" s="4"/>
    </row>
    <row r="2499" ht="14.25" customHeight="1">
      <c r="A2499" s="1" t="s">
        <v>5099</v>
      </c>
      <c r="B2499" s="1">
        <v>107.0</v>
      </c>
      <c r="C2499" s="1">
        <v>3.479316E7</v>
      </c>
      <c r="D2499" s="1" t="s">
        <v>2805</v>
      </c>
      <c r="E2499" s="1" t="s">
        <v>3976</v>
      </c>
      <c r="F2499" s="1" t="s">
        <v>5100</v>
      </c>
      <c r="G2499" s="1">
        <v>15730.0</v>
      </c>
      <c r="H2499" s="1">
        <v>31.0</v>
      </c>
      <c r="I2499" s="1" t="s">
        <v>16</v>
      </c>
      <c r="J2499" s="1">
        <v>1.4E7</v>
      </c>
      <c r="K2499" s="1">
        <v>1991.0</v>
      </c>
      <c r="L2499" s="1">
        <v>6.7</v>
      </c>
      <c r="O2499" s="3"/>
      <c r="S2499" s="4"/>
    </row>
    <row r="2500" ht="14.25" customHeight="1">
      <c r="A2500" s="1" t="s">
        <v>3833</v>
      </c>
      <c r="B2500" s="1">
        <v>81.0</v>
      </c>
      <c r="C2500" s="1">
        <v>3.0628981E7</v>
      </c>
      <c r="D2500" s="1" t="s">
        <v>699</v>
      </c>
      <c r="E2500" s="1" t="s">
        <v>783</v>
      </c>
      <c r="F2500" s="1" t="s">
        <v>5101</v>
      </c>
      <c r="G2500" s="1">
        <v>15047.0</v>
      </c>
      <c r="H2500" s="1">
        <v>160.0</v>
      </c>
      <c r="I2500" s="1" t="s">
        <v>16</v>
      </c>
      <c r="J2500" s="1">
        <v>1.4E7</v>
      </c>
      <c r="K2500" s="1">
        <v>1999.0</v>
      </c>
      <c r="L2500" s="1">
        <v>5.0</v>
      </c>
      <c r="O2500" s="3"/>
      <c r="S2500" s="4"/>
    </row>
    <row r="2501" ht="14.25" customHeight="1">
      <c r="A2501" s="1" t="s">
        <v>1992</v>
      </c>
      <c r="B2501" s="1">
        <v>105.0</v>
      </c>
      <c r="C2501" s="1">
        <v>2.9959436E7</v>
      </c>
      <c r="D2501" s="1" t="s">
        <v>2369</v>
      </c>
      <c r="E2501" s="1" t="s">
        <v>1000</v>
      </c>
      <c r="F2501" s="1" t="s">
        <v>5102</v>
      </c>
      <c r="G2501" s="1">
        <v>82327.0</v>
      </c>
      <c r="H2501" s="1">
        <v>350.0</v>
      </c>
      <c r="I2501" s="1" t="s">
        <v>16</v>
      </c>
      <c r="J2501" s="1">
        <v>1.3E7</v>
      </c>
      <c r="K2501" s="1">
        <v>2011.0</v>
      </c>
      <c r="L2501" s="1">
        <v>6.4</v>
      </c>
      <c r="O2501" s="3"/>
      <c r="S2501" s="4"/>
    </row>
    <row r="2502" ht="14.25" customHeight="1">
      <c r="A2502" s="1" t="s">
        <v>4963</v>
      </c>
      <c r="B2502" s="1">
        <v>82.0</v>
      </c>
      <c r="C2502" s="1">
        <v>2.5571351E7</v>
      </c>
      <c r="D2502" s="1" t="s">
        <v>3470</v>
      </c>
      <c r="E2502" s="1" t="s">
        <v>5103</v>
      </c>
      <c r="F2502" s="1" t="s">
        <v>5104</v>
      </c>
      <c r="G2502" s="1">
        <v>3135.0</v>
      </c>
      <c r="H2502" s="1">
        <v>78.0</v>
      </c>
      <c r="I2502" s="1" t="s">
        <v>16</v>
      </c>
      <c r="J2502" s="1">
        <v>1.4E7</v>
      </c>
      <c r="K2502" s="1">
        <v>2002.0</v>
      </c>
      <c r="L2502" s="1">
        <v>6.6</v>
      </c>
      <c r="O2502" s="3"/>
      <c r="S2502" s="4"/>
    </row>
    <row r="2503" ht="14.25" customHeight="1">
      <c r="A2503" s="1" t="s">
        <v>1205</v>
      </c>
      <c r="B2503" s="1">
        <v>109.0</v>
      </c>
      <c r="C2503" s="1">
        <v>2.7515786E7</v>
      </c>
      <c r="D2503" s="1" t="s">
        <v>92</v>
      </c>
      <c r="E2503" s="1" t="s">
        <v>5105</v>
      </c>
      <c r="F2503" s="1" t="s">
        <v>5106</v>
      </c>
      <c r="G2503" s="1">
        <v>8904.0</v>
      </c>
      <c r="H2503" s="1">
        <v>31.0</v>
      </c>
      <c r="I2503" s="1" t="s">
        <v>16</v>
      </c>
      <c r="J2503" s="1">
        <v>1.4E7</v>
      </c>
      <c r="K2503" s="1">
        <v>1993.0</v>
      </c>
      <c r="L2503" s="1">
        <v>5.9</v>
      </c>
      <c r="O2503" s="3"/>
      <c r="S2503" s="4"/>
    </row>
    <row r="2504" ht="14.25" customHeight="1">
      <c r="A2504" s="1" t="s">
        <v>1846</v>
      </c>
      <c r="B2504" s="1">
        <v>95.0</v>
      </c>
      <c r="C2504" s="1">
        <v>2.5482931E7</v>
      </c>
      <c r="D2504" s="1" t="s">
        <v>180</v>
      </c>
      <c r="E2504" s="1" t="s">
        <v>5107</v>
      </c>
      <c r="F2504" s="1" t="s">
        <v>5108</v>
      </c>
      <c r="G2504" s="1">
        <v>9693.0</v>
      </c>
      <c r="H2504" s="1">
        <v>33.0</v>
      </c>
      <c r="I2504" s="1" t="s">
        <v>16</v>
      </c>
      <c r="J2504" s="1">
        <v>1.4E7</v>
      </c>
      <c r="K2504" s="1">
        <v>2002.0</v>
      </c>
      <c r="L2504" s="1">
        <v>5.7</v>
      </c>
      <c r="O2504" s="3"/>
      <c r="S2504" s="4"/>
    </row>
    <row r="2505" ht="14.25" customHeight="1">
      <c r="A2505" s="1" t="s">
        <v>2511</v>
      </c>
      <c r="B2505" s="1">
        <v>100.0</v>
      </c>
      <c r="C2505" s="1">
        <v>1.99E7</v>
      </c>
      <c r="D2505" s="1" t="s">
        <v>3765</v>
      </c>
      <c r="E2505" s="1" t="s">
        <v>2428</v>
      </c>
      <c r="F2505" s="1" t="s">
        <v>5109</v>
      </c>
      <c r="G2505" s="1">
        <v>17262.0</v>
      </c>
      <c r="H2505" s="1">
        <v>53.0</v>
      </c>
      <c r="I2505" s="1" t="s">
        <v>16</v>
      </c>
      <c r="J2505" s="1">
        <v>2.0E7</v>
      </c>
      <c r="K2505" s="1">
        <v>1995.0</v>
      </c>
      <c r="L2505" s="1">
        <v>4.5</v>
      </c>
      <c r="O2505" s="3"/>
      <c r="S2505" s="4"/>
    </row>
    <row r="2506" ht="14.25" customHeight="1">
      <c r="A2506" s="1" t="s">
        <v>4584</v>
      </c>
      <c r="B2506" s="1">
        <v>91.0</v>
      </c>
      <c r="C2506" s="1">
        <v>1.6298046E7</v>
      </c>
      <c r="D2506" s="1" t="s">
        <v>1239</v>
      </c>
      <c r="E2506" s="1" t="s">
        <v>5110</v>
      </c>
      <c r="F2506" s="1" t="s">
        <v>5111</v>
      </c>
      <c r="G2506" s="1">
        <v>22207.0</v>
      </c>
      <c r="H2506" s="1">
        <v>747.0</v>
      </c>
      <c r="I2506" s="1" t="s">
        <v>16</v>
      </c>
      <c r="J2506" s="1">
        <v>1.4E7</v>
      </c>
      <c r="K2506" s="1">
        <v>2005.0</v>
      </c>
      <c r="L2506" s="1">
        <v>5.0</v>
      </c>
      <c r="O2506" s="3"/>
      <c r="S2506" s="4"/>
    </row>
    <row r="2507" ht="14.25" customHeight="1">
      <c r="A2507" s="1" t="s">
        <v>2271</v>
      </c>
      <c r="B2507" s="1">
        <v>90.0</v>
      </c>
      <c r="C2507" s="1">
        <v>1.5549702E7</v>
      </c>
      <c r="D2507" s="1" t="s">
        <v>699</v>
      </c>
      <c r="E2507" s="1" t="s">
        <v>3313</v>
      </c>
      <c r="F2507" s="1" t="s">
        <v>5112</v>
      </c>
      <c r="G2507" s="1">
        <v>24038.0</v>
      </c>
      <c r="H2507" s="1">
        <v>123.0</v>
      </c>
      <c r="I2507" s="1" t="s">
        <v>16</v>
      </c>
      <c r="J2507" s="1">
        <v>1.4E7</v>
      </c>
      <c r="K2507" s="1">
        <v>2003.0</v>
      </c>
      <c r="L2507" s="1">
        <v>4.6</v>
      </c>
      <c r="O2507" s="3"/>
      <c r="S2507" s="4"/>
    </row>
    <row r="2508" ht="14.25" customHeight="1">
      <c r="A2508" s="1" t="s">
        <v>583</v>
      </c>
      <c r="B2508" s="1">
        <v>108.0</v>
      </c>
      <c r="C2508" s="1">
        <v>1.548354E7</v>
      </c>
      <c r="D2508" s="1" t="s">
        <v>5113</v>
      </c>
      <c r="E2508" s="1" t="s">
        <v>42</v>
      </c>
      <c r="F2508" s="1" t="s">
        <v>5114</v>
      </c>
      <c r="G2508" s="1">
        <v>56338.0</v>
      </c>
      <c r="H2508" s="1">
        <v>215.0</v>
      </c>
      <c r="I2508" s="1" t="s">
        <v>16</v>
      </c>
      <c r="J2508" s="1">
        <v>1.4E7</v>
      </c>
      <c r="K2508" s="1">
        <v>2009.0</v>
      </c>
      <c r="L2508" s="1">
        <v>6.5</v>
      </c>
      <c r="O2508" s="3"/>
      <c r="S2508" s="4"/>
    </row>
    <row r="2509" ht="14.25" customHeight="1">
      <c r="A2509" s="1" t="s">
        <v>5115</v>
      </c>
      <c r="B2509" s="1">
        <v>103.0</v>
      </c>
      <c r="C2509" s="1">
        <v>2.0246959E7</v>
      </c>
      <c r="D2509" s="1" t="s">
        <v>699</v>
      </c>
      <c r="E2509" s="1" t="s">
        <v>5116</v>
      </c>
      <c r="F2509" s="1" t="s">
        <v>5117</v>
      </c>
      <c r="G2509" s="1">
        <v>5721.0</v>
      </c>
      <c r="H2509" s="1">
        <v>20.0</v>
      </c>
      <c r="I2509" s="1" t="s">
        <v>16</v>
      </c>
      <c r="J2509" s="1">
        <v>1.4E7</v>
      </c>
      <c r="K2509" s="1">
        <v>2010.0</v>
      </c>
      <c r="L2509" s="1">
        <v>4.9</v>
      </c>
      <c r="O2509" s="3"/>
      <c r="S2509" s="4"/>
    </row>
    <row r="2510" ht="14.25" customHeight="1">
      <c r="A2510" s="1" t="s">
        <v>5118</v>
      </c>
      <c r="B2510" s="1">
        <v>96.0</v>
      </c>
      <c r="C2510" s="1">
        <v>1.5062898E7</v>
      </c>
      <c r="D2510" s="1" t="s">
        <v>828</v>
      </c>
      <c r="E2510" s="1" t="s">
        <v>1865</v>
      </c>
      <c r="F2510" s="1" t="s">
        <v>5119</v>
      </c>
      <c r="G2510" s="1">
        <v>11729.0</v>
      </c>
      <c r="H2510" s="1">
        <v>106.0</v>
      </c>
      <c r="I2510" s="1" t="s">
        <v>16</v>
      </c>
      <c r="J2510" s="1">
        <v>1.4E7</v>
      </c>
      <c r="K2510" s="1">
        <v>1998.0</v>
      </c>
      <c r="L2510" s="1">
        <v>6.0</v>
      </c>
      <c r="O2510" s="3"/>
      <c r="S2510" s="4"/>
    </row>
    <row r="2511" ht="14.25" customHeight="1">
      <c r="A2511" s="1" t="s">
        <v>5120</v>
      </c>
      <c r="B2511" s="1">
        <v>117.0</v>
      </c>
      <c r="C2511" s="1">
        <v>1.4348123E7</v>
      </c>
      <c r="D2511" s="1" t="s">
        <v>5121</v>
      </c>
      <c r="E2511" s="1" t="s">
        <v>5122</v>
      </c>
      <c r="F2511" s="1" t="s">
        <v>5123</v>
      </c>
      <c r="G2511" s="1">
        <v>9323.0</v>
      </c>
      <c r="H2511" s="1">
        <v>157.0</v>
      </c>
      <c r="I2511" s="1" t="s">
        <v>16</v>
      </c>
      <c r="J2511" s="1">
        <v>1.2E7</v>
      </c>
      <c r="K2511" s="1">
        <v>1999.0</v>
      </c>
      <c r="L2511" s="1">
        <v>6.9</v>
      </c>
      <c r="O2511" s="3"/>
      <c r="S2511" s="4"/>
    </row>
    <row r="2512" ht="14.25" customHeight="1">
      <c r="A2512" s="1" t="s">
        <v>5124</v>
      </c>
      <c r="B2512" s="1">
        <v>93.0</v>
      </c>
      <c r="C2512" s="1">
        <v>1.5171475E7</v>
      </c>
      <c r="D2512" s="1" t="s">
        <v>2945</v>
      </c>
      <c r="E2512" s="1" t="s">
        <v>134</v>
      </c>
      <c r="F2512" s="1" t="s">
        <v>5125</v>
      </c>
      <c r="G2512" s="1">
        <v>19805.0</v>
      </c>
      <c r="H2512" s="1">
        <v>122.0</v>
      </c>
      <c r="I2512" s="1" t="s">
        <v>16</v>
      </c>
      <c r="J2512" s="1">
        <v>8500000.0</v>
      </c>
      <c r="K2512" s="1">
        <v>1996.0</v>
      </c>
      <c r="L2512" s="1">
        <v>5.7</v>
      </c>
      <c r="O2512" s="3"/>
      <c r="S2512" s="4"/>
    </row>
    <row r="2513" ht="14.25" customHeight="1">
      <c r="A2513" s="1" t="s">
        <v>2048</v>
      </c>
      <c r="B2513" s="1">
        <v>115.0</v>
      </c>
      <c r="C2513" s="1">
        <v>1.364E7</v>
      </c>
      <c r="D2513" s="1" t="s">
        <v>1059</v>
      </c>
      <c r="E2513" s="1" t="s">
        <v>518</v>
      </c>
      <c r="F2513" s="1" t="s">
        <v>5126</v>
      </c>
      <c r="G2513" s="1">
        <v>6011.0</v>
      </c>
      <c r="H2513" s="1">
        <v>39.0</v>
      </c>
      <c r="I2513" s="1" t="s">
        <v>16</v>
      </c>
      <c r="J2513" s="1">
        <v>1.4E7</v>
      </c>
      <c r="K2513" s="1">
        <v>1994.0</v>
      </c>
      <c r="L2513" s="1">
        <v>6.9</v>
      </c>
      <c r="O2513" s="3"/>
      <c r="S2513" s="4"/>
    </row>
    <row r="2514" ht="14.25" customHeight="1">
      <c r="A2514" s="1" t="s">
        <v>5127</v>
      </c>
      <c r="B2514" s="1">
        <v>85.0</v>
      </c>
      <c r="C2514" s="1">
        <v>1.2610731E7</v>
      </c>
      <c r="D2514" s="1" t="s">
        <v>934</v>
      </c>
      <c r="E2514" s="1" t="s">
        <v>5128</v>
      </c>
      <c r="F2514" s="1" t="s">
        <v>5129</v>
      </c>
      <c r="G2514" s="1">
        <v>38985.0</v>
      </c>
      <c r="H2514" s="1">
        <v>673.0</v>
      </c>
      <c r="I2514" s="1" t="s">
        <v>16</v>
      </c>
      <c r="J2514" s="1">
        <v>1.1E7</v>
      </c>
      <c r="K2514" s="1">
        <v>2001.0</v>
      </c>
      <c r="L2514" s="1">
        <v>4.4</v>
      </c>
      <c r="O2514" s="3"/>
      <c r="S2514" s="4"/>
    </row>
    <row r="2515" ht="14.25" customHeight="1">
      <c r="A2515" s="1" t="s">
        <v>5130</v>
      </c>
      <c r="B2515" s="1">
        <v>112.0</v>
      </c>
      <c r="C2515" s="1">
        <v>1.1204499E7</v>
      </c>
      <c r="D2515" s="1" t="s">
        <v>2596</v>
      </c>
      <c r="E2515" s="1" t="s">
        <v>326</v>
      </c>
      <c r="F2515" s="1" t="s">
        <v>5131</v>
      </c>
      <c r="G2515" s="1">
        <v>38142.0</v>
      </c>
      <c r="H2515" s="1">
        <v>270.0</v>
      </c>
      <c r="I2515" s="1" t="s">
        <v>16</v>
      </c>
      <c r="J2515" s="1">
        <v>1.4E7</v>
      </c>
      <c r="K2515" s="1">
        <v>2006.0</v>
      </c>
      <c r="L2515" s="1">
        <v>7.0</v>
      </c>
      <c r="O2515" s="3"/>
      <c r="S2515" s="4"/>
    </row>
    <row r="2516" ht="14.25" customHeight="1">
      <c r="A2516" s="1" t="s">
        <v>863</v>
      </c>
      <c r="B2516" s="1">
        <v>86.0</v>
      </c>
      <c r="C2516" s="1">
        <v>1.0397365E7</v>
      </c>
      <c r="D2516" s="1" t="s">
        <v>5132</v>
      </c>
      <c r="E2516" s="1" t="s">
        <v>5133</v>
      </c>
      <c r="F2516" s="1" t="s">
        <v>5134</v>
      </c>
      <c r="G2516" s="1">
        <v>11693.0</v>
      </c>
      <c r="H2516" s="1">
        <v>104.0</v>
      </c>
      <c r="I2516" s="1" t="s">
        <v>16</v>
      </c>
      <c r="J2516" s="1">
        <v>1.4E7</v>
      </c>
      <c r="K2516" s="1">
        <v>2001.0</v>
      </c>
      <c r="L2516" s="1">
        <v>5.4</v>
      </c>
      <c r="O2516" s="3"/>
      <c r="S2516" s="4"/>
    </row>
    <row r="2517" ht="14.25" customHeight="1">
      <c r="A2517" s="1" t="s">
        <v>5135</v>
      </c>
      <c r="B2517" s="1">
        <v>86.0</v>
      </c>
      <c r="C2517" s="1">
        <v>9402410.0</v>
      </c>
      <c r="D2517" s="1" t="s">
        <v>1720</v>
      </c>
      <c r="E2517" s="1" t="s">
        <v>5136</v>
      </c>
      <c r="F2517" s="1" t="s">
        <v>5137</v>
      </c>
      <c r="G2517" s="1">
        <v>11233.0</v>
      </c>
      <c r="H2517" s="1">
        <v>32.0</v>
      </c>
      <c r="I2517" s="1" t="s">
        <v>16</v>
      </c>
      <c r="J2517" s="1">
        <v>1.4E7</v>
      </c>
      <c r="K2517" s="1">
        <v>2012.0</v>
      </c>
      <c r="L2517" s="1">
        <v>5.4</v>
      </c>
      <c r="O2517" s="3"/>
      <c r="S2517" s="4"/>
    </row>
    <row r="2518" ht="14.25" customHeight="1">
      <c r="A2518" s="1" t="s">
        <v>5138</v>
      </c>
      <c r="B2518" s="1">
        <v>137.0</v>
      </c>
      <c r="C2518" s="1">
        <v>5459824.0</v>
      </c>
      <c r="D2518" s="1" t="s">
        <v>92</v>
      </c>
      <c r="E2518" s="1" t="s">
        <v>644</v>
      </c>
      <c r="F2518" s="1" t="s">
        <v>5139</v>
      </c>
      <c r="G2518" s="1">
        <v>92781.0</v>
      </c>
      <c r="H2518" s="1">
        <v>320.0</v>
      </c>
      <c r="I2518" s="1" t="s">
        <v>16</v>
      </c>
      <c r="J2518" s="1">
        <v>2.6E7</v>
      </c>
      <c r="K2518" s="1">
        <v>2006.0</v>
      </c>
      <c r="L2518" s="1">
        <v>7.6</v>
      </c>
      <c r="O2518" s="3"/>
      <c r="S2518" s="4"/>
    </row>
    <row r="2519" ht="14.25" customHeight="1">
      <c r="A2519" s="1" t="s">
        <v>5140</v>
      </c>
      <c r="B2519" s="1">
        <v>90.0</v>
      </c>
      <c r="C2519" s="1">
        <v>5108820.0</v>
      </c>
      <c r="D2519" s="1" t="s">
        <v>806</v>
      </c>
      <c r="E2519" s="1" t="s">
        <v>1953</v>
      </c>
      <c r="F2519" s="1" t="s">
        <v>5141</v>
      </c>
      <c r="G2519" s="1">
        <v>12519.0</v>
      </c>
      <c r="H2519" s="1">
        <v>112.0</v>
      </c>
      <c r="I2519" s="1" t="s">
        <v>16</v>
      </c>
      <c r="J2519" s="1">
        <v>2.4E7</v>
      </c>
      <c r="K2519" s="1">
        <v>2000.0</v>
      </c>
      <c r="L2519" s="1">
        <v>5.9</v>
      </c>
      <c r="O2519" s="3"/>
      <c r="S2519" s="4"/>
    </row>
    <row r="2520" ht="14.25" customHeight="1">
      <c r="A2520" s="1" t="s">
        <v>3968</v>
      </c>
      <c r="B2520" s="1">
        <v>107.0</v>
      </c>
      <c r="C2520" s="1">
        <v>4741987.0</v>
      </c>
      <c r="D2520" s="1" t="s">
        <v>1391</v>
      </c>
      <c r="E2520" s="1" t="s">
        <v>2098</v>
      </c>
      <c r="F2520" s="1" t="s">
        <v>5142</v>
      </c>
      <c r="G2520" s="1">
        <v>6782.0</v>
      </c>
      <c r="H2520" s="1">
        <v>114.0</v>
      </c>
      <c r="I2520" s="1" t="s">
        <v>16</v>
      </c>
      <c r="J2520" s="1">
        <v>1.4E7</v>
      </c>
      <c r="K2520" s="1">
        <v>1999.0</v>
      </c>
      <c r="L2520" s="1">
        <v>6.6</v>
      </c>
      <c r="O2520" s="3"/>
      <c r="S2520" s="4"/>
    </row>
    <row r="2521" ht="14.25" customHeight="1">
      <c r="A2521" s="1" t="s">
        <v>502</v>
      </c>
      <c r="B2521" s="1">
        <v>98.0</v>
      </c>
      <c r="C2521" s="1">
        <v>4291965.0</v>
      </c>
      <c r="D2521" s="1" t="s">
        <v>2369</v>
      </c>
      <c r="E2521" s="1" t="s">
        <v>5143</v>
      </c>
      <c r="F2521" s="1" t="s">
        <v>5144</v>
      </c>
      <c r="G2521" s="1">
        <v>9334.0</v>
      </c>
      <c r="H2521" s="1">
        <v>59.0</v>
      </c>
      <c r="I2521" s="1" t="s">
        <v>16</v>
      </c>
      <c r="J2521" s="1">
        <v>1.4E7</v>
      </c>
      <c r="K2521" s="1">
        <v>2006.0</v>
      </c>
      <c r="L2521" s="1">
        <v>6.7</v>
      </c>
      <c r="O2521" s="3"/>
      <c r="S2521" s="4"/>
    </row>
    <row r="2522" ht="14.25" customHeight="1">
      <c r="A2522" s="1" t="s">
        <v>5145</v>
      </c>
      <c r="B2522" s="1">
        <v>84.0</v>
      </c>
      <c r="C2522" s="1">
        <v>3100650.0</v>
      </c>
      <c r="D2522" s="1" t="s">
        <v>2439</v>
      </c>
      <c r="E2522" s="1" t="s">
        <v>5146</v>
      </c>
      <c r="F2522" s="1" t="s">
        <v>5147</v>
      </c>
      <c r="G2522" s="1">
        <v>7277.0</v>
      </c>
      <c r="H2522" s="1">
        <v>181.0</v>
      </c>
      <c r="I2522" s="1" t="s">
        <v>16</v>
      </c>
      <c r="J2522" s="1">
        <v>1.4E7</v>
      </c>
      <c r="K2522" s="1">
        <v>2001.0</v>
      </c>
      <c r="L2522" s="1">
        <v>3.9</v>
      </c>
      <c r="O2522" s="3"/>
      <c r="S2522" s="4"/>
    </row>
    <row r="2523" ht="14.25" customHeight="1">
      <c r="A2523" s="1" t="s">
        <v>4809</v>
      </c>
      <c r="B2523" s="1">
        <v>139.0</v>
      </c>
      <c r="C2523" s="1">
        <v>2474000.0</v>
      </c>
      <c r="D2523" s="1" t="s">
        <v>2432</v>
      </c>
      <c r="E2523" s="1" t="s">
        <v>5148</v>
      </c>
      <c r="F2523" s="1" t="s">
        <v>5149</v>
      </c>
      <c r="G2523" s="1">
        <v>2427.0</v>
      </c>
      <c r="H2523" s="1">
        <v>27.0</v>
      </c>
      <c r="I2523" s="1" t="s">
        <v>16</v>
      </c>
      <c r="J2523" s="1">
        <v>1.4E7</v>
      </c>
      <c r="K2523" s="1">
        <v>1995.0</v>
      </c>
      <c r="L2523" s="1">
        <v>5.7</v>
      </c>
      <c r="O2523" s="3"/>
      <c r="S2523" s="4"/>
    </row>
    <row r="2524" ht="14.25" customHeight="1">
      <c r="A2524" s="1" t="s">
        <v>5150</v>
      </c>
      <c r="B2524" s="1">
        <v>127.0</v>
      </c>
      <c r="C2524" s="1">
        <v>1000000.0</v>
      </c>
      <c r="D2524" s="1" t="s">
        <v>546</v>
      </c>
      <c r="E2524" s="1" t="s">
        <v>87</v>
      </c>
      <c r="F2524" s="1" t="s">
        <v>5151</v>
      </c>
      <c r="G2524" s="1">
        <v>524.0</v>
      </c>
      <c r="H2524" s="1">
        <v>8.0</v>
      </c>
      <c r="I2524" s="1" t="s">
        <v>16</v>
      </c>
      <c r="J2524" s="1">
        <v>1.4E7</v>
      </c>
      <c r="K2524" s="1">
        <v>1978.0</v>
      </c>
      <c r="L2524" s="1">
        <v>6.5</v>
      </c>
      <c r="O2524" s="3"/>
      <c r="S2524" s="4"/>
    </row>
    <row r="2525" ht="14.25" customHeight="1">
      <c r="A2525" s="1" t="s">
        <v>4377</v>
      </c>
      <c r="B2525" s="1">
        <v>150.0</v>
      </c>
      <c r="C2525" s="1">
        <v>3958500.0</v>
      </c>
      <c r="D2525" s="1" t="s">
        <v>2369</v>
      </c>
      <c r="E2525" s="1" t="s">
        <v>5152</v>
      </c>
      <c r="F2525" s="1" t="s">
        <v>5153</v>
      </c>
      <c r="G2525" s="1">
        <v>17933.0</v>
      </c>
      <c r="H2525" s="1">
        <v>165.0</v>
      </c>
      <c r="I2525" s="1" t="s">
        <v>16</v>
      </c>
      <c r="J2525" s="1">
        <v>8200000.0</v>
      </c>
      <c r="K2525" s="1">
        <v>2014.0</v>
      </c>
      <c r="L2525" s="1">
        <v>6.8</v>
      </c>
      <c r="O2525" s="3"/>
      <c r="S2525" s="4"/>
    </row>
    <row r="2526" ht="14.25" customHeight="1">
      <c r="A2526" s="1" t="s">
        <v>2181</v>
      </c>
      <c r="B2526" s="1">
        <v>132.0</v>
      </c>
      <c r="C2526" s="1">
        <v>274299.0</v>
      </c>
      <c r="D2526" s="1" t="s">
        <v>5154</v>
      </c>
      <c r="E2526" s="1" t="s">
        <v>5155</v>
      </c>
      <c r="F2526" s="1" t="s">
        <v>5156</v>
      </c>
      <c r="G2526" s="1">
        <v>11077.0</v>
      </c>
      <c r="H2526" s="1">
        <v>55.0</v>
      </c>
      <c r="I2526" s="1" t="s">
        <v>16</v>
      </c>
      <c r="J2526" s="1">
        <v>1.03E8</v>
      </c>
      <c r="K2526" s="1">
        <v>2002.0</v>
      </c>
      <c r="L2526" s="1">
        <v>7.3</v>
      </c>
      <c r="O2526" s="3"/>
      <c r="S2526" s="4"/>
    </row>
    <row r="2527" ht="14.25" customHeight="1">
      <c r="A2527" s="1" t="s">
        <v>1006</v>
      </c>
      <c r="B2527" s="1">
        <v>115.0</v>
      </c>
      <c r="C2527" s="1">
        <v>183088.0</v>
      </c>
      <c r="D2527" s="1" t="s">
        <v>5121</v>
      </c>
      <c r="E2527" s="1" t="s">
        <v>5157</v>
      </c>
      <c r="F2527" s="1" t="s">
        <v>5158</v>
      </c>
      <c r="G2527" s="1">
        <v>11704.0</v>
      </c>
      <c r="H2527" s="1">
        <v>36.0</v>
      </c>
      <c r="I2527" s="1" t="s">
        <v>16</v>
      </c>
      <c r="J2527" s="1">
        <v>1.5E7</v>
      </c>
      <c r="K2527" s="1">
        <v>2008.0</v>
      </c>
      <c r="L2527" s="1">
        <v>7.0</v>
      </c>
      <c r="O2527" s="3"/>
      <c r="S2527" s="4"/>
    </row>
    <row r="2528" ht="14.25" customHeight="1">
      <c r="A2528" s="1" t="s">
        <v>5159</v>
      </c>
      <c r="B2528" s="1">
        <v>186.0</v>
      </c>
      <c r="C2528" s="1">
        <v>46495.0</v>
      </c>
      <c r="D2528" s="1" t="s">
        <v>1391</v>
      </c>
      <c r="E2528" s="1" t="s">
        <v>486</v>
      </c>
      <c r="F2528" s="1" t="s">
        <v>5160</v>
      </c>
      <c r="G2528" s="1">
        <v>12053.0</v>
      </c>
      <c r="H2528" s="1">
        <v>119.0</v>
      </c>
      <c r="I2528" s="1" t="s">
        <v>16</v>
      </c>
      <c r="J2528" s="1">
        <v>1.4E7</v>
      </c>
      <c r="K2528" s="1">
        <v>2011.0</v>
      </c>
      <c r="L2528" s="1">
        <v>6.5</v>
      </c>
      <c r="O2528" s="3"/>
      <c r="S2528" s="4"/>
    </row>
    <row r="2529" ht="14.25" customHeight="1">
      <c r="A2529" s="1" t="s">
        <v>1580</v>
      </c>
      <c r="B2529" s="1">
        <v>90.0</v>
      </c>
      <c r="C2529" s="1">
        <v>1752214.0</v>
      </c>
      <c r="D2529" s="1" t="s">
        <v>593</v>
      </c>
      <c r="E2529" s="1" t="s">
        <v>1893</v>
      </c>
      <c r="F2529" s="1" t="s">
        <v>5161</v>
      </c>
      <c r="G2529" s="1">
        <v>60460.0</v>
      </c>
      <c r="H2529" s="1">
        <v>104.0</v>
      </c>
      <c r="I2529" s="1" t="s">
        <v>16</v>
      </c>
      <c r="J2529" s="1">
        <v>1.4E7</v>
      </c>
      <c r="K2529" s="1">
        <v>2010.0</v>
      </c>
      <c r="L2529" s="1">
        <v>7.7</v>
      </c>
      <c r="O2529" s="3"/>
      <c r="S2529" s="4"/>
    </row>
    <row r="2530" ht="14.25" customHeight="1">
      <c r="A2530" s="1" t="s">
        <v>448</v>
      </c>
      <c r="B2530" s="1">
        <v>134.0</v>
      </c>
      <c r="C2530" s="1">
        <v>8.3025853E7</v>
      </c>
      <c r="D2530" s="1" t="s">
        <v>92</v>
      </c>
      <c r="E2530" s="1" t="s">
        <v>162</v>
      </c>
      <c r="F2530" s="1" t="s">
        <v>5162</v>
      </c>
      <c r="G2530" s="1">
        <v>259837.0</v>
      </c>
      <c r="H2530" s="1">
        <v>2254.0</v>
      </c>
      <c r="I2530" s="1" t="s">
        <v>16</v>
      </c>
      <c r="J2530" s="1">
        <v>1.4E7</v>
      </c>
      <c r="K2530" s="1">
        <v>2005.0</v>
      </c>
      <c r="L2530" s="1">
        <v>7.7</v>
      </c>
      <c r="O2530" s="3"/>
      <c r="S2530" s="4"/>
    </row>
    <row r="2531" ht="14.25" customHeight="1">
      <c r="A2531" s="1" t="s">
        <v>373</v>
      </c>
      <c r="B2531" s="1">
        <v>101.0</v>
      </c>
      <c r="C2531" s="1">
        <v>1.9087124E8</v>
      </c>
      <c r="D2531" s="1" t="s">
        <v>219</v>
      </c>
      <c r="E2531" s="1" t="s">
        <v>615</v>
      </c>
      <c r="F2531" s="1" t="s">
        <v>616</v>
      </c>
      <c r="G2531" s="1">
        <v>167089.0</v>
      </c>
      <c r="H2531" s="1">
        <v>491.0</v>
      </c>
      <c r="I2531" s="1" t="s">
        <v>16</v>
      </c>
      <c r="J2531" s="1">
        <v>1.25E8</v>
      </c>
      <c r="K2531" s="1">
        <v>2014.0</v>
      </c>
      <c r="L2531" s="1">
        <v>5.9</v>
      </c>
      <c r="O2531" s="3"/>
      <c r="S2531" s="4"/>
    </row>
    <row r="2532" ht="14.25" customHeight="1">
      <c r="A2532" s="1" t="s">
        <v>4308</v>
      </c>
      <c r="B2532" s="1">
        <v>97.0</v>
      </c>
      <c r="C2532" s="1">
        <v>5.6631572E7</v>
      </c>
      <c r="D2532" s="1" t="s">
        <v>699</v>
      </c>
      <c r="E2532" s="1" t="s">
        <v>3882</v>
      </c>
      <c r="F2532" s="1" t="s">
        <v>5163</v>
      </c>
      <c r="G2532" s="1">
        <v>123390.0</v>
      </c>
      <c r="H2532" s="1">
        <v>248.0</v>
      </c>
      <c r="I2532" s="1" t="s">
        <v>16</v>
      </c>
      <c r="J2532" s="1">
        <v>1.2E7</v>
      </c>
      <c r="K2532" s="1">
        <v>1995.0</v>
      </c>
      <c r="L2532" s="1">
        <v>6.8</v>
      </c>
      <c r="O2532" s="3"/>
      <c r="S2532" s="4"/>
    </row>
    <row r="2533" ht="14.25" customHeight="1">
      <c r="A2533" s="1" t="s">
        <v>4397</v>
      </c>
      <c r="B2533" s="1">
        <v>107.0</v>
      </c>
      <c r="C2533" s="1">
        <v>1.5854988E7</v>
      </c>
      <c r="D2533" s="1" t="s">
        <v>92</v>
      </c>
      <c r="E2533" s="1" t="s">
        <v>870</v>
      </c>
      <c r="F2533" s="1" t="s">
        <v>5164</v>
      </c>
      <c r="G2533" s="1">
        <v>36542.0</v>
      </c>
      <c r="H2533" s="1">
        <v>378.0</v>
      </c>
      <c r="I2533" s="1" t="s">
        <v>16</v>
      </c>
      <c r="J2533" s="1">
        <v>1.35E7</v>
      </c>
      <c r="K2533" s="1">
        <v>2002.0</v>
      </c>
      <c r="L2533" s="1">
        <v>7.4</v>
      </c>
      <c r="O2533" s="3"/>
      <c r="S2533" s="4"/>
    </row>
    <row r="2534" ht="14.25" customHeight="1">
      <c r="A2534" s="1" t="s">
        <v>2856</v>
      </c>
      <c r="B2534" s="1">
        <v>99.0</v>
      </c>
      <c r="C2534" s="1">
        <v>1.2282677E7</v>
      </c>
      <c r="D2534" s="1" t="s">
        <v>2203</v>
      </c>
      <c r="E2534" s="1" t="s">
        <v>896</v>
      </c>
      <c r="F2534" s="1" t="s">
        <v>5165</v>
      </c>
      <c r="G2534" s="1">
        <v>28159.0</v>
      </c>
      <c r="H2534" s="1">
        <v>96.0</v>
      </c>
      <c r="I2534" s="1" t="s">
        <v>16</v>
      </c>
      <c r="J2534" s="1">
        <v>1.4E7</v>
      </c>
      <c r="K2534" s="1">
        <v>2015.0</v>
      </c>
      <c r="L2534" s="1">
        <v>5.1</v>
      </c>
      <c r="O2534" s="3"/>
      <c r="S2534" s="4"/>
    </row>
    <row r="2535" ht="14.25" customHeight="1">
      <c r="A2535" s="1" t="s">
        <v>3575</v>
      </c>
      <c r="B2535" s="1">
        <v>124.0</v>
      </c>
      <c r="C2535" s="1">
        <v>7060876.0</v>
      </c>
      <c r="D2535" s="1" t="s">
        <v>646</v>
      </c>
      <c r="E2535" s="1" t="s">
        <v>644</v>
      </c>
      <c r="F2535" s="1" t="s">
        <v>5166</v>
      </c>
      <c r="G2535" s="1">
        <v>44795.0</v>
      </c>
      <c r="H2535" s="1">
        <v>314.0</v>
      </c>
      <c r="I2535" s="1" t="s">
        <v>16</v>
      </c>
      <c r="J2535" s="1">
        <v>1.35E7</v>
      </c>
      <c r="K2535" s="1">
        <v>2000.0</v>
      </c>
      <c r="L2535" s="1">
        <v>7.4</v>
      </c>
      <c r="O2535" s="3"/>
      <c r="S2535" s="4"/>
    </row>
    <row r="2536" ht="14.25" customHeight="1">
      <c r="A2536" s="1" t="s">
        <v>5008</v>
      </c>
      <c r="B2536" s="1">
        <v>110.0</v>
      </c>
      <c r="C2536" s="1">
        <v>1.4989761E7</v>
      </c>
      <c r="D2536" s="1" t="s">
        <v>427</v>
      </c>
      <c r="E2536" s="1" t="s">
        <v>773</v>
      </c>
      <c r="F2536" s="1" t="s">
        <v>5167</v>
      </c>
      <c r="G2536" s="1">
        <v>185845.0</v>
      </c>
      <c r="H2536" s="1">
        <v>284.0</v>
      </c>
      <c r="I2536" s="1" t="s">
        <v>16</v>
      </c>
      <c r="J2536" s="1">
        <v>1.5E7</v>
      </c>
      <c r="K2536" s="1">
        <v>2012.0</v>
      </c>
      <c r="L2536" s="1">
        <v>7.2</v>
      </c>
      <c r="O2536" s="3"/>
      <c r="S2536" s="4"/>
    </row>
    <row r="2537" ht="14.25" customHeight="1">
      <c r="A2537" s="1" t="s">
        <v>1209</v>
      </c>
      <c r="B2537" s="1">
        <v>178.0</v>
      </c>
      <c r="C2537" s="1">
        <v>5501940.0</v>
      </c>
      <c r="D2537" s="1" t="s">
        <v>1323</v>
      </c>
      <c r="E2537" s="1" t="s">
        <v>5036</v>
      </c>
      <c r="F2537" s="1" t="s">
        <v>5168</v>
      </c>
      <c r="G2537" s="1">
        <v>248354.0</v>
      </c>
      <c r="H2537" s="1">
        <v>564.0</v>
      </c>
      <c r="I2537" s="1" t="s">
        <v>4449</v>
      </c>
      <c r="J2537" s="1">
        <v>1.35E7</v>
      </c>
      <c r="K2537" s="1">
        <v>2004.0</v>
      </c>
      <c r="L2537" s="1">
        <v>8.3</v>
      </c>
      <c r="O2537" s="3"/>
      <c r="S2537" s="4"/>
    </row>
    <row r="2538" ht="14.25" customHeight="1">
      <c r="A2538" s="1" t="s">
        <v>1456</v>
      </c>
      <c r="B2538" s="1">
        <v>125.0</v>
      </c>
      <c r="C2538" s="1">
        <v>2086345.0</v>
      </c>
      <c r="D2538" s="1" t="s">
        <v>2521</v>
      </c>
      <c r="E2538" s="1" t="s">
        <v>5169</v>
      </c>
      <c r="F2538" s="1" t="s">
        <v>5170</v>
      </c>
      <c r="G2538" s="1">
        <v>64556.0</v>
      </c>
      <c r="H2538" s="1">
        <v>140.0</v>
      </c>
      <c r="I2538" s="1" t="s">
        <v>1144</v>
      </c>
      <c r="J2538" s="1">
        <v>1.0E7</v>
      </c>
      <c r="K2538" s="1">
        <v>2004.0</v>
      </c>
      <c r="L2538" s="1">
        <v>8.1</v>
      </c>
      <c r="O2538" s="3"/>
      <c r="S2538" s="4"/>
    </row>
    <row r="2539" ht="14.25" customHeight="1">
      <c r="A2539" s="1" t="s">
        <v>1274</v>
      </c>
      <c r="B2539" s="1">
        <v>121.0</v>
      </c>
      <c r="C2539" s="1">
        <v>1.2392237E8</v>
      </c>
      <c r="D2539" s="1" t="s">
        <v>5171</v>
      </c>
      <c r="E2539" s="1" t="s">
        <v>346</v>
      </c>
      <c r="F2539" s="1" t="s">
        <v>5172</v>
      </c>
      <c r="G2539" s="1">
        <v>98348.0</v>
      </c>
      <c r="H2539" s="1">
        <v>131.0</v>
      </c>
      <c r="I2539" s="1" t="s">
        <v>16</v>
      </c>
      <c r="J2539" s="1">
        <v>1.3E7</v>
      </c>
      <c r="K2539" s="1">
        <v>1987.0</v>
      </c>
      <c r="L2539" s="1">
        <v>7.3</v>
      </c>
      <c r="O2539" s="3"/>
      <c r="S2539" s="4"/>
    </row>
    <row r="2540" ht="14.25" customHeight="1">
      <c r="A2540" s="1" t="s">
        <v>3164</v>
      </c>
      <c r="B2540" s="1">
        <v>100.0</v>
      </c>
      <c r="C2540" s="1">
        <v>163591.0</v>
      </c>
      <c r="D2540" s="1" t="s">
        <v>828</v>
      </c>
      <c r="E2540" s="1" t="s">
        <v>5173</v>
      </c>
      <c r="F2540" s="1" t="s">
        <v>5174</v>
      </c>
      <c r="G2540" s="1">
        <v>912.0</v>
      </c>
      <c r="H2540" s="1">
        <v>17.0</v>
      </c>
      <c r="I2540" s="1" t="s">
        <v>16</v>
      </c>
      <c r="J2540" s="1">
        <v>1.34E7</v>
      </c>
      <c r="K2540" s="1">
        <v>2010.0</v>
      </c>
      <c r="L2540" s="1">
        <v>3.6</v>
      </c>
      <c r="O2540" s="3"/>
      <c r="S2540" s="4"/>
    </row>
    <row r="2541" ht="14.25" customHeight="1">
      <c r="A2541" s="1" t="s">
        <v>451</v>
      </c>
      <c r="B2541" s="1">
        <v>115.0</v>
      </c>
      <c r="C2541" s="1">
        <v>7.3000942E7</v>
      </c>
      <c r="D2541" s="1" t="s">
        <v>1651</v>
      </c>
      <c r="E2541" s="1" t="s">
        <v>5175</v>
      </c>
      <c r="F2541" s="1" t="s">
        <v>5176</v>
      </c>
      <c r="G2541" s="1">
        <v>74351.0</v>
      </c>
      <c r="H2541" s="1">
        <v>233.0</v>
      </c>
      <c r="I2541" s="1" t="s">
        <v>16</v>
      </c>
      <c r="J2541" s="1">
        <v>1.3E7</v>
      </c>
      <c r="K2541" s="1">
        <v>2011.0</v>
      </c>
      <c r="L2541" s="1">
        <v>1.6</v>
      </c>
      <c r="O2541" s="3"/>
      <c r="S2541" s="4"/>
    </row>
    <row r="2542" ht="14.25" customHeight="1">
      <c r="A2542" s="1" t="s">
        <v>505</v>
      </c>
      <c r="B2542" s="1">
        <v>108.0</v>
      </c>
      <c r="C2542" s="1">
        <v>1.06952327E8</v>
      </c>
      <c r="D2542" s="1" t="s">
        <v>1654</v>
      </c>
      <c r="E2542" s="1" t="s">
        <v>603</v>
      </c>
      <c r="F2542" s="1" t="s">
        <v>5177</v>
      </c>
      <c r="G2542" s="1">
        <v>551363.0</v>
      </c>
      <c r="H2542" s="1">
        <v>1140.0</v>
      </c>
      <c r="I2542" s="1" t="s">
        <v>16</v>
      </c>
      <c r="J2542" s="1">
        <v>1.3E7</v>
      </c>
      <c r="K2542" s="1">
        <v>2010.0</v>
      </c>
      <c r="L2542" s="1">
        <v>8.0</v>
      </c>
      <c r="O2542" s="3"/>
      <c r="S2542" s="4"/>
    </row>
    <row r="2543" ht="14.25" customHeight="1">
      <c r="A2543" s="1" t="s">
        <v>586</v>
      </c>
      <c r="B2543" s="1">
        <v>117.0</v>
      </c>
      <c r="C2543" s="1">
        <v>5.8607007E7</v>
      </c>
      <c r="D2543" s="1" t="s">
        <v>587</v>
      </c>
      <c r="E2543" s="1" t="s">
        <v>249</v>
      </c>
      <c r="F2543" s="1" t="s">
        <v>588</v>
      </c>
      <c r="G2543" s="1">
        <v>182910.0</v>
      </c>
      <c r="H2543" s="1">
        <v>630.0</v>
      </c>
      <c r="I2543" s="1" t="s">
        <v>16</v>
      </c>
      <c r="J2543" s="1">
        <v>1.0E8</v>
      </c>
      <c r="K2543" s="1">
        <v>2014.0</v>
      </c>
      <c r="L2543" s="1">
        <v>6.2</v>
      </c>
      <c r="O2543" s="3"/>
      <c r="S2543" s="4"/>
    </row>
    <row r="2544" ht="14.25" customHeight="1">
      <c r="A2544" s="1" t="s">
        <v>1957</v>
      </c>
      <c r="B2544" s="1">
        <v>220.0</v>
      </c>
      <c r="C2544" s="1">
        <v>5.73E7</v>
      </c>
      <c r="D2544" s="1" t="s">
        <v>811</v>
      </c>
      <c r="E2544" s="1" t="s">
        <v>725</v>
      </c>
      <c r="F2544" s="1" t="s">
        <v>5178</v>
      </c>
      <c r="G2544" s="1">
        <v>790926.0</v>
      </c>
      <c r="H2544" s="1">
        <v>650.0</v>
      </c>
      <c r="I2544" s="1" t="s">
        <v>16</v>
      </c>
      <c r="J2544" s="1">
        <v>1.3E7</v>
      </c>
      <c r="K2544" s="1">
        <v>1974.0</v>
      </c>
      <c r="L2544" s="1">
        <v>9.0</v>
      </c>
      <c r="O2544" s="3"/>
      <c r="S2544" s="4"/>
    </row>
    <row r="2545" ht="14.25" customHeight="1">
      <c r="A2545" s="1" t="s">
        <v>2297</v>
      </c>
      <c r="B2545" s="1">
        <v>112.0</v>
      </c>
      <c r="C2545" s="1">
        <v>9.1038276E7</v>
      </c>
      <c r="D2545" s="1" t="s">
        <v>3098</v>
      </c>
      <c r="E2545" s="1" t="s">
        <v>5179</v>
      </c>
      <c r="F2545" s="1" t="s">
        <v>5180</v>
      </c>
      <c r="G2545" s="1">
        <v>47876.0</v>
      </c>
      <c r="H2545" s="1">
        <v>320.0</v>
      </c>
      <c r="I2545" s="1" t="s">
        <v>16</v>
      </c>
      <c r="J2545" s="1">
        <v>1.3E7</v>
      </c>
      <c r="K2545" s="1">
        <v>2001.0</v>
      </c>
      <c r="L2545" s="1">
        <v>6.1</v>
      </c>
      <c r="O2545" s="3"/>
      <c r="S2545" s="4"/>
    </row>
    <row r="2546" ht="14.25" customHeight="1">
      <c r="A2546" s="1" t="s">
        <v>875</v>
      </c>
      <c r="B2546" s="1">
        <v>99.0</v>
      </c>
      <c r="C2546" s="1">
        <v>4.93699E7</v>
      </c>
      <c r="D2546" s="1" t="s">
        <v>3798</v>
      </c>
      <c r="E2546" s="1" t="s">
        <v>5181</v>
      </c>
      <c r="F2546" s="1" t="s">
        <v>5182</v>
      </c>
      <c r="G2546" s="1">
        <v>36108.0</v>
      </c>
      <c r="H2546" s="1">
        <v>260.0</v>
      </c>
      <c r="I2546" s="1" t="s">
        <v>16</v>
      </c>
      <c r="J2546" s="1">
        <v>7000000.0</v>
      </c>
      <c r="K2546" s="1">
        <v>1988.0</v>
      </c>
      <c r="L2546" s="1">
        <v>5.7</v>
      </c>
      <c r="O2546" s="3"/>
      <c r="S2546" s="4"/>
    </row>
    <row r="2547" ht="14.25" customHeight="1">
      <c r="A2547" s="1" t="s">
        <v>3845</v>
      </c>
      <c r="B2547" s="1">
        <v>109.0</v>
      </c>
      <c r="C2547" s="1">
        <v>6.1693523E7</v>
      </c>
      <c r="D2547" s="1" t="s">
        <v>1391</v>
      </c>
      <c r="E2547" s="1" t="s">
        <v>320</v>
      </c>
      <c r="F2547" s="1" t="s">
        <v>5183</v>
      </c>
      <c r="G2547" s="1">
        <v>6276.0</v>
      </c>
      <c r="H2547" s="1">
        <v>55.0</v>
      </c>
      <c r="I2547" s="1" t="s">
        <v>16</v>
      </c>
      <c r="J2547" s="1">
        <v>1.3E7</v>
      </c>
      <c r="K2547" s="1">
        <v>2016.0</v>
      </c>
      <c r="L2547" s="1">
        <v>6.8</v>
      </c>
      <c r="O2547" s="3"/>
      <c r="S2547" s="4"/>
    </row>
    <row r="2548" ht="14.25" customHeight="1">
      <c r="A2548" s="1" t="s">
        <v>5184</v>
      </c>
      <c r="B2548" s="1">
        <v>83.0</v>
      </c>
      <c r="C2548" s="1">
        <v>4.6729374E7</v>
      </c>
      <c r="D2548" s="1" t="s">
        <v>4041</v>
      </c>
      <c r="E2548" s="1" t="s">
        <v>320</v>
      </c>
      <c r="F2548" s="1" t="s">
        <v>5185</v>
      </c>
      <c r="G2548" s="1">
        <v>116625.0</v>
      </c>
      <c r="H2548" s="1">
        <v>469.0</v>
      </c>
      <c r="I2548" s="1" t="s">
        <v>16</v>
      </c>
      <c r="J2548" s="1">
        <v>1.3E7</v>
      </c>
      <c r="K2548" s="1">
        <v>2000.0</v>
      </c>
      <c r="L2548" s="1">
        <v>5.5</v>
      </c>
      <c r="O2548" s="3"/>
      <c r="S2548" s="4"/>
    </row>
    <row r="2549" ht="14.25" customHeight="1">
      <c r="A2549" s="1" t="s">
        <v>5186</v>
      </c>
      <c r="B2549" s="1">
        <v>107.0</v>
      </c>
      <c r="C2549" s="1">
        <v>4.4726644E7</v>
      </c>
      <c r="D2549" s="1" t="s">
        <v>3989</v>
      </c>
      <c r="E2549" s="1" t="s">
        <v>5187</v>
      </c>
      <c r="F2549" s="1" t="s">
        <v>5188</v>
      </c>
      <c r="G2549" s="1">
        <v>42614.0</v>
      </c>
      <c r="H2549" s="1">
        <v>120.0</v>
      </c>
      <c r="I2549" s="1" t="s">
        <v>16</v>
      </c>
      <c r="J2549" s="1">
        <v>1.3E7</v>
      </c>
      <c r="K2549" s="1">
        <v>1988.0</v>
      </c>
      <c r="L2549" s="1">
        <v>6.8</v>
      </c>
      <c r="O2549" s="3"/>
      <c r="S2549" s="4"/>
    </row>
    <row r="2550" ht="14.25" customHeight="1">
      <c r="A2550" s="1" t="s">
        <v>5189</v>
      </c>
      <c r="B2550" s="1">
        <v>102.0</v>
      </c>
      <c r="C2550" s="1">
        <v>4.4134898E7</v>
      </c>
      <c r="D2550" s="1" t="s">
        <v>1059</v>
      </c>
      <c r="E2550" s="1" t="s">
        <v>899</v>
      </c>
      <c r="F2550" s="1" t="s">
        <v>5190</v>
      </c>
      <c r="G2550" s="1">
        <v>72803.0</v>
      </c>
      <c r="H2550" s="1">
        <v>171.0</v>
      </c>
      <c r="I2550" s="1" t="s">
        <v>16</v>
      </c>
      <c r="J2550" s="1">
        <v>1.3E7</v>
      </c>
      <c r="K2550" s="1">
        <v>2014.0</v>
      </c>
      <c r="L2550" s="1">
        <v>7.3</v>
      </c>
      <c r="O2550" s="3"/>
      <c r="S2550" s="4"/>
    </row>
    <row r="2551" ht="14.25" customHeight="1">
      <c r="A2551" s="1" t="s">
        <v>2856</v>
      </c>
      <c r="B2551" s="1">
        <v>100.0</v>
      </c>
      <c r="C2551" s="1">
        <v>4.8637684E7</v>
      </c>
      <c r="D2551" s="1" t="s">
        <v>699</v>
      </c>
      <c r="E2551" s="1" t="s">
        <v>3476</v>
      </c>
      <c r="F2551" s="1" t="s">
        <v>5191</v>
      </c>
      <c r="G2551" s="1">
        <v>16979.0</v>
      </c>
      <c r="H2551" s="1">
        <v>42.0</v>
      </c>
      <c r="I2551" s="1" t="s">
        <v>16</v>
      </c>
      <c r="J2551" s="1">
        <v>1.25E7</v>
      </c>
      <c r="K2551" s="1">
        <v>2014.0</v>
      </c>
      <c r="L2551" s="1">
        <v>6.1</v>
      </c>
      <c r="O2551" s="3"/>
      <c r="S2551" s="4"/>
    </row>
    <row r="2552" ht="14.25" customHeight="1">
      <c r="A2552" s="1" t="s">
        <v>2957</v>
      </c>
      <c r="B2552" s="1">
        <v>97.0</v>
      </c>
      <c r="C2552" s="1">
        <v>3.8176108E7</v>
      </c>
      <c r="D2552" s="1" t="s">
        <v>593</v>
      </c>
      <c r="E2552" s="1" t="s">
        <v>232</v>
      </c>
      <c r="F2552" s="1" t="s">
        <v>5192</v>
      </c>
      <c r="G2552" s="1">
        <v>222099.0</v>
      </c>
      <c r="H2552" s="1">
        <v>549.0</v>
      </c>
      <c r="I2552" s="1" t="s">
        <v>16</v>
      </c>
      <c r="J2552" s="1">
        <v>1.6E7</v>
      </c>
      <c r="K2552" s="1">
        <v>1999.0</v>
      </c>
      <c r="L2552" s="1">
        <v>7.2</v>
      </c>
      <c r="O2552" s="3"/>
      <c r="S2552" s="4"/>
    </row>
    <row r="2553" ht="14.25" customHeight="1">
      <c r="A2553" s="1" t="s">
        <v>5193</v>
      </c>
      <c r="B2553" s="1">
        <v>92.0</v>
      </c>
      <c r="C2553" s="1">
        <v>2.8972187E7</v>
      </c>
      <c r="D2553" s="1" t="s">
        <v>828</v>
      </c>
      <c r="E2553" s="1" t="s">
        <v>1662</v>
      </c>
      <c r="F2553" s="1" t="s">
        <v>5194</v>
      </c>
      <c r="G2553" s="1">
        <v>28805.0</v>
      </c>
      <c r="H2553" s="1">
        <v>159.0</v>
      </c>
      <c r="I2553" s="1" t="s">
        <v>16</v>
      </c>
      <c r="J2553" s="1">
        <v>1.3E7</v>
      </c>
      <c r="K2553" s="1">
        <v>2002.0</v>
      </c>
      <c r="L2553" s="1">
        <v>5.9</v>
      </c>
      <c r="O2553" s="3"/>
      <c r="S2553" s="4"/>
    </row>
    <row r="2554" ht="14.25" customHeight="1">
      <c r="A2554" s="1" t="s">
        <v>5195</v>
      </c>
      <c r="B2554" s="1">
        <v>84.0</v>
      </c>
      <c r="C2554" s="1">
        <v>2.79794E7</v>
      </c>
      <c r="D2554" s="1" t="s">
        <v>728</v>
      </c>
      <c r="E2554" s="1" t="s">
        <v>822</v>
      </c>
      <c r="F2554" s="1" t="s">
        <v>5196</v>
      </c>
      <c r="G2554" s="1">
        <v>37611.0</v>
      </c>
      <c r="H2554" s="1">
        <v>72.0</v>
      </c>
      <c r="I2554" s="1" t="s">
        <v>16</v>
      </c>
      <c r="J2554" s="1">
        <v>8200000.0</v>
      </c>
      <c r="K2554" s="1">
        <v>1993.0</v>
      </c>
      <c r="L2554" s="1">
        <v>6.1</v>
      </c>
      <c r="O2554" s="3"/>
      <c r="S2554" s="4"/>
    </row>
    <row r="2555" ht="14.25" customHeight="1">
      <c r="A2555" s="1" t="s">
        <v>2066</v>
      </c>
      <c r="B2555" s="1">
        <v>86.0</v>
      </c>
      <c r="C2555" s="1">
        <v>5.4257433E7</v>
      </c>
      <c r="D2555" s="1" t="s">
        <v>1790</v>
      </c>
      <c r="E2555" s="1" t="s">
        <v>5197</v>
      </c>
      <c r="F2555" s="1" t="s">
        <v>5198</v>
      </c>
      <c r="G2555" s="1">
        <v>12983.0</v>
      </c>
      <c r="H2555" s="1">
        <v>139.0</v>
      </c>
      <c r="I2555" s="1" t="s">
        <v>16</v>
      </c>
      <c r="J2555" s="1">
        <v>1.7E7</v>
      </c>
      <c r="K2555" s="1">
        <v>2016.0</v>
      </c>
      <c r="L2555" s="1">
        <v>6.8</v>
      </c>
      <c r="O2555" s="3"/>
      <c r="S2555" s="4"/>
    </row>
    <row r="2556" ht="14.25" customHeight="1">
      <c r="A2556" s="1" t="s">
        <v>5199</v>
      </c>
      <c r="B2556" s="1">
        <v>120.0</v>
      </c>
      <c r="C2556" s="1">
        <v>23947.0</v>
      </c>
      <c r="D2556" s="1" t="s">
        <v>1210</v>
      </c>
      <c r="E2556" s="1" t="s">
        <v>878</v>
      </c>
      <c r="F2556" s="1" t="s">
        <v>5200</v>
      </c>
      <c r="G2556" s="1">
        <v>357579.0</v>
      </c>
      <c r="H2556" s="1">
        <v>1100.0</v>
      </c>
      <c r="I2556" s="1" t="s">
        <v>16</v>
      </c>
      <c r="J2556" s="1">
        <v>1.3E7</v>
      </c>
      <c r="K2556" s="1">
        <v>2004.0</v>
      </c>
      <c r="L2556" s="1">
        <v>7.7</v>
      </c>
      <c r="O2556" s="3"/>
      <c r="S2556" s="4"/>
    </row>
    <row r="2557" ht="14.25" customHeight="1">
      <c r="A2557" s="1" t="s">
        <v>4305</v>
      </c>
      <c r="B2557" s="1">
        <v>89.0</v>
      </c>
      <c r="C2557" s="1">
        <v>6.0008303E7</v>
      </c>
      <c r="D2557" s="1" t="s">
        <v>993</v>
      </c>
      <c r="E2557" s="1" t="s">
        <v>5201</v>
      </c>
      <c r="F2557" s="1" t="s">
        <v>5202</v>
      </c>
      <c r="G2557" s="1">
        <v>9285.0</v>
      </c>
      <c r="H2557" s="1">
        <v>91.0</v>
      </c>
      <c r="I2557" s="1" t="s">
        <v>16</v>
      </c>
      <c r="J2557" s="1">
        <v>1.3E7</v>
      </c>
      <c r="K2557" s="1">
        <v>2000.0</v>
      </c>
      <c r="L2557" s="1">
        <v>4.9</v>
      </c>
      <c r="O2557" s="3"/>
      <c r="S2557" s="4"/>
    </row>
    <row r="2558" ht="14.25" customHeight="1">
      <c r="A2558" s="1" t="s">
        <v>5203</v>
      </c>
      <c r="B2558" s="1">
        <v>117.0</v>
      </c>
      <c r="C2558" s="1">
        <v>4.9121934E7</v>
      </c>
      <c r="D2558" s="1" t="s">
        <v>593</v>
      </c>
      <c r="E2558" s="1" t="s">
        <v>2467</v>
      </c>
      <c r="F2558" s="1" t="s">
        <v>5204</v>
      </c>
      <c r="G2558" s="1">
        <v>6528.0</v>
      </c>
      <c r="H2558" s="1">
        <v>32.0</v>
      </c>
      <c r="I2558" s="1" t="s">
        <v>16</v>
      </c>
      <c r="J2558" s="1">
        <v>1.3E7</v>
      </c>
      <c r="K2558" s="1">
        <v>2007.0</v>
      </c>
      <c r="L2558" s="1">
        <v>6.1</v>
      </c>
      <c r="O2558" s="3"/>
      <c r="S2558" s="4"/>
    </row>
    <row r="2559" ht="14.25" customHeight="1">
      <c r="A2559" s="1" t="s">
        <v>4355</v>
      </c>
      <c r="B2559" s="1">
        <v>97.0</v>
      </c>
      <c r="C2559" s="1">
        <v>2.7141959E7</v>
      </c>
      <c r="D2559" s="1" t="s">
        <v>5205</v>
      </c>
      <c r="E2559" s="1" t="s">
        <v>5206</v>
      </c>
      <c r="F2559" s="1" t="s">
        <v>5207</v>
      </c>
      <c r="G2559" s="1">
        <v>19547.0</v>
      </c>
      <c r="H2559" s="1">
        <v>168.0</v>
      </c>
      <c r="I2559" s="1" t="s">
        <v>16</v>
      </c>
      <c r="J2559" s="1">
        <v>1.8E7</v>
      </c>
      <c r="K2559" s="1">
        <v>1999.0</v>
      </c>
      <c r="L2559" s="1">
        <v>2.5</v>
      </c>
      <c r="O2559" s="3"/>
      <c r="S2559" s="4"/>
    </row>
    <row r="2560" ht="14.25" customHeight="1">
      <c r="A2560" s="1" t="s">
        <v>5208</v>
      </c>
      <c r="B2560" s="1">
        <v>91.0</v>
      </c>
      <c r="C2560" s="1">
        <v>2.7052167E7</v>
      </c>
      <c r="D2560" s="1" t="s">
        <v>180</v>
      </c>
      <c r="E2560" s="1" t="s">
        <v>2533</v>
      </c>
      <c r="F2560" s="1" t="s">
        <v>5209</v>
      </c>
      <c r="G2560" s="1">
        <v>24834.0</v>
      </c>
      <c r="H2560" s="1">
        <v>168.0</v>
      </c>
      <c r="I2560" s="1" t="s">
        <v>16</v>
      </c>
      <c r="J2560" s="1">
        <v>1.3E7</v>
      </c>
      <c r="K2560" s="1">
        <v>1998.0</v>
      </c>
      <c r="L2560" s="1">
        <v>6.1</v>
      </c>
      <c r="O2560" s="3"/>
      <c r="S2560" s="4"/>
    </row>
    <row r="2561" ht="14.25" customHeight="1">
      <c r="A2561" s="1" t="s">
        <v>5210</v>
      </c>
      <c r="B2561" s="1">
        <v>100.0</v>
      </c>
      <c r="C2561" s="1">
        <v>2.6539321E7</v>
      </c>
      <c r="D2561" s="1" t="s">
        <v>1599</v>
      </c>
      <c r="E2561" s="1" t="s">
        <v>3028</v>
      </c>
      <c r="F2561" s="1" t="s">
        <v>5211</v>
      </c>
      <c r="G2561" s="1">
        <v>7984.0</v>
      </c>
      <c r="H2561" s="1">
        <v>42.0</v>
      </c>
      <c r="I2561" s="1" t="s">
        <v>16</v>
      </c>
      <c r="J2561" s="1">
        <v>1.3E7</v>
      </c>
      <c r="K2561" s="1">
        <v>1996.0</v>
      </c>
      <c r="L2561" s="1">
        <v>5.9</v>
      </c>
      <c r="O2561" s="3"/>
      <c r="S2561" s="4"/>
    </row>
    <row r="2562" ht="14.25" customHeight="1">
      <c r="A2562" s="1" t="s">
        <v>5212</v>
      </c>
      <c r="B2562" s="1">
        <v>72.0</v>
      </c>
      <c r="C2562" s="1">
        <v>2.8501605E7</v>
      </c>
      <c r="D2562" s="1" t="s">
        <v>2945</v>
      </c>
      <c r="E2562" s="1" t="s">
        <v>5213</v>
      </c>
      <c r="F2562" s="1" t="s">
        <v>5214</v>
      </c>
      <c r="G2562" s="1">
        <v>31371.0</v>
      </c>
      <c r="H2562" s="1">
        <v>166.0</v>
      </c>
      <c r="I2562" s="1" t="s">
        <v>16</v>
      </c>
      <c r="J2562" s="1">
        <v>1.3E7</v>
      </c>
      <c r="K2562" s="1">
        <v>1990.0</v>
      </c>
      <c r="L2562" s="1">
        <v>5.7</v>
      </c>
      <c r="O2562" s="3"/>
      <c r="S2562" s="4"/>
    </row>
    <row r="2563" ht="14.25" customHeight="1">
      <c r="A2563" s="1" t="s">
        <v>5215</v>
      </c>
      <c r="B2563" s="1">
        <v>84.0</v>
      </c>
      <c r="C2563" s="1">
        <v>5.2543632E7</v>
      </c>
      <c r="D2563" s="1" t="s">
        <v>640</v>
      </c>
      <c r="E2563" s="1" t="s">
        <v>4760</v>
      </c>
      <c r="F2563" s="1" t="s">
        <v>5216</v>
      </c>
      <c r="G2563" s="1">
        <v>12676.0</v>
      </c>
      <c r="H2563" s="1">
        <v>84.0</v>
      </c>
      <c r="I2563" s="1" t="s">
        <v>16</v>
      </c>
      <c r="J2563" s="1">
        <v>1.32E7</v>
      </c>
      <c r="K2563" s="1">
        <v>2014.0</v>
      </c>
      <c r="L2563" s="1">
        <v>5.6</v>
      </c>
      <c r="O2563" s="3"/>
      <c r="S2563" s="4"/>
    </row>
    <row r="2564" ht="14.25" customHeight="1">
      <c r="A2564" s="1" t="s">
        <v>1331</v>
      </c>
      <c r="B2564" s="1">
        <v>126.0</v>
      </c>
      <c r="C2564" s="1">
        <v>2.5592632E7</v>
      </c>
      <c r="D2564" s="1" t="s">
        <v>2551</v>
      </c>
      <c r="E2564" s="1" t="s">
        <v>508</v>
      </c>
      <c r="F2564" s="1" t="s">
        <v>5217</v>
      </c>
      <c r="G2564" s="1">
        <v>220475.0</v>
      </c>
      <c r="H2564" s="1">
        <v>1066.0</v>
      </c>
      <c r="I2564" s="1" t="s">
        <v>16</v>
      </c>
      <c r="J2564" s="1">
        <v>1.8E7</v>
      </c>
      <c r="K2564" s="1">
        <v>2007.0</v>
      </c>
      <c r="L2564" s="1">
        <v>7.2</v>
      </c>
      <c r="O2564" s="3"/>
      <c r="S2564" s="4"/>
    </row>
    <row r="2565" ht="14.25" customHeight="1">
      <c r="A2565" s="1" t="s">
        <v>5218</v>
      </c>
      <c r="B2565" s="1">
        <v>108.0</v>
      </c>
      <c r="C2565" s="1">
        <v>2.5440971E7</v>
      </c>
      <c r="D2565" s="1" t="s">
        <v>932</v>
      </c>
      <c r="E2565" s="1" t="s">
        <v>5219</v>
      </c>
      <c r="F2565" s="1" t="s">
        <v>5220</v>
      </c>
      <c r="G2565" s="1">
        <v>289508.0</v>
      </c>
      <c r="H2565" s="1">
        <v>611.0</v>
      </c>
      <c r="I2565" s="1" t="s">
        <v>16</v>
      </c>
      <c r="J2565" s="1">
        <v>1.5E7</v>
      </c>
      <c r="K2565" s="1">
        <v>2015.0</v>
      </c>
      <c r="L2565" s="1">
        <v>7.7</v>
      </c>
      <c r="O2565" s="3"/>
      <c r="S2565" s="4"/>
    </row>
    <row r="2566" ht="14.25" customHeight="1">
      <c r="A2566" s="1" t="s">
        <v>749</v>
      </c>
      <c r="B2566" s="1">
        <v>112.0</v>
      </c>
      <c r="C2566" s="1">
        <v>2.2858926E7</v>
      </c>
      <c r="D2566" s="1" t="s">
        <v>3126</v>
      </c>
      <c r="E2566" s="1" t="s">
        <v>3942</v>
      </c>
      <c r="F2566" s="1" t="s">
        <v>5221</v>
      </c>
      <c r="G2566" s="1">
        <v>254404.0</v>
      </c>
      <c r="H2566" s="1">
        <v>840.0</v>
      </c>
      <c r="I2566" s="1" t="s">
        <v>16</v>
      </c>
      <c r="J2566" s="1">
        <v>1.3E7</v>
      </c>
      <c r="K2566" s="1">
        <v>1999.0</v>
      </c>
      <c r="L2566" s="1">
        <v>7.8</v>
      </c>
      <c r="O2566" s="3"/>
      <c r="S2566" s="4"/>
    </row>
    <row r="2567" ht="14.25" customHeight="1">
      <c r="A2567" s="1" t="s">
        <v>5222</v>
      </c>
      <c r="B2567" s="1">
        <v>90.0</v>
      </c>
      <c r="C2567" s="1">
        <v>2.2235901E7</v>
      </c>
      <c r="D2567" s="1" t="s">
        <v>699</v>
      </c>
      <c r="E2567" s="1" t="s">
        <v>2803</v>
      </c>
      <c r="F2567" s="1" t="s">
        <v>5223</v>
      </c>
      <c r="G2567" s="1">
        <v>4339.0</v>
      </c>
      <c r="H2567" s="1">
        <v>31.0</v>
      </c>
      <c r="I2567" s="1" t="s">
        <v>16</v>
      </c>
      <c r="J2567" s="1">
        <v>6000000.0</v>
      </c>
      <c r="K2567" s="1">
        <v>2001.0</v>
      </c>
      <c r="L2567" s="1">
        <v>6.1</v>
      </c>
      <c r="O2567" s="3"/>
      <c r="S2567" s="4"/>
    </row>
    <row r="2568" ht="14.25" customHeight="1">
      <c r="A2568" s="1" t="s">
        <v>623</v>
      </c>
      <c r="B2568" s="1">
        <v>91.0</v>
      </c>
      <c r="C2568" s="1">
        <v>3.8916903E7</v>
      </c>
      <c r="D2568" s="1" t="s">
        <v>5224</v>
      </c>
      <c r="E2568" s="1" t="s">
        <v>5225</v>
      </c>
      <c r="F2568" s="1" t="s">
        <v>5226</v>
      </c>
      <c r="G2568" s="1">
        <v>15664.0</v>
      </c>
      <c r="H2568" s="1">
        <v>149.0</v>
      </c>
      <c r="I2568" s="1" t="s">
        <v>16</v>
      </c>
      <c r="J2568" s="1">
        <v>1.3E7</v>
      </c>
      <c r="K2568" s="1">
        <v>2014.0</v>
      </c>
      <c r="L2568" s="1">
        <v>5.8</v>
      </c>
      <c r="O2568" s="3"/>
      <c r="S2568" s="4"/>
    </row>
    <row r="2569" ht="14.25" customHeight="1">
      <c r="A2569" s="1" t="s">
        <v>2172</v>
      </c>
      <c r="B2569" s="1">
        <v>135.0</v>
      </c>
      <c r="C2569" s="1">
        <v>1.6929123E7</v>
      </c>
      <c r="D2569" s="1" t="s">
        <v>92</v>
      </c>
      <c r="E2569" s="1" t="s">
        <v>1971</v>
      </c>
      <c r="F2569" s="1" t="s">
        <v>5227</v>
      </c>
      <c r="G2569" s="1">
        <v>21406.0</v>
      </c>
      <c r="H2569" s="1">
        <v>169.0</v>
      </c>
      <c r="I2569" s="1" t="s">
        <v>16</v>
      </c>
      <c r="J2569" s="1">
        <v>1.4E7</v>
      </c>
      <c r="K2569" s="1">
        <v>2001.0</v>
      </c>
      <c r="L2569" s="1">
        <v>6.5</v>
      </c>
      <c r="O2569" s="3"/>
      <c r="S2569" s="4"/>
    </row>
    <row r="2570" ht="14.25" customHeight="1">
      <c r="A2570" s="1" t="s">
        <v>1506</v>
      </c>
      <c r="B2570" s="1">
        <v>141.0</v>
      </c>
      <c r="C2570" s="1">
        <v>1.3753931E7</v>
      </c>
      <c r="D2570" s="1" t="s">
        <v>824</v>
      </c>
      <c r="E2570" s="1" t="s">
        <v>5228</v>
      </c>
      <c r="F2570" s="1" t="s">
        <v>5229</v>
      </c>
      <c r="G2570" s="1">
        <v>132149.0</v>
      </c>
      <c r="H2570" s="1">
        <v>316.0</v>
      </c>
      <c r="I2570" s="1" t="s">
        <v>3076</v>
      </c>
      <c r="J2570" s="1">
        <v>1.9E7</v>
      </c>
      <c r="K2570" s="1">
        <v>2006.0</v>
      </c>
      <c r="L2570" s="1">
        <v>7.9</v>
      </c>
      <c r="O2570" s="3"/>
      <c r="S2570" s="4"/>
    </row>
    <row r="2571" ht="14.25" customHeight="1">
      <c r="A2571" s="1" t="s">
        <v>5230</v>
      </c>
      <c r="B2571" s="1">
        <v>104.0</v>
      </c>
      <c r="C2571" s="1">
        <v>1.099644E7</v>
      </c>
      <c r="D2571" s="1" t="s">
        <v>284</v>
      </c>
      <c r="E2571" s="1" t="s">
        <v>35</v>
      </c>
      <c r="F2571" s="1" t="s">
        <v>5231</v>
      </c>
      <c r="G2571" s="1">
        <v>19707.0</v>
      </c>
      <c r="H2571" s="1">
        <v>128.0</v>
      </c>
      <c r="I2571" s="1" t="s">
        <v>16</v>
      </c>
      <c r="J2571" s="1">
        <v>1.3E7</v>
      </c>
      <c r="K2571" s="1">
        <v>2006.0</v>
      </c>
      <c r="L2571" s="1">
        <v>6.3</v>
      </c>
      <c r="O2571" s="3"/>
      <c r="S2571" s="4"/>
    </row>
    <row r="2572" ht="14.25" customHeight="1">
      <c r="A2572" s="1" t="s">
        <v>5232</v>
      </c>
      <c r="B2572" s="1">
        <v>84.0</v>
      </c>
      <c r="C2572" s="1">
        <v>8026971.0</v>
      </c>
      <c r="D2572" s="1" t="s">
        <v>699</v>
      </c>
      <c r="E2572" s="1" t="s">
        <v>1421</v>
      </c>
      <c r="F2572" s="1" t="s">
        <v>5233</v>
      </c>
      <c r="G2572" s="1">
        <v>1520.0</v>
      </c>
      <c r="H2572" s="1">
        <v>20.0</v>
      </c>
      <c r="I2572" s="1" t="s">
        <v>16</v>
      </c>
      <c r="J2572" s="1">
        <v>1.3E7</v>
      </c>
      <c r="K2572" s="1">
        <v>1998.0</v>
      </c>
      <c r="L2572" s="1">
        <v>3.8</v>
      </c>
      <c r="O2572" s="3"/>
      <c r="S2572" s="4"/>
    </row>
    <row r="2573" ht="14.25" customHeight="1">
      <c r="A2573" s="1" t="s">
        <v>5234</v>
      </c>
      <c r="B2573" s="1">
        <v>118.0</v>
      </c>
      <c r="C2573" s="1">
        <v>1.4677654E7</v>
      </c>
      <c r="D2573" s="1" t="s">
        <v>1391</v>
      </c>
      <c r="E2573" s="1" t="s">
        <v>4587</v>
      </c>
      <c r="F2573" s="1" t="s">
        <v>5235</v>
      </c>
      <c r="G2573" s="1">
        <v>161288.0</v>
      </c>
      <c r="H2573" s="1">
        <v>351.0</v>
      </c>
      <c r="I2573" s="1" t="s">
        <v>16</v>
      </c>
      <c r="J2573" s="1">
        <v>1.3E7</v>
      </c>
      <c r="K2573" s="1">
        <v>2015.0</v>
      </c>
      <c r="L2573" s="1">
        <v>8.3</v>
      </c>
      <c r="O2573" s="3"/>
      <c r="S2573" s="4"/>
    </row>
    <row r="2574" ht="14.25" customHeight="1">
      <c r="A2574" s="1" t="s">
        <v>5236</v>
      </c>
      <c r="B2574" s="1">
        <v>82.0</v>
      </c>
      <c r="C2574" s="1">
        <v>9975684.0</v>
      </c>
      <c r="D2574" s="1" t="s">
        <v>828</v>
      </c>
      <c r="E2574" s="1" t="s">
        <v>5237</v>
      </c>
      <c r="F2574" s="1" t="s">
        <v>5238</v>
      </c>
      <c r="G2574" s="1">
        <v>20033.0</v>
      </c>
      <c r="H2574" s="1">
        <v>117.0</v>
      </c>
      <c r="I2574" s="1" t="s">
        <v>16</v>
      </c>
      <c r="J2574" s="1">
        <v>1.3E7</v>
      </c>
      <c r="K2574" s="1">
        <v>1998.0</v>
      </c>
      <c r="L2574" s="1">
        <v>6.4</v>
      </c>
      <c r="O2574" s="3"/>
      <c r="S2574" s="4"/>
    </row>
    <row r="2575" ht="14.25" customHeight="1">
      <c r="A2575" s="1" t="s">
        <v>5239</v>
      </c>
      <c r="B2575" s="1">
        <v>95.0</v>
      </c>
      <c r="C2575" s="1">
        <v>7881335.0</v>
      </c>
      <c r="D2575" s="1" t="s">
        <v>2378</v>
      </c>
      <c r="E2575" s="1" t="s">
        <v>5206</v>
      </c>
      <c r="F2575" s="1" t="s">
        <v>5240</v>
      </c>
      <c r="G2575" s="1">
        <v>21212.0</v>
      </c>
      <c r="H2575" s="1">
        <v>107.0</v>
      </c>
      <c r="I2575" s="1" t="s">
        <v>16</v>
      </c>
      <c r="J2575" s="1">
        <v>1.3E7</v>
      </c>
      <c r="K2575" s="1">
        <v>1994.0</v>
      </c>
      <c r="L2575" s="1">
        <v>6.7</v>
      </c>
      <c r="O2575" s="3"/>
      <c r="S2575" s="4"/>
    </row>
    <row r="2576" ht="14.25" customHeight="1">
      <c r="A2576" s="1" t="s">
        <v>4237</v>
      </c>
      <c r="B2576" s="1">
        <v>94.0</v>
      </c>
      <c r="C2576" s="1">
        <v>6241697.0</v>
      </c>
      <c r="D2576" s="1" t="s">
        <v>828</v>
      </c>
      <c r="E2576" s="1" t="s">
        <v>137</v>
      </c>
      <c r="F2576" s="1" t="s">
        <v>5241</v>
      </c>
      <c r="G2576" s="1">
        <v>16059.0</v>
      </c>
      <c r="H2576" s="1">
        <v>210.0</v>
      </c>
      <c r="I2576" s="1" t="s">
        <v>16</v>
      </c>
      <c r="J2576" s="1">
        <v>1.3E7</v>
      </c>
      <c r="K2576" s="1">
        <v>1999.0</v>
      </c>
      <c r="L2576" s="1">
        <v>6.1</v>
      </c>
      <c r="O2576" s="3"/>
      <c r="S2576" s="4"/>
    </row>
    <row r="2577" ht="14.25" customHeight="1">
      <c r="A2577" s="1" t="s">
        <v>5242</v>
      </c>
      <c r="B2577" s="1">
        <v>99.0</v>
      </c>
      <c r="C2577" s="1">
        <v>5871603.0</v>
      </c>
      <c r="D2577" s="1" t="s">
        <v>1654</v>
      </c>
      <c r="E2577" s="1" t="s">
        <v>798</v>
      </c>
      <c r="F2577" s="1" t="s">
        <v>5243</v>
      </c>
      <c r="G2577" s="1">
        <v>3116.0</v>
      </c>
      <c r="H2577" s="1">
        <v>39.0</v>
      </c>
      <c r="I2577" s="1" t="s">
        <v>16</v>
      </c>
      <c r="J2577" s="1">
        <v>1.3E7</v>
      </c>
      <c r="K2577" s="1">
        <v>1999.0</v>
      </c>
      <c r="L2577" s="1">
        <v>6.0</v>
      </c>
      <c r="O2577" s="3"/>
      <c r="S2577" s="4"/>
    </row>
    <row r="2578" ht="14.25" customHeight="1">
      <c r="A2578" s="1" t="s">
        <v>5244</v>
      </c>
      <c r="B2578" s="1">
        <v>121.0</v>
      </c>
      <c r="C2578" s="1">
        <v>1.6574731E7</v>
      </c>
      <c r="D2578" s="1" t="s">
        <v>2466</v>
      </c>
      <c r="E2578" s="1" t="s">
        <v>500</v>
      </c>
      <c r="F2578" s="1" t="s">
        <v>5245</v>
      </c>
      <c r="G2578" s="1">
        <v>27675.0</v>
      </c>
      <c r="H2578" s="1">
        <v>181.0</v>
      </c>
      <c r="I2578" s="1" t="s">
        <v>16</v>
      </c>
      <c r="J2578" s="1">
        <v>1.3E7</v>
      </c>
      <c r="K2578" s="1">
        <v>1998.0</v>
      </c>
      <c r="L2578" s="1">
        <v>5.8</v>
      </c>
      <c r="O2578" s="3"/>
      <c r="S2578" s="4"/>
    </row>
    <row r="2579" ht="14.25" customHeight="1">
      <c r="A2579" s="1" t="s">
        <v>5246</v>
      </c>
      <c r="B2579" s="1">
        <v>84.0</v>
      </c>
      <c r="C2579" s="1">
        <v>5002310.0</v>
      </c>
      <c r="D2579" s="1" t="s">
        <v>5247</v>
      </c>
      <c r="E2579" s="1" t="s">
        <v>162</v>
      </c>
      <c r="F2579" s="1" t="s">
        <v>5248</v>
      </c>
      <c r="G2579" s="1">
        <v>25541.0</v>
      </c>
      <c r="H2579" s="1">
        <v>181.0</v>
      </c>
      <c r="I2579" s="1" t="s">
        <v>16</v>
      </c>
      <c r="J2579" s="1">
        <v>1.3E7</v>
      </c>
      <c r="K2579" s="1">
        <v>2001.0</v>
      </c>
      <c r="L2579" s="1">
        <v>5.6</v>
      </c>
      <c r="O2579" s="3"/>
      <c r="S2579" s="4"/>
    </row>
    <row r="2580" ht="14.25" customHeight="1">
      <c r="A2580" s="1" t="s">
        <v>5249</v>
      </c>
      <c r="B2580" s="1">
        <v>93.0</v>
      </c>
      <c r="C2580" s="1">
        <v>4919896.0</v>
      </c>
      <c r="D2580" s="1" t="s">
        <v>2378</v>
      </c>
      <c r="E2580" s="1" t="s">
        <v>3286</v>
      </c>
      <c r="F2580" s="1" t="s">
        <v>5250</v>
      </c>
      <c r="G2580" s="1">
        <v>21530.0</v>
      </c>
      <c r="H2580" s="1">
        <v>159.0</v>
      </c>
      <c r="I2580" s="1" t="s">
        <v>16</v>
      </c>
      <c r="J2580" s="1">
        <v>1.3E7</v>
      </c>
      <c r="K2580" s="1">
        <v>2001.0</v>
      </c>
      <c r="L2580" s="1">
        <v>6.1</v>
      </c>
      <c r="O2580" s="3"/>
      <c r="S2580" s="4"/>
    </row>
    <row r="2581" ht="14.25" customHeight="1">
      <c r="A2581" s="1" t="s">
        <v>4162</v>
      </c>
      <c r="B2581" s="1">
        <v>93.0</v>
      </c>
      <c r="C2581" s="1">
        <v>2.5675765E7</v>
      </c>
      <c r="D2581" s="1" t="s">
        <v>828</v>
      </c>
      <c r="E2581" s="1" t="s">
        <v>5251</v>
      </c>
      <c r="F2581" s="1" t="s">
        <v>5252</v>
      </c>
      <c r="G2581" s="1">
        <v>60407.0</v>
      </c>
      <c r="H2581" s="1">
        <v>84.0</v>
      </c>
      <c r="I2581" s="1" t="s">
        <v>16</v>
      </c>
      <c r="J2581" s="1">
        <v>1.3E7</v>
      </c>
      <c r="K2581" s="1">
        <v>2013.0</v>
      </c>
      <c r="L2581" s="1">
        <v>5.9</v>
      </c>
      <c r="O2581" s="3"/>
      <c r="S2581" s="4"/>
    </row>
    <row r="2582" ht="14.25" customHeight="1">
      <c r="A2582" s="1" t="s">
        <v>5253</v>
      </c>
      <c r="B2582" s="1">
        <v>120.0</v>
      </c>
      <c r="C2582" s="1">
        <v>4857376.0</v>
      </c>
      <c r="D2582" s="1" t="s">
        <v>593</v>
      </c>
      <c r="E2582" s="1" t="s">
        <v>119</v>
      </c>
      <c r="F2582" s="1" t="s">
        <v>5254</v>
      </c>
      <c r="G2582" s="1">
        <v>63084.0</v>
      </c>
      <c r="H2582" s="1">
        <v>123.0</v>
      </c>
      <c r="I2582" s="1" t="s">
        <v>1189</v>
      </c>
      <c r="J2582" s="1">
        <v>1.3E7</v>
      </c>
      <c r="K2582" s="1">
        <v>2006.0</v>
      </c>
      <c r="L2582" s="1">
        <v>7.3</v>
      </c>
      <c r="O2582" s="3"/>
      <c r="S2582" s="4"/>
    </row>
    <row r="2583" ht="14.25" customHeight="1">
      <c r="A2583" s="1" t="s">
        <v>1773</v>
      </c>
      <c r="B2583" s="1">
        <v>112.0</v>
      </c>
      <c r="C2583" s="1">
        <v>3169424.0</v>
      </c>
      <c r="D2583" s="1" t="s">
        <v>1540</v>
      </c>
      <c r="E2583" s="1" t="s">
        <v>3587</v>
      </c>
      <c r="F2583" s="1" t="s">
        <v>5255</v>
      </c>
      <c r="G2583" s="1">
        <v>18442.0</v>
      </c>
      <c r="H2583" s="1">
        <v>59.0</v>
      </c>
      <c r="I2583" s="1" t="s">
        <v>16</v>
      </c>
      <c r="J2583" s="1">
        <v>1.3E7</v>
      </c>
      <c r="K2583" s="1">
        <v>2007.0</v>
      </c>
      <c r="L2583" s="1">
        <v>6.8</v>
      </c>
      <c r="O2583" s="3"/>
      <c r="S2583" s="4"/>
    </row>
    <row r="2584" ht="14.25" customHeight="1">
      <c r="A2584" s="1" t="s">
        <v>724</v>
      </c>
      <c r="B2584" s="1">
        <v>107.0</v>
      </c>
      <c r="C2584" s="1">
        <v>1.8004225E7</v>
      </c>
      <c r="D2584" s="1" t="s">
        <v>593</v>
      </c>
      <c r="E2584" s="1" t="s">
        <v>3259</v>
      </c>
      <c r="F2584" s="1" t="s">
        <v>5256</v>
      </c>
      <c r="G2584" s="1">
        <v>28573.0</v>
      </c>
      <c r="H2584" s="1">
        <v>87.0</v>
      </c>
      <c r="I2584" s="1" t="s">
        <v>16</v>
      </c>
      <c r="J2584" s="1">
        <v>1.3E7</v>
      </c>
      <c r="K2584" s="1">
        <v>2013.0</v>
      </c>
      <c r="L2584" s="1">
        <v>5.7</v>
      </c>
      <c r="O2584" s="3"/>
      <c r="S2584" s="4"/>
    </row>
    <row r="2585" ht="14.25" customHeight="1">
      <c r="A2585" s="1" t="s">
        <v>5257</v>
      </c>
      <c r="B2585" s="1">
        <v>112.0</v>
      </c>
      <c r="C2585" s="1">
        <v>3058380.0</v>
      </c>
      <c r="D2585" s="1" t="s">
        <v>92</v>
      </c>
      <c r="E2585" s="1" t="s">
        <v>3427</v>
      </c>
      <c r="F2585" s="1" t="s">
        <v>5258</v>
      </c>
      <c r="G2585" s="1">
        <v>4767.0</v>
      </c>
      <c r="H2585" s="1">
        <v>69.0</v>
      </c>
      <c r="I2585" s="1" t="s">
        <v>1189</v>
      </c>
      <c r="J2585" s="1">
        <v>1.0E8</v>
      </c>
      <c r="K2585" s="1">
        <v>2000.0</v>
      </c>
      <c r="L2585" s="1">
        <v>7.3</v>
      </c>
      <c r="O2585" s="3"/>
      <c r="S2585" s="4"/>
    </row>
    <row r="2586" ht="14.25" customHeight="1">
      <c r="A2586" s="1" t="s">
        <v>3888</v>
      </c>
      <c r="B2586" s="1">
        <v>96.0</v>
      </c>
      <c r="C2586" s="1">
        <v>3074838.0</v>
      </c>
      <c r="D2586" s="1" t="s">
        <v>1339</v>
      </c>
      <c r="E2586" s="1" t="s">
        <v>100</v>
      </c>
      <c r="F2586" s="1" t="s">
        <v>5259</v>
      </c>
      <c r="G2586" s="1">
        <v>56264.0</v>
      </c>
      <c r="H2586" s="1">
        <v>166.0</v>
      </c>
      <c r="I2586" s="1" t="s">
        <v>16</v>
      </c>
      <c r="J2586" s="1">
        <v>1.1E7</v>
      </c>
      <c r="K2586" s="1">
        <v>2009.0</v>
      </c>
      <c r="L2586" s="1">
        <v>6.3</v>
      </c>
      <c r="O2586" s="3"/>
      <c r="S2586" s="4"/>
    </row>
    <row r="2587" ht="14.25" customHeight="1">
      <c r="A2587" s="1" t="s">
        <v>5260</v>
      </c>
      <c r="B2587" s="1">
        <v>91.0</v>
      </c>
      <c r="C2587" s="1">
        <v>2104000.0</v>
      </c>
      <c r="D2587" s="1" t="s">
        <v>3596</v>
      </c>
      <c r="E2587" s="1" t="s">
        <v>689</v>
      </c>
      <c r="F2587" s="1" t="s">
        <v>5261</v>
      </c>
      <c r="G2587" s="1">
        <v>1595.0</v>
      </c>
      <c r="H2587" s="1">
        <v>19.0</v>
      </c>
      <c r="I2587" s="1" t="s">
        <v>16</v>
      </c>
      <c r="J2587" s="1">
        <v>1.3E7</v>
      </c>
      <c r="K2587" s="1">
        <v>1996.0</v>
      </c>
      <c r="L2587" s="1">
        <v>5.9</v>
      </c>
      <c r="O2587" s="3"/>
      <c r="S2587" s="4"/>
    </row>
    <row r="2588" ht="14.25" customHeight="1">
      <c r="A2588" s="1" t="s">
        <v>2179</v>
      </c>
      <c r="B2588" s="1">
        <v>105.0</v>
      </c>
      <c r="C2588" s="1">
        <v>2.8501651E7</v>
      </c>
      <c r="D2588" s="1" t="s">
        <v>1654</v>
      </c>
      <c r="E2588" s="1" t="s">
        <v>603</v>
      </c>
      <c r="F2588" s="1" t="s">
        <v>3629</v>
      </c>
      <c r="G2588" s="1">
        <v>88037.0</v>
      </c>
      <c r="H2588" s="1">
        <v>201.0</v>
      </c>
      <c r="I2588" s="1" t="s">
        <v>16</v>
      </c>
      <c r="J2588" s="1">
        <v>2.6E7</v>
      </c>
      <c r="K2588" s="1">
        <v>2009.0</v>
      </c>
      <c r="L2588" s="1">
        <v>7.1</v>
      </c>
      <c r="O2588" s="3"/>
      <c r="S2588" s="4"/>
    </row>
    <row r="2589" ht="14.25" customHeight="1">
      <c r="A2589" s="1" t="s">
        <v>3937</v>
      </c>
      <c r="B2589" s="1">
        <v>125.0</v>
      </c>
      <c r="C2589" s="1">
        <v>1172769.0</v>
      </c>
      <c r="D2589" s="1" t="s">
        <v>763</v>
      </c>
      <c r="E2589" s="1" t="s">
        <v>64</v>
      </c>
      <c r="F2589" s="1" t="s">
        <v>5262</v>
      </c>
      <c r="G2589" s="1">
        <v>28068.0</v>
      </c>
      <c r="H2589" s="1">
        <v>108.0</v>
      </c>
      <c r="I2589" s="1" t="s">
        <v>16</v>
      </c>
      <c r="J2589" s="1">
        <v>1.3E7</v>
      </c>
      <c r="K2589" s="1">
        <v>2006.0</v>
      </c>
      <c r="L2589" s="1">
        <v>7.1</v>
      </c>
      <c r="O2589" s="3"/>
      <c r="S2589" s="4"/>
    </row>
    <row r="2590" ht="14.25" customHeight="1">
      <c r="A2590" s="1" t="s">
        <v>5263</v>
      </c>
      <c r="B2590" s="1">
        <v>102.0</v>
      </c>
      <c r="C2590" s="1">
        <v>1.773857E7</v>
      </c>
      <c r="D2590" s="1" t="s">
        <v>92</v>
      </c>
      <c r="E2590" s="1" t="s">
        <v>878</v>
      </c>
      <c r="F2590" s="1" t="s">
        <v>5264</v>
      </c>
      <c r="G2590" s="1">
        <v>351274.0</v>
      </c>
      <c r="H2590" s="1">
        <v>457.0</v>
      </c>
      <c r="I2590" s="1" t="s">
        <v>16</v>
      </c>
      <c r="J2590" s="1">
        <v>1.3E7</v>
      </c>
      <c r="K2590" s="1">
        <v>2012.0</v>
      </c>
      <c r="L2590" s="1">
        <v>8.0</v>
      </c>
      <c r="O2590" s="3"/>
      <c r="S2590" s="4"/>
    </row>
    <row r="2591" ht="14.25" customHeight="1">
      <c r="A2591" s="1" t="s">
        <v>5265</v>
      </c>
      <c r="B2591" s="1">
        <v>87.0</v>
      </c>
      <c r="C2591" s="1">
        <v>1200000.0</v>
      </c>
      <c r="D2591" s="1" t="s">
        <v>553</v>
      </c>
      <c r="E2591" s="1" t="s">
        <v>5266</v>
      </c>
      <c r="F2591" s="1" t="s">
        <v>5267</v>
      </c>
      <c r="G2591" s="1">
        <v>922.0</v>
      </c>
      <c r="H2591" s="1">
        <v>23.0</v>
      </c>
      <c r="I2591" s="1" t="s">
        <v>16</v>
      </c>
      <c r="J2591" s="1">
        <v>3000000.0</v>
      </c>
      <c r="K2591" s="1">
        <v>1993.0</v>
      </c>
      <c r="L2591" s="1">
        <v>5.1</v>
      </c>
      <c r="O2591" s="3"/>
      <c r="S2591" s="4"/>
    </row>
    <row r="2592" ht="14.25" customHeight="1">
      <c r="A2592" s="1" t="s">
        <v>3944</v>
      </c>
      <c r="B2592" s="1">
        <v>118.0</v>
      </c>
      <c r="C2592" s="1">
        <v>1150403.0</v>
      </c>
      <c r="D2592" s="1" t="s">
        <v>716</v>
      </c>
      <c r="E2592" s="1" t="s">
        <v>508</v>
      </c>
      <c r="F2592" s="1" t="s">
        <v>5268</v>
      </c>
      <c r="G2592" s="1">
        <v>14143.0</v>
      </c>
      <c r="H2592" s="1">
        <v>102.0</v>
      </c>
      <c r="I2592" s="1" t="s">
        <v>16</v>
      </c>
      <c r="J2592" s="1">
        <v>1.3E7</v>
      </c>
      <c r="K2592" s="1">
        <v>2006.0</v>
      </c>
      <c r="L2592" s="1">
        <v>7.1</v>
      </c>
      <c r="O2592" s="3"/>
      <c r="S2592" s="4"/>
    </row>
    <row r="2593" ht="14.25" customHeight="1">
      <c r="A2593" s="1" t="s">
        <v>4998</v>
      </c>
      <c r="B2593" s="1">
        <v>115.0</v>
      </c>
      <c r="C2593" s="1">
        <v>403932.0</v>
      </c>
      <c r="D2593" s="1" t="s">
        <v>1641</v>
      </c>
      <c r="E2593" s="1" t="s">
        <v>831</v>
      </c>
      <c r="F2593" s="1" t="s">
        <v>5269</v>
      </c>
      <c r="G2593" s="1">
        <v>5254.0</v>
      </c>
      <c r="H2593" s="1">
        <v>92.0</v>
      </c>
      <c r="I2593" s="1" t="s">
        <v>16</v>
      </c>
      <c r="J2593" s="1">
        <v>2.0E7</v>
      </c>
      <c r="K2593" s="1">
        <v>2000.0</v>
      </c>
      <c r="L2593" s="1">
        <v>6.5</v>
      </c>
      <c r="O2593" s="3"/>
      <c r="S2593" s="4"/>
    </row>
    <row r="2594" ht="14.25" customHeight="1">
      <c r="A2594" s="1" t="s">
        <v>1839</v>
      </c>
      <c r="B2594" s="1">
        <v>91.0</v>
      </c>
      <c r="C2594" s="1">
        <v>1712111.0</v>
      </c>
      <c r="D2594" s="1" t="s">
        <v>2657</v>
      </c>
      <c r="E2594" s="1" t="s">
        <v>705</v>
      </c>
      <c r="F2594" s="1" t="s">
        <v>5270</v>
      </c>
      <c r="G2594" s="1">
        <v>7199.0</v>
      </c>
      <c r="H2594" s="1">
        <v>53.0</v>
      </c>
      <c r="I2594" s="1" t="s">
        <v>16</v>
      </c>
      <c r="J2594" s="1">
        <v>8495000.0</v>
      </c>
      <c r="K2594" s="1">
        <v>2015.0</v>
      </c>
      <c r="L2594" s="1">
        <v>4.5</v>
      </c>
      <c r="O2594" s="3"/>
      <c r="S2594" s="4"/>
    </row>
    <row r="2595" ht="14.25" customHeight="1">
      <c r="A2595" s="1" t="s">
        <v>5271</v>
      </c>
      <c r="B2595" s="1">
        <v>88.0</v>
      </c>
      <c r="C2595" s="1">
        <v>1024175.0</v>
      </c>
      <c r="D2595" s="1" t="s">
        <v>3002</v>
      </c>
      <c r="E2595" s="1" t="s">
        <v>5272</v>
      </c>
      <c r="F2595" s="1" t="s">
        <v>5273</v>
      </c>
      <c r="G2595" s="1">
        <v>82331.0</v>
      </c>
      <c r="H2595" s="1">
        <v>297.0</v>
      </c>
      <c r="I2595" s="1" t="s">
        <v>16</v>
      </c>
      <c r="J2595" s="1">
        <v>1.3E7</v>
      </c>
      <c r="K2595" s="1">
        <v>2011.0</v>
      </c>
      <c r="L2595" s="1">
        <v>6.6</v>
      </c>
      <c r="O2595" s="3"/>
      <c r="S2595" s="4"/>
    </row>
    <row r="2596" ht="14.25" customHeight="1">
      <c r="A2596" s="1" t="s">
        <v>245</v>
      </c>
      <c r="B2596" s="1">
        <v>127.0</v>
      </c>
      <c r="C2596" s="1">
        <v>301305.0</v>
      </c>
      <c r="D2596" s="1" t="s">
        <v>2906</v>
      </c>
      <c r="E2596" s="1" t="s">
        <v>5274</v>
      </c>
      <c r="F2596" s="1" t="s">
        <v>5275</v>
      </c>
      <c r="G2596" s="1">
        <v>31414.0</v>
      </c>
      <c r="H2596" s="1">
        <v>180.0</v>
      </c>
      <c r="I2596" s="1" t="s">
        <v>5276</v>
      </c>
      <c r="J2596" s="1">
        <v>1.3E7</v>
      </c>
      <c r="K2596" s="1">
        <v>2011.0</v>
      </c>
      <c r="L2596" s="1">
        <v>4.3</v>
      </c>
      <c r="O2596" s="3"/>
      <c r="S2596" s="4"/>
    </row>
    <row r="2597" ht="14.25" customHeight="1">
      <c r="A2597" s="1" t="s">
        <v>5035</v>
      </c>
      <c r="B2597" s="1">
        <v>94.0</v>
      </c>
      <c r="C2597" s="1">
        <v>5.1872378E7</v>
      </c>
      <c r="D2597" s="1" t="s">
        <v>640</v>
      </c>
      <c r="E2597" s="1" t="s">
        <v>845</v>
      </c>
      <c r="F2597" s="1" t="s">
        <v>5277</v>
      </c>
      <c r="G2597" s="1">
        <v>88241.0</v>
      </c>
      <c r="H2597" s="1">
        <v>266.0</v>
      </c>
      <c r="I2597" s="1" t="s">
        <v>16</v>
      </c>
      <c r="J2597" s="1">
        <v>1.3E7</v>
      </c>
      <c r="K2597" s="1">
        <v>2013.0</v>
      </c>
      <c r="L2597" s="1">
        <v>6.7</v>
      </c>
      <c r="O2597" s="3"/>
      <c r="S2597" s="4"/>
    </row>
    <row r="2598" ht="14.25" customHeight="1">
      <c r="A2598" s="1" t="s">
        <v>5278</v>
      </c>
      <c r="B2598" s="1">
        <v>115.0</v>
      </c>
      <c r="C2598" s="1">
        <v>31662.0</v>
      </c>
      <c r="D2598" s="1" t="s">
        <v>431</v>
      </c>
      <c r="E2598" s="1" t="s">
        <v>100</v>
      </c>
      <c r="F2598" s="1" t="s">
        <v>5279</v>
      </c>
      <c r="G2598" s="1">
        <v>90.0</v>
      </c>
      <c r="H2598" s="1">
        <v>1.0</v>
      </c>
      <c r="I2598" s="1" t="s">
        <v>16</v>
      </c>
      <c r="J2598" s="1">
        <v>1.262E7</v>
      </c>
      <c r="K2598" s="1">
        <v>2016.0</v>
      </c>
      <c r="L2598" s="1">
        <v>6.8</v>
      </c>
      <c r="O2598" s="3"/>
      <c r="S2598" s="4"/>
    </row>
    <row r="2599" ht="14.25" customHeight="1">
      <c r="A2599" s="1" t="s">
        <v>5280</v>
      </c>
      <c r="B2599" s="1">
        <v>90.0</v>
      </c>
      <c r="C2599" s="1">
        <v>2.8399192E7</v>
      </c>
      <c r="D2599" s="1" t="s">
        <v>5281</v>
      </c>
      <c r="E2599" s="1" t="s">
        <v>5282</v>
      </c>
      <c r="F2599" s="1" t="s">
        <v>5283</v>
      </c>
      <c r="G2599" s="1">
        <v>5663.0</v>
      </c>
      <c r="H2599" s="1">
        <v>106.0</v>
      </c>
      <c r="I2599" s="1" t="s">
        <v>16</v>
      </c>
      <c r="J2599" s="1">
        <v>1.3E7</v>
      </c>
      <c r="K2599" s="1">
        <v>2002.0</v>
      </c>
      <c r="L2599" s="1">
        <v>5.4</v>
      </c>
      <c r="O2599" s="3"/>
      <c r="S2599" s="4"/>
    </row>
    <row r="2600" ht="14.25" customHeight="1">
      <c r="A2600" s="1" t="s">
        <v>1523</v>
      </c>
      <c r="B2600" s="1">
        <v>102.0</v>
      </c>
      <c r="C2600" s="1">
        <v>2035566.0</v>
      </c>
      <c r="D2600" s="1" t="s">
        <v>5284</v>
      </c>
      <c r="E2600" s="1" t="s">
        <v>5285</v>
      </c>
      <c r="F2600" s="1" t="s">
        <v>5286</v>
      </c>
      <c r="G2600" s="1">
        <v>77305.0</v>
      </c>
      <c r="H2600" s="1">
        <v>162.0</v>
      </c>
      <c r="I2600" s="1" t="s">
        <v>16</v>
      </c>
      <c r="J2600" s="1">
        <v>1.3E7</v>
      </c>
      <c r="K2600" s="1">
        <v>2009.0</v>
      </c>
      <c r="L2600" s="1">
        <v>6.6</v>
      </c>
      <c r="O2600" s="3"/>
      <c r="S2600" s="4"/>
    </row>
    <row r="2601" ht="14.25" customHeight="1">
      <c r="A2601" s="1" t="s">
        <v>717</v>
      </c>
      <c r="B2601" s="1">
        <v>117.0</v>
      </c>
      <c r="C2601" s="1">
        <v>2.1078145E7</v>
      </c>
      <c r="D2601" s="1" t="s">
        <v>646</v>
      </c>
      <c r="E2601" s="1" t="s">
        <v>717</v>
      </c>
      <c r="F2601" s="1" t="s">
        <v>5287</v>
      </c>
      <c r="G2601" s="1">
        <v>26493.0</v>
      </c>
      <c r="H2601" s="1">
        <v>159.0</v>
      </c>
      <c r="I2601" s="1" t="s">
        <v>16</v>
      </c>
      <c r="J2601" s="1">
        <v>1.25E7</v>
      </c>
      <c r="K2601" s="1">
        <v>2002.0</v>
      </c>
      <c r="L2601" s="1">
        <v>7.3</v>
      </c>
      <c r="O2601" s="3"/>
      <c r="S2601" s="4"/>
    </row>
    <row r="2602" ht="14.25" customHeight="1">
      <c r="A2602" s="1" t="s">
        <v>3666</v>
      </c>
      <c r="B2602" s="1">
        <v>109.0</v>
      </c>
      <c r="C2602" s="1">
        <v>1.406095E7</v>
      </c>
      <c r="D2602" s="1" t="s">
        <v>1391</v>
      </c>
      <c r="E2602" s="1" t="s">
        <v>5288</v>
      </c>
      <c r="F2602" s="1" t="s">
        <v>5289</v>
      </c>
      <c r="G2602" s="1">
        <v>14354.0</v>
      </c>
      <c r="H2602" s="1">
        <v>139.0</v>
      </c>
      <c r="I2602" s="1" t="s">
        <v>16</v>
      </c>
      <c r="J2602" s="1">
        <v>1.25E7</v>
      </c>
      <c r="K2602" s="1">
        <v>2002.0</v>
      </c>
      <c r="L2602" s="1">
        <v>6.9</v>
      </c>
      <c r="O2602" s="3"/>
      <c r="S2602" s="4"/>
    </row>
    <row r="2603" ht="14.25" customHeight="1">
      <c r="A2603" s="1" t="s">
        <v>722</v>
      </c>
      <c r="B2603" s="1">
        <v>121.0</v>
      </c>
      <c r="C2603" s="1">
        <v>1.22815E7</v>
      </c>
      <c r="D2603" s="1" t="s">
        <v>2311</v>
      </c>
      <c r="E2603" s="1" t="s">
        <v>293</v>
      </c>
      <c r="F2603" s="1" t="s">
        <v>5290</v>
      </c>
      <c r="G2603" s="1">
        <v>163492.0</v>
      </c>
      <c r="H2603" s="1">
        <v>460.0</v>
      </c>
      <c r="I2603" s="1" t="s">
        <v>16</v>
      </c>
      <c r="J2603" s="1">
        <v>1.3E7</v>
      </c>
      <c r="K2603" s="1">
        <v>1993.0</v>
      </c>
      <c r="L2603" s="1">
        <v>8.0</v>
      </c>
      <c r="O2603" s="3"/>
      <c r="S2603" s="4"/>
    </row>
    <row r="2604" ht="14.25" customHeight="1">
      <c r="A2604" s="1" t="s">
        <v>4976</v>
      </c>
      <c r="B2604" s="1">
        <v>100.0</v>
      </c>
      <c r="C2604" s="1">
        <v>1.0725228E7</v>
      </c>
      <c r="D2604" s="1" t="s">
        <v>4443</v>
      </c>
      <c r="E2604" s="1" t="s">
        <v>52</v>
      </c>
      <c r="F2604" s="1" t="s">
        <v>5291</v>
      </c>
      <c r="G2604" s="1">
        <v>75675.0</v>
      </c>
      <c r="H2604" s="1">
        <v>365.0</v>
      </c>
      <c r="I2604" s="1" t="s">
        <v>16</v>
      </c>
      <c r="J2604" s="1">
        <v>1.25E7</v>
      </c>
      <c r="K2604" s="1">
        <v>1992.0</v>
      </c>
      <c r="L2604" s="1">
        <v>7.8</v>
      </c>
      <c r="O2604" s="3"/>
      <c r="S2604" s="4"/>
    </row>
    <row r="2605" ht="14.25" customHeight="1">
      <c r="A2605" s="1" t="s">
        <v>4998</v>
      </c>
      <c r="B2605" s="1">
        <v>109.0</v>
      </c>
      <c r="C2605" s="1">
        <v>214966.0</v>
      </c>
      <c r="D2605" s="1" t="s">
        <v>901</v>
      </c>
      <c r="E2605" s="1" t="s">
        <v>3083</v>
      </c>
      <c r="F2605" s="1" t="s">
        <v>5292</v>
      </c>
      <c r="G2605" s="1">
        <v>28483.0</v>
      </c>
      <c r="H2605" s="1">
        <v>176.0</v>
      </c>
      <c r="I2605" s="1" t="s">
        <v>16</v>
      </c>
      <c r="J2605" s="1">
        <v>1.3E7</v>
      </c>
      <c r="K2605" s="1">
        <v>2010.0</v>
      </c>
      <c r="L2605" s="1">
        <v>6.1</v>
      </c>
      <c r="O2605" s="3"/>
      <c r="S2605" s="4"/>
    </row>
    <row r="2606" ht="14.25" customHeight="1">
      <c r="A2606" s="1" t="s">
        <v>5293</v>
      </c>
      <c r="B2606" s="1">
        <v>101.0</v>
      </c>
      <c r="C2606" s="1">
        <v>1.1956207E7</v>
      </c>
      <c r="D2606" s="1" t="s">
        <v>2512</v>
      </c>
      <c r="E2606" s="1" t="s">
        <v>5294</v>
      </c>
      <c r="F2606" s="1" t="s">
        <v>5295</v>
      </c>
      <c r="G2606" s="1">
        <v>24012.0</v>
      </c>
      <c r="H2606" s="1">
        <v>126.0</v>
      </c>
      <c r="I2606" s="1" t="s">
        <v>16</v>
      </c>
      <c r="J2606" s="1">
        <v>1.6E7</v>
      </c>
      <c r="K2606" s="1">
        <v>2009.0</v>
      </c>
      <c r="L2606" s="1">
        <v>5.1</v>
      </c>
      <c r="O2606" s="3"/>
      <c r="S2606" s="4"/>
    </row>
    <row r="2607" ht="14.25" customHeight="1">
      <c r="A2607" s="1" t="s">
        <v>3394</v>
      </c>
      <c r="B2607" s="1">
        <v>106.0</v>
      </c>
      <c r="C2607" s="1">
        <v>5949693.0</v>
      </c>
      <c r="D2607" s="1" t="s">
        <v>593</v>
      </c>
      <c r="E2607" s="1" t="s">
        <v>1717</v>
      </c>
      <c r="F2607" s="1" t="s">
        <v>5296</v>
      </c>
      <c r="G2607" s="1">
        <v>114762.0</v>
      </c>
      <c r="H2607" s="1">
        <v>299.0</v>
      </c>
      <c r="I2607" s="1" t="s">
        <v>16</v>
      </c>
      <c r="J2607" s="1">
        <v>1.2E7</v>
      </c>
      <c r="K2607" s="1">
        <v>2007.0</v>
      </c>
      <c r="L2607" s="1">
        <v>7.4</v>
      </c>
      <c r="O2607" s="3"/>
      <c r="S2607" s="4"/>
    </row>
    <row r="2608" ht="14.25" customHeight="1">
      <c r="A2608" s="1" t="s">
        <v>5297</v>
      </c>
      <c r="B2608" s="1">
        <v>94.0</v>
      </c>
      <c r="C2608" s="1">
        <v>9030581.0</v>
      </c>
      <c r="D2608" s="1" t="s">
        <v>1384</v>
      </c>
      <c r="E2608" s="1" t="s">
        <v>5298</v>
      </c>
      <c r="F2608" s="1" t="s">
        <v>5299</v>
      </c>
      <c r="G2608" s="1">
        <v>132386.0</v>
      </c>
      <c r="H2608" s="1">
        <v>398.0</v>
      </c>
      <c r="I2608" s="1" t="s">
        <v>16</v>
      </c>
      <c r="J2608" s="1">
        <v>1.25E7</v>
      </c>
      <c r="K2608" s="1">
        <v>2008.0</v>
      </c>
      <c r="L2608" s="1">
        <v>7.8</v>
      </c>
      <c r="O2608" s="3"/>
      <c r="S2608" s="4"/>
    </row>
    <row r="2609" ht="14.25" customHeight="1">
      <c r="A2609" s="1" t="s">
        <v>5080</v>
      </c>
      <c r="B2609" s="1">
        <v>140.0</v>
      </c>
      <c r="C2609" s="1">
        <v>4157491.0</v>
      </c>
      <c r="D2609" s="1" t="s">
        <v>5300</v>
      </c>
      <c r="E2609" s="1" t="s">
        <v>2651</v>
      </c>
      <c r="F2609" s="1" t="s">
        <v>5301</v>
      </c>
      <c r="G2609" s="1">
        <v>79330.0</v>
      </c>
      <c r="H2609" s="1">
        <v>690.0</v>
      </c>
      <c r="I2609" s="1" t="s">
        <v>16</v>
      </c>
      <c r="J2609" s="1">
        <v>1.28E7</v>
      </c>
      <c r="K2609" s="1">
        <v>2000.0</v>
      </c>
      <c r="L2609" s="1">
        <v>8.0</v>
      </c>
      <c r="O2609" s="3"/>
      <c r="S2609" s="4"/>
    </row>
    <row r="2610" ht="14.25" customHeight="1">
      <c r="A2610" s="1" t="s">
        <v>4860</v>
      </c>
      <c r="B2610" s="1">
        <v>132.0</v>
      </c>
      <c r="C2610" s="1">
        <v>1508689.0</v>
      </c>
      <c r="D2610" s="1" t="s">
        <v>92</v>
      </c>
      <c r="E2610" s="1" t="s">
        <v>1907</v>
      </c>
      <c r="F2610" s="1" t="s">
        <v>5302</v>
      </c>
      <c r="G2610" s="1">
        <v>5648.0</v>
      </c>
      <c r="H2610" s="1">
        <v>50.0</v>
      </c>
      <c r="I2610" s="1" t="s">
        <v>16</v>
      </c>
      <c r="J2610" s="1">
        <v>1.6E7</v>
      </c>
      <c r="K2610" s="1">
        <v>1997.0</v>
      </c>
      <c r="L2610" s="1">
        <v>6.7</v>
      </c>
      <c r="O2610" s="3"/>
      <c r="S2610" s="4"/>
    </row>
    <row r="2611" ht="14.25" customHeight="1">
      <c r="A2611" s="1" t="s">
        <v>5303</v>
      </c>
      <c r="B2611" s="1">
        <v>99.0</v>
      </c>
      <c r="C2611" s="1">
        <v>1227324.0</v>
      </c>
      <c r="D2611" s="1" t="s">
        <v>811</v>
      </c>
      <c r="E2611" s="1" t="s">
        <v>5304</v>
      </c>
      <c r="F2611" s="1" t="s">
        <v>5305</v>
      </c>
      <c r="G2611" s="1">
        <v>6921.0</v>
      </c>
      <c r="H2611" s="1">
        <v>48.0</v>
      </c>
      <c r="I2611" s="1" t="s">
        <v>16</v>
      </c>
      <c r="J2611" s="1">
        <v>1.25E7</v>
      </c>
      <c r="K2611" s="1">
        <v>1996.0</v>
      </c>
      <c r="L2611" s="1">
        <v>6.6</v>
      </c>
      <c r="O2611" s="3"/>
      <c r="S2611" s="4"/>
    </row>
    <row r="2612" ht="14.25" customHeight="1">
      <c r="A2612" s="1" t="s">
        <v>5306</v>
      </c>
      <c r="B2612" s="1">
        <v>90.0</v>
      </c>
      <c r="C2612" s="1">
        <v>4360548.0</v>
      </c>
      <c r="D2612" s="1" t="s">
        <v>593</v>
      </c>
      <c r="E2612" s="1" t="s">
        <v>1462</v>
      </c>
      <c r="F2612" s="1" t="s">
        <v>5307</v>
      </c>
      <c r="G2612" s="1">
        <v>13371.0</v>
      </c>
      <c r="H2612" s="1">
        <v>60.0</v>
      </c>
      <c r="I2612" s="1" t="s">
        <v>16</v>
      </c>
      <c r="J2612" s="1">
        <v>1.5E7</v>
      </c>
      <c r="K2612" s="1">
        <v>2009.0</v>
      </c>
      <c r="L2612" s="1">
        <v>6.4</v>
      </c>
      <c r="O2612" s="3"/>
      <c r="S2612" s="4"/>
    </row>
    <row r="2613" ht="14.25" customHeight="1">
      <c r="A2613" s="1" t="s">
        <v>5308</v>
      </c>
      <c r="B2613" s="1">
        <v>105.0</v>
      </c>
      <c r="C2613" s="1">
        <v>2.6589953E7</v>
      </c>
      <c r="D2613" s="1" t="s">
        <v>146</v>
      </c>
      <c r="E2613" s="1" t="s">
        <v>725</v>
      </c>
      <c r="F2613" s="1" t="s">
        <v>5309</v>
      </c>
      <c r="G2613" s="1">
        <v>165792.0</v>
      </c>
      <c r="H2613" s="1">
        <v>392.0</v>
      </c>
      <c r="I2613" s="1" t="s">
        <v>16</v>
      </c>
      <c r="J2613" s="1">
        <v>1.05E7</v>
      </c>
      <c r="K2613" s="1">
        <v>2010.0</v>
      </c>
      <c r="L2613" s="1">
        <v>6.7</v>
      </c>
      <c r="O2613" s="3"/>
      <c r="S2613" s="4"/>
    </row>
    <row r="2614" ht="14.25" customHeight="1">
      <c r="A2614" s="1" t="s">
        <v>5310</v>
      </c>
      <c r="B2614" s="1">
        <v>108.0</v>
      </c>
      <c r="C2614" s="1">
        <v>1039869.0</v>
      </c>
      <c r="D2614" s="1" t="s">
        <v>763</v>
      </c>
      <c r="E2614" s="1" t="s">
        <v>52</v>
      </c>
      <c r="F2614" s="1" t="s">
        <v>5311</v>
      </c>
      <c r="G2614" s="1">
        <v>14757.0</v>
      </c>
      <c r="H2614" s="1">
        <v>51.0</v>
      </c>
      <c r="I2614" s="1" t="s">
        <v>16</v>
      </c>
      <c r="J2614" s="1">
        <v>1.5E7</v>
      </c>
      <c r="K2614" s="1">
        <v>2010.0</v>
      </c>
      <c r="L2614" s="1">
        <v>6.2</v>
      </c>
      <c r="O2614" s="3"/>
      <c r="S2614" s="4"/>
    </row>
    <row r="2615" ht="14.25" customHeight="1">
      <c r="A2615" s="1" t="s">
        <v>1289</v>
      </c>
      <c r="B2615" s="1">
        <v>69.0</v>
      </c>
      <c r="C2615" s="1">
        <v>4.8092846E7</v>
      </c>
      <c r="D2615" s="1" t="s">
        <v>1161</v>
      </c>
      <c r="E2615" s="1" t="s">
        <v>3980</v>
      </c>
      <c r="F2615" s="1" t="s">
        <v>5312</v>
      </c>
      <c r="G2615" s="1">
        <v>61753.0</v>
      </c>
      <c r="H2615" s="1">
        <v>133.0</v>
      </c>
      <c r="I2615" s="1" t="s">
        <v>16</v>
      </c>
      <c r="J2615" s="1">
        <v>1.25E7</v>
      </c>
      <c r="K2615" s="1">
        <v>1988.0</v>
      </c>
      <c r="L2615" s="1">
        <v>7.3</v>
      </c>
      <c r="O2615" s="3"/>
      <c r="S2615" s="4"/>
    </row>
    <row r="2616" ht="14.25" customHeight="1">
      <c r="A2616" s="1" t="s">
        <v>5313</v>
      </c>
      <c r="B2616" s="1">
        <v>148.0</v>
      </c>
      <c r="C2616" s="1">
        <v>1110186.0</v>
      </c>
      <c r="D2616" s="1" t="s">
        <v>611</v>
      </c>
      <c r="E2616" s="1" t="s">
        <v>5314</v>
      </c>
      <c r="F2616" s="1" t="s">
        <v>5315</v>
      </c>
      <c r="G2616" s="1">
        <v>31943.0</v>
      </c>
      <c r="H2616" s="1">
        <v>224.0</v>
      </c>
      <c r="I2616" s="1" t="s">
        <v>5316</v>
      </c>
      <c r="J2616" s="1">
        <v>1.28E7</v>
      </c>
      <c r="K2616" s="1">
        <v>2004.0</v>
      </c>
      <c r="L2616" s="1">
        <v>8.1</v>
      </c>
      <c r="O2616" s="3"/>
      <c r="S2616" s="4"/>
    </row>
    <row r="2617" ht="14.25" customHeight="1">
      <c r="A2617" s="1" t="s">
        <v>5317</v>
      </c>
      <c r="B2617" s="1">
        <v>118.0</v>
      </c>
      <c r="C2617" s="1">
        <v>1089445.0</v>
      </c>
      <c r="D2617" s="1" t="s">
        <v>5318</v>
      </c>
      <c r="E2617" s="1" t="s">
        <v>1774</v>
      </c>
      <c r="F2617" s="1" t="s">
        <v>5319</v>
      </c>
      <c r="G2617" s="1">
        <v>2676.0</v>
      </c>
      <c r="H2617" s="1">
        <v>33.0</v>
      </c>
      <c r="I2617" s="1" t="s">
        <v>16</v>
      </c>
      <c r="J2617" s="1">
        <v>1.25E7</v>
      </c>
      <c r="K2617" s="1">
        <v>2009.0</v>
      </c>
      <c r="L2617" s="1">
        <v>7.0</v>
      </c>
      <c r="O2617" s="3"/>
      <c r="S2617" s="4"/>
    </row>
    <row r="2618" ht="14.25" customHeight="1">
      <c r="A2618" s="1" t="s">
        <v>1914</v>
      </c>
      <c r="B2618" s="1">
        <v>132.0</v>
      </c>
      <c r="C2618" s="1">
        <v>2.04565E8</v>
      </c>
      <c r="D2618" s="1" t="s">
        <v>2551</v>
      </c>
      <c r="E2618" s="1" t="s">
        <v>3562</v>
      </c>
      <c r="F2618" s="1" t="s">
        <v>5320</v>
      </c>
      <c r="G2618" s="1">
        <v>284252.0</v>
      </c>
      <c r="H2618" s="1">
        <v>1058.0</v>
      </c>
      <c r="I2618" s="1" t="s">
        <v>16</v>
      </c>
      <c r="J2618" s="1">
        <v>8000000.0</v>
      </c>
      <c r="K2618" s="1">
        <v>1973.0</v>
      </c>
      <c r="L2618" s="1">
        <v>8.0</v>
      </c>
      <c r="O2618" s="3"/>
      <c r="S2618" s="4"/>
    </row>
    <row r="2619" ht="14.25" customHeight="1">
      <c r="A2619" s="1" t="s">
        <v>168</v>
      </c>
      <c r="B2619" s="1">
        <v>130.0</v>
      </c>
      <c r="C2619" s="1">
        <v>2.6E8</v>
      </c>
      <c r="D2619" s="1" t="s">
        <v>761</v>
      </c>
      <c r="E2619" s="1" t="s">
        <v>4132</v>
      </c>
      <c r="F2619" s="1" t="s">
        <v>5321</v>
      </c>
      <c r="G2619" s="1">
        <v>412454.0</v>
      </c>
      <c r="H2619" s="1">
        <v>962.0</v>
      </c>
      <c r="I2619" s="1" t="s">
        <v>16</v>
      </c>
      <c r="J2619" s="1">
        <v>8000000.0</v>
      </c>
      <c r="K2619" s="1">
        <v>1975.0</v>
      </c>
      <c r="L2619" s="1">
        <v>8.0</v>
      </c>
      <c r="O2619" s="3"/>
      <c r="S2619" s="4"/>
    </row>
    <row r="2620" ht="14.25" customHeight="1">
      <c r="A2620" s="1" t="s">
        <v>724</v>
      </c>
      <c r="B2620" s="1">
        <v>95.0</v>
      </c>
      <c r="C2620" s="1">
        <v>1.01736215E8</v>
      </c>
      <c r="D2620" s="1" t="s">
        <v>828</v>
      </c>
      <c r="E2620" s="1" t="s">
        <v>1865</v>
      </c>
      <c r="F2620" s="1" t="s">
        <v>5322</v>
      </c>
      <c r="G2620" s="1">
        <v>315549.0</v>
      </c>
      <c r="H2620" s="1">
        <v>789.0</v>
      </c>
      <c r="I2620" s="1" t="s">
        <v>16</v>
      </c>
      <c r="J2620" s="1">
        <v>1.1E7</v>
      </c>
      <c r="K2620" s="1">
        <v>1999.0</v>
      </c>
      <c r="L2620" s="1">
        <v>7.0</v>
      </c>
      <c r="O2620" s="3"/>
      <c r="S2620" s="4"/>
    </row>
    <row r="2621" ht="14.25" customHeight="1">
      <c r="A2621" s="1" t="s">
        <v>5323</v>
      </c>
      <c r="B2621" s="1">
        <v>80.0</v>
      </c>
      <c r="C2621" s="1">
        <v>71442.0</v>
      </c>
      <c r="D2621" s="1" t="s">
        <v>5324</v>
      </c>
      <c r="E2621" s="1" t="s">
        <v>4136</v>
      </c>
      <c r="F2621" s="1" t="s">
        <v>5325</v>
      </c>
      <c r="G2621" s="1">
        <v>12029.0</v>
      </c>
      <c r="H2621" s="1">
        <v>32.0</v>
      </c>
      <c r="I2621" s="1" t="s">
        <v>1189</v>
      </c>
      <c r="J2621" s="1">
        <v>9600000.0</v>
      </c>
      <c r="K2621" s="1">
        <v>2012.0</v>
      </c>
      <c r="L2621" s="1">
        <v>7.9</v>
      </c>
      <c r="O2621" s="3"/>
      <c r="S2621" s="4"/>
    </row>
    <row r="2622" ht="14.25" customHeight="1">
      <c r="A2622" s="1" t="s">
        <v>3529</v>
      </c>
      <c r="B2622" s="1">
        <v>94.0</v>
      </c>
      <c r="C2622" s="1">
        <v>7.9817937E7</v>
      </c>
      <c r="D2622" s="1" t="s">
        <v>5326</v>
      </c>
      <c r="E2622" s="1" t="s">
        <v>3848</v>
      </c>
      <c r="F2622" s="1" t="s">
        <v>5327</v>
      </c>
      <c r="G2622" s="1">
        <v>39798.0</v>
      </c>
      <c r="H2622" s="1">
        <v>69.0</v>
      </c>
      <c r="I2622" s="1" t="s">
        <v>16</v>
      </c>
      <c r="J2622" s="1">
        <v>2.5E7</v>
      </c>
      <c r="K2622" s="1">
        <v>1986.0</v>
      </c>
      <c r="L2622" s="1">
        <v>5.9</v>
      </c>
      <c r="O2622" s="3"/>
      <c r="S2622" s="4"/>
    </row>
    <row r="2623" ht="14.25" customHeight="1">
      <c r="A2623" s="1" t="s">
        <v>563</v>
      </c>
      <c r="B2623" s="1">
        <v>122.0</v>
      </c>
      <c r="C2623" s="1">
        <v>9.1547205E7</v>
      </c>
      <c r="D2623" s="1" t="s">
        <v>699</v>
      </c>
      <c r="E2623" s="1" t="s">
        <v>4368</v>
      </c>
      <c r="F2623" s="1" t="s">
        <v>5328</v>
      </c>
      <c r="G2623" s="1">
        <v>34579.0</v>
      </c>
      <c r="H2623" s="1">
        <v>62.0</v>
      </c>
      <c r="I2623" s="1" t="s">
        <v>16</v>
      </c>
      <c r="J2623" s="1">
        <v>1.2E7</v>
      </c>
      <c r="K2623" s="1">
        <v>2012.0</v>
      </c>
      <c r="L2623" s="1">
        <v>6.6</v>
      </c>
      <c r="O2623" s="3"/>
      <c r="S2623" s="4"/>
    </row>
    <row r="2624" ht="14.25" customHeight="1">
      <c r="A2624" s="1" t="s">
        <v>563</v>
      </c>
      <c r="B2624" s="1">
        <v>102.0</v>
      </c>
      <c r="C2624" s="1">
        <v>7.507495E7</v>
      </c>
      <c r="D2624" s="1" t="s">
        <v>1059</v>
      </c>
      <c r="E2624" s="1" t="s">
        <v>5179</v>
      </c>
      <c r="F2624" s="1" t="s">
        <v>5329</v>
      </c>
      <c r="G2624" s="1">
        <v>22147.0</v>
      </c>
      <c r="H2624" s="1">
        <v>156.0</v>
      </c>
      <c r="I2624" s="1" t="s">
        <v>16</v>
      </c>
      <c r="J2624" s="1">
        <v>1.2E7</v>
      </c>
      <c r="K2624" s="1">
        <v>2002.0</v>
      </c>
      <c r="L2624" s="1">
        <v>6.3</v>
      </c>
      <c r="O2624" s="3"/>
      <c r="S2624" s="4"/>
    </row>
    <row r="2625" ht="14.25" customHeight="1">
      <c r="A2625" s="1" t="s">
        <v>3559</v>
      </c>
      <c r="B2625" s="1">
        <v>116.0</v>
      </c>
      <c r="C2625" s="1">
        <v>7.89E7</v>
      </c>
      <c r="D2625" s="1" t="s">
        <v>30</v>
      </c>
      <c r="E2625" s="1" t="s">
        <v>914</v>
      </c>
      <c r="F2625" s="1" t="s">
        <v>5330</v>
      </c>
      <c r="G2625" s="1">
        <v>91414.0</v>
      </c>
      <c r="H2625" s="1">
        <v>359.0</v>
      </c>
      <c r="I2625" s="1" t="s">
        <v>16</v>
      </c>
      <c r="J2625" s="1">
        <v>1.1E7</v>
      </c>
      <c r="K2625" s="1">
        <v>1982.0</v>
      </c>
      <c r="L2625" s="1">
        <v>7.7</v>
      </c>
      <c r="O2625" s="3"/>
      <c r="S2625" s="4"/>
    </row>
    <row r="2626" ht="14.25" customHeight="1">
      <c r="A2626" s="1" t="s">
        <v>221</v>
      </c>
      <c r="B2626" s="1">
        <v>78.0</v>
      </c>
      <c r="C2626" s="1">
        <v>7.2217E7</v>
      </c>
      <c r="D2626" s="1" t="s">
        <v>828</v>
      </c>
      <c r="E2626" s="1" t="s">
        <v>5331</v>
      </c>
      <c r="F2626" s="1" t="s">
        <v>5332</v>
      </c>
      <c r="G2626" s="1">
        <v>216486.0</v>
      </c>
      <c r="H2626" s="1">
        <v>242.0</v>
      </c>
      <c r="I2626" s="1" t="s">
        <v>16</v>
      </c>
      <c r="J2626" s="1">
        <v>1.2E7</v>
      </c>
      <c r="K2626" s="1">
        <v>1994.0</v>
      </c>
      <c r="L2626" s="1">
        <v>6.9</v>
      </c>
      <c r="O2626" s="3"/>
      <c r="S2626" s="4"/>
    </row>
    <row r="2627" ht="14.25" customHeight="1">
      <c r="A2627" s="1" t="s">
        <v>5333</v>
      </c>
      <c r="B2627" s="1">
        <v>114.0</v>
      </c>
      <c r="C2627" s="1">
        <v>7.9568E7</v>
      </c>
      <c r="D2627" s="1" t="s">
        <v>1210</v>
      </c>
      <c r="E2627" s="1" t="s">
        <v>383</v>
      </c>
      <c r="F2627" s="1" t="s">
        <v>5334</v>
      </c>
      <c r="G2627" s="1">
        <v>71842.0</v>
      </c>
      <c r="H2627" s="1">
        <v>152.0</v>
      </c>
      <c r="I2627" s="1" t="s">
        <v>16</v>
      </c>
      <c r="J2627" s="1">
        <v>1.2E7</v>
      </c>
      <c r="K2627" s="1">
        <v>1983.0</v>
      </c>
      <c r="L2627" s="1">
        <v>7.1</v>
      </c>
      <c r="O2627" s="3"/>
      <c r="S2627" s="4"/>
    </row>
    <row r="2628" ht="14.25" customHeight="1">
      <c r="A2628" s="1" t="s">
        <v>463</v>
      </c>
      <c r="B2628" s="1">
        <v>112.0</v>
      </c>
      <c r="C2628" s="1">
        <v>6.55E7</v>
      </c>
      <c r="D2628" s="1" t="s">
        <v>2126</v>
      </c>
      <c r="E2628" s="1" t="s">
        <v>169</v>
      </c>
      <c r="F2628" s="1" t="s">
        <v>5335</v>
      </c>
      <c r="G2628" s="1">
        <v>66966.0</v>
      </c>
      <c r="H2628" s="1">
        <v>175.0</v>
      </c>
      <c r="I2628" s="1" t="s">
        <v>16</v>
      </c>
      <c r="J2628" s="1">
        <v>1.2E7</v>
      </c>
      <c r="K2628" s="1">
        <v>1985.0</v>
      </c>
      <c r="L2628" s="1">
        <v>7.4</v>
      </c>
      <c r="O2628" s="3"/>
      <c r="S2628" s="4"/>
    </row>
    <row r="2629" ht="14.25" customHeight="1">
      <c r="A2629" s="1" t="s">
        <v>5336</v>
      </c>
      <c r="B2629" s="1">
        <v>110.0</v>
      </c>
      <c r="C2629" s="1">
        <v>7.0011073E7</v>
      </c>
      <c r="D2629" s="1" t="s">
        <v>5337</v>
      </c>
      <c r="E2629" s="1" t="s">
        <v>5338</v>
      </c>
      <c r="F2629" s="1" t="s">
        <v>5339</v>
      </c>
      <c r="G2629" s="1">
        <v>57996.0</v>
      </c>
      <c r="H2629" s="1">
        <v>349.0</v>
      </c>
      <c r="I2629" s="1" t="s">
        <v>16</v>
      </c>
      <c r="J2629" s="1">
        <v>1.2E7</v>
      </c>
      <c r="K2629" s="1">
        <v>2012.0</v>
      </c>
      <c r="L2629" s="1">
        <v>6.5</v>
      </c>
      <c r="O2629" s="3"/>
      <c r="S2629" s="4"/>
    </row>
    <row r="2630" ht="14.25" customHeight="1">
      <c r="A2630" s="1" t="s">
        <v>2484</v>
      </c>
      <c r="B2630" s="1">
        <v>104.0</v>
      </c>
      <c r="C2630" s="1">
        <v>6.526901E7</v>
      </c>
      <c r="D2630" s="1" t="s">
        <v>5340</v>
      </c>
      <c r="E2630" s="1" t="s">
        <v>191</v>
      </c>
      <c r="F2630" s="1" t="s">
        <v>5341</v>
      </c>
      <c r="G2630" s="1">
        <v>90938.0</v>
      </c>
      <c r="H2630" s="1">
        <v>271.0</v>
      </c>
      <c r="I2630" s="1" t="s">
        <v>16</v>
      </c>
      <c r="J2630" s="1">
        <v>1.2E7</v>
      </c>
      <c r="K2630" s="1">
        <v>2006.0</v>
      </c>
      <c r="L2630" s="1">
        <v>6.5</v>
      </c>
      <c r="O2630" s="3"/>
      <c r="S2630" s="4"/>
    </row>
    <row r="2631" ht="14.25" customHeight="1">
      <c r="A2631" s="1" t="s">
        <v>5342</v>
      </c>
      <c r="B2631" s="1">
        <v>81.0</v>
      </c>
      <c r="C2631" s="1">
        <v>6.3071133E7</v>
      </c>
      <c r="D2631" s="1" t="s">
        <v>5343</v>
      </c>
      <c r="E2631" s="1" t="s">
        <v>415</v>
      </c>
      <c r="F2631" s="1" t="s">
        <v>5344</v>
      </c>
      <c r="G2631" s="1">
        <v>42892.0</v>
      </c>
      <c r="H2631" s="1">
        <v>154.0</v>
      </c>
      <c r="I2631" s="1" t="s">
        <v>16</v>
      </c>
      <c r="J2631" s="1">
        <v>1.2E7</v>
      </c>
      <c r="K2631" s="1">
        <v>1996.0</v>
      </c>
      <c r="L2631" s="1">
        <v>6.8</v>
      </c>
      <c r="O2631" s="3"/>
      <c r="S2631" s="4"/>
    </row>
    <row r="2632" ht="14.25" customHeight="1">
      <c r="A2632" s="1" t="s">
        <v>734</v>
      </c>
      <c r="B2632" s="1">
        <v>154.0</v>
      </c>
      <c r="C2632" s="1">
        <v>3.9647595E7</v>
      </c>
      <c r="D2632" s="1" t="s">
        <v>640</v>
      </c>
      <c r="E2632" s="1" t="s">
        <v>725</v>
      </c>
      <c r="F2632" s="1" t="s">
        <v>5345</v>
      </c>
      <c r="G2632" s="1">
        <v>239540.0</v>
      </c>
      <c r="H2632" s="1">
        <v>462.0</v>
      </c>
      <c r="I2632" s="1" t="s">
        <v>16</v>
      </c>
      <c r="J2632" s="1">
        <v>1.2E7</v>
      </c>
      <c r="K2632" s="1">
        <v>1997.0</v>
      </c>
      <c r="L2632" s="1">
        <v>7.5</v>
      </c>
      <c r="O2632" s="3"/>
      <c r="S2632" s="4"/>
    </row>
    <row r="2633" ht="14.25" customHeight="1">
      <c r="A2633" s="1" t="s">
        <v>2108</v>
      </c>
      <c r="B2633" s="1">
        <v>102.0</v>
      </c>
      <c r="C2633" s="1">
        <v>3.8087366E7</v>
      </c>
      <c r="D2633" s="1" t="s">
        <v>1720</v>
      </c>
      <c r="E2633" s="1" t="s">
        <v>2952</v>
      </c>
      <c r="F2633" s="1" t="s">
        <v>5346</v>
      </c>
      <c r="G2633" s="1">
        <v>113918.0</v>
      </c>
      <c r="H2633" s="1">
        <v>165.0</v>
      </c>
      <c r="I2633" s="1" t="s">
        <v>16</v>
      </c>
      <c r="J2633" s="1">
        <v>1.2E7</v>
      </c>
      <c r="K2633" s="1">
        <v>2008.0</v>
      </c>
      <c r="L2633" s="1">
        <v>6.6</v>
      </c>
      <c r="O2633" s="3"/>
      <c r="S2633" s="4"/>
    </row>
    <row r="2634" ht="14.25" customHeight="1">
      <c r="A2634" s="1" t="s">
        <v>626</v>
      </c>
      <c r="B2634" s="1">
        <v>89.0</v>
      </c>
      <c r="C2634" s="1">
        <v>6.4572496E7</v>
      </c>
      <c r="D2634" s="1" t="s">
        <v>1112</v>
      </c>
      <c r="E2634" s="1" t="s">
        <v>1560</v>
      </c>
      <c r="F2634" s="1" t="s">
        <v>5347</v>
      </c>
      <c r="G2634" s="1">
        <v>204327.0</v>
      </c>
      <c r="H2634" s="1">
        <v>471.0</v>
      </c>
      <c r="I2634" s="1" t="s">
        <v>16</v>
      </c>
      <c r="J2634" s="1">
        <v>1.2E7</v>
      </c>
      <c r="K2634" s="1">
        <v>2012.0</v>
      </c>
      <c r="L2634" s="1">
        <v>7.1</v>
      </c>
      <c r="O2634" s="3"/>
      <c r="S2634" s="4"/>
    </row>
    <row r="2635" ht="14.25" customHeight="1">
      <c r="A2635" s="1" t="s">
        <v>2436</v>
      </c>
      <c r="B2635" s="1">
        <v>132.0</v>
      </c>
      <c r="C2635" s="1">
        <v>3.04E7</v>
      </c>
      <c r="D2635" s="1" t="s">
        <v>1170</v>
      </c>
      <c r="E2635" s="1" t="s">
        <v>2610</v>
      </c>
      <c r="F2635" s="1" t="s">
        <v>5348</v>
      </c>
      <c r="G2635" s="1">
        <v>9503.0</v>
      </c>
      <c r="H2635" s="1">
        <v>68.0</v>
      </c>
      <c r="I2635" s="1" t="s">
        <v>16</v>
      </c>
      <c r="J2635" s="1">
        <v>1.2E7</v>
      </c>
      <c r="K2635" s="1">
        <v>1983.0</v>
      </c>
      <c r="L2635" s="1">
        <v>6.6</v>
      </c>
      <c r="O2635" s="3"/>
      <c r="S2635" s="4"/>
    </row>
    <row r="2636" ht="14.25" customHeight="1">
      <c r="A2636" s="1" t="s">
        <v>1150</v>
      </c>
      <c r="B2636" s="1">
        <v>103.0</v>
      </c>
      <c r="C2636" s="1">
        <v>4.23656E7</v>
      </c>
      <c r="D2636" s="1" t="s">
        <v>5349</v>
      </c>
      <c r="E2636" s="1" t="s">
        <v>5350</v>
      </c>
      <c r="F2636" s="1" t="s">
        <v>5351</v>
      </c>
      <c r="G2636" s="1">
        <v>45890.0</v>
      </c>
      <c r="H2636" s="1">
        <v>177.0</v>
      </c>
      <c r="I2636" s="1" t="s">
        <v>16</v>
      </c>
      <c r="J2636" s="1">
        <v>5000000.0</v>
      </c>
      <c r="K2636" s="1">
        <v>1981.0</v>
      </c>
      <c r="L2636" s="1">
        <v>7.0</v>
      </c>
      <c r="O2636" s="3"/>
      <c r="S2636" s="4"/>
    </row>
    <row r="2637" ht="14.25" customHeight="1">
      <c r="A2637" s="1" t="s">
        <v>5352</v>
      </c>
      <c r="B2637" s="1">
        <v>93.0</v>
      </c>
      <c r="C2637" s="1">
        <v>3.7188667E7</v>
      </c>
      <c r="D2637" s="1" t="s">
        <v>1059</v>
      </c>
      <c r="E2637" s="1" t="s">
        <v>5353</v>
      </c>
      <c r="F2637" s="1" t="s">
        <v>5354</v>
      </c>
      <c r="G2637" s="1">
        <v>34219.0</v>
      </c>
      <c r="H2637" s="1">
        <v>578.0</v>
      </c>
      <c r="I2637" s="1" t="s">
        <v>16</v>
      </c>
      <c r="J2637" s="1">
        <v>1.2E7</v>
      </c>
      <c r="K2637" s="1">
        <v>2002.0</v>
      </c>
      <c r="L2637" s="1">
        <v>3.3</v>
      </c>
      <c r="O2637" s="3"/>
      <c r="S2637" s="4"/>
    </row>
    <row r="2638" ht="14.25" customHeight="1">
      <c r="A2638" s="1" t="s">
        <v>5355</v>
      </c>
      <c r="B2638" s="1">
        <v>93.0</v>
      </c>
      <c r="C2638" s="1">
        <v>5.4724272E7</v>
      </c>
      <c r="D2638" s="1" t="s">
        <v>427</v>
      </c>
      <c r="E2638" s="1" t="s">
        <v>5356</v>
      </c>
      <c r="F2638" s="1" t="s">
        <v>5357</v>
      </c>
      <c r="G2638" s="1">
        <v>157051.0</v>
      </c>
      <c r="H2638" s="1">
        <v>261.0</v>
      </c>
      <c r="I2638" s="1" t="s">
        <v>16</v>
      </c>
      <c r="J2638" s="1">
        <v>1.2E7</v>
      </c>
      <c r="K2638" s="1">
        <v>2012.0</v>
      </c>
      <c r="L2638" s="1">
        <v>6.7</v>
      </c>
      <c r="O2638" s="3"/>
      <c r="S2638" s="4"/>
    </row>
    <row r="2639" ht="14.25" customHeight="1">
      <c r="A2639" s="1" t="s">
        <v>5033</v>
      </c>
      <c r="B2639" s="1">
        <v>96.0</v>
      </c>
      <c r="C2639" s="1">
        <v>3.1597131E7</v>
      </c>
      <c r="D2639" s="1" t="s">
        <v>1654</v>
      </c>
      <c r="E2639" s="1" t="s">
        <v>346</v>
      </c>
      <c r="F2639" s="1" t="s">
        <v>5358</v>
      </c>
      <c r="G2639" s="1">
        <v>97938.0</v>
      </c>
      <c r="H2639" s="1">
        <v>605.0</v>
      </c>
      <c r="I2639" s="1" t="s">
        <v>16</v>
      </c>
      <c r="J2639" s="1">
        <v>1.2E7</v>
      </c>
      <c r="K2639" s="1">
        <v>2002.0</v>
      </c>
      <c r="L2639" s="1">
        <v>6.8</v>
      </c>
      <c r="O2639" s="3"/>
      <c r="S2639" s="4"/>
    </row>
    <row r="2640" ht="14.25" customHeight="1">
      <c r="A2640" s="1" t="s">
        <v>5359</v>
      </c>
      <c r="B2640" s="1">
        <v>89.0</v>
      </c>
      <c r="C2640" s="1">
        <v>3.1691811E7</v>
      </c>
      <c r="D2640" s="1" t="s">
        <v>1764</v>
      </c>
      <c r="E2640" s="1" t="s">
        <v>4314</v>
      </c>
      <c r="F2640" s="1" t="s">
        <v>5360</v>
      </c>
      <c r="G2640" s="1">
        <v>57446.0</v>
      </c>
      <c r="H2640" s="1">
        <v>369.0</v>
      </c>
      <c r="I2640" s="1" t="s">
        <v>16</v>
      </c>
      <c r="J2640" s="1">
        <v>1.2E7</v>
      </c>
      <c r="K2640" s="1">
        <v>2008.0</v>
      </c>
      <c r="L2640" s="1">
        <v>6.0</v>
      </c>
      <c r="O2640" s="3"/>
      <c r="S2640" s="4"/>
    </row>
    <row r="2641" ht="14.25" customHeight="1">
      <c r="A2641" s="1" t="s">
        <v>5361</v>
      </c>
      <c r="B2641" s="1">
        <v>92.0</v>
      </c>
      <c r="C2641" s="1">
        <v>3.1397498E7</v>
      </c>
      <c r="D2641" s="1" t="s">
        <v>2512</v>
      </c>
      <c r="E2641" s="1" t="s">
        <v>210</v>
      </c>
      <c r="F2641" s="1" t="s">
        <v>5362</v>
      </c>
      <c r="G2641" s="1">
        <v>44130.0</v>
      </c>
      <c r="H2641" s="1">
        <v>156.0</v>
      </c>
      <c r="I2641" s="1" t="s">
        <v>16</v>
      </c>
      <c r="J2641" s="1">
        <v>1.2E7</v>
      </c>
      <c r="K2641" s="1">
        <v>2008.0</v>
      </c>
      <c r="L2641" s="1">
        <v>5.4</v>
      </c>
      <c r="O2641" s="3"/>
      <c r="S2641" s="4"/>
    </row>
    <row r="2642" ht="14.25" customHeight="1">
      <c r="A2642" s="1" t="s">
        <v>5363</v>
      </c>
      <c r="B2642" s="1">
        <v>97.0</v>
      </c>
      <c r="C2642" s="1">
        <v>3.1179516E7</v>
      </c>
      <c r="D2642" s="1" t="s">
        <v>828</v>
      </c>
      <c r="E2642" s="1" t="s">
        <v>732</v>
      </c>
      <c r="F2642" s="1" t="s">
        <v>5364</v>
      </c>
      <c r="G2642" s="1">
        <v>5928.0</v>
      </c>
      <c r="H2642" s="1">
        <v>49.0</v>
      </c>
      <c r="I2642" s="1" t="s">
        <v>16</v>
      </c>
      <c r="J2642" s="1">
        <v>1.2E7</v>
      </c>
      <c r="K2642" s="1">
        <v>2004.0</v>
      </c>
      <c r="L2642" s="1">
        <v>4.3</v>
      </c>
      <c r="O2642" s="3"/>
      <c r="S2642" s="4"/>
    </row>
    <row r="2643" ht="14.25" customHeight="1">
      <c r="A2643" s="1" t="s">
        <v>1864</v>
      </c>
      <c r="B2643" s="1">
        <v>93.0</v>
      </c>
      <c r="C2643" s="1">
        <v>3.1155435E7</v>
      </c>
      <c r="D2643" s="1" t="s">
        <v>1148</v>
      </c>
      <c r="E2643" s="1" t="s">
        <v>1937</v>
      </c>
      <c r="F2643" s="1" t="s">
        <v>5365</v>
      </c>
      <c r="G2643" s="1">
        <v>42644.0</v>
      </c>
      <c r="H2643" s="1">
        <v>102.0</v>
      </c>
      <c r="I2643" s="1" t="s">
        <v>16</v>
      </c>
      <c r="J2643" s="1">
        <v>1.2E7</v>
      </c>
      <c r="K2643" s="1">
        <v>2001.0</v>
      </c>
      <c r="L2643" s="1">
        <v>6.2</v>
      </c>
      <c r="O2643" s="3"/>
      <c r="S2643" s="4"/>
    </row>
    <row r="2644" ht="14.25" customHeight="1">
      <c r="A2644" s="1" t="s">
        <v>5366</v>
      </c>
      <c r="B2644" s="1">
        <v>89.0</v>
      </c>
      <c r="C2644" s="1">
        <v>2.7281507E7</v>
      </c>
      <c r="D2644" s="1" t="s">
        <v>5367</v>
      </c>
      <c r="E2644" s="1" t="s">
        <v>5368</v>
      </c>
      <c r="F2644" s="1" t="s">
        <v>5369</v>
      </c>
      <c r="G2644" s="1">
        <v>33850.0</v>
      </c>
      <c r="H2644" s="1">
        <v>147.0</v>
      </c>
      <c r="I2644" s="1" t="s">
        <v>16</v>
      </c>
      <c r="J2644" s="1">
        <v>1.2E7</v>
      </c>
      <c r="K2644" s="1">
        <v>1992.0</v>
      </c>
      <c r="L2644" s="1">
        <v>7.7</v>
      </c>
      <c r="O2644" s="3"/>
      <c r="S2644" s="4"/>
    </row>
    <row r="2645" ht="14.25" customHeight="1">
      <c r="A2645" s="1" t="s">
        <v>136</v>
      </c>
      <c r="B2645" s="1">
        <v>144.0</v>
      </c>
      <c r="C2645" s="1">
        <v>1.67007184E8</v>
      </c>
      <c r="D2645" s="1" t="s">
        <v>22</v>
      </c>
      <c r="E2645" s="1" t="s">
        <v>655</v>
      </c>
      <c r="F2645" s="1" t="s">
        <v>709</v>
      </c>
      <c r="G2645" s="1">
        <v>470501.0</v>
      </c>
      <c r="H2645" s="1">
        <v>2301.0</v>
      </c>
      <c r="I2645" s="1" t="s">
        <v>16</v>
      </c>
      <c r="J2645" s="1">
        <v>1.5E8</v>
      </c>
      <c r="K2645" s="1">
        <v>2006.0</v>
      </c>
      <c r="L2645" s="1">
        <v>8.0</v>
      </c>
      <c r="O2645" s="3"/>
      <c r="S2645" s="4"/>
    </row>
    <row r="2646" ht="14.25" customHeight="1">
      <c r="A2646" s="1" t="s">
        <v>2342</v>
      </c>
      <c r="B2646" s="1">
        <v>123.0</v>
      </c>
      <c r="C2646" s="1">
        <v>2.5776062E7</v>
      </c>
      <c r="D2646" s="1" t="s">
        <v>2521</v>
      </c>
      <c r="E2646" s="1" t="s">
        <v>500</v>
      </c>
      <c r="F2646" s="1" t="s">
        <v>5370</v>
      </c>
      <c r="G2646" s="1">
        <v>61651.0</v>
      </c>
      <c r="H2646" s="1">
        <v>271.0</v>
      </c>
      <c r="I2646" s="1" t="s">
        <v>16</v>
      </c>
      <c r="J2646" s="1">
        <v>1.2E7</v>
      </c>
      <c r="K2646" s="1">
        <v>2002.0</v>
      </c>
      <c r="L2646" s="1">
        <v>7.4</v>
      </c>
      <c r="O2646" s="3"/>
      <c r="S2646" s="4"/>
    </row>
    <row r="2647" ht="14.25" customHeight="1">
      <c r="A2647" s="1" t="s">
        <v>5371</v>
      </c>
      <c r="B2647" s="1">
        <v>93.0</v>
      </c>
      <c r="C2647" s="1">
        <v>2.5240988E7</v>
      </c>
      <c r="D2647" s="1" t="s">
        <v>1651</v>
      </c>
      <c r="E2647" s="1" t="s">
        <v>5372</v>
      </c>
      <c r="F2647" s="1" t="s">
        <v>5373</v>
      </c>
      <c r="G2647" s="1">
        <v>12383.0</v>
      </c>
      <c r="H2647" s="1">
        <v>50.0</v>
      </c>
      <c r="I2647" s="1" t="s">
        <v>16</v>
      </c>
      <c r="J2647" s="1">
        <v>1.2E7</v>
      </c>
      <c r="K2647" s="1">
        <v>2012.0</v>
      </c>
      <c r="L2647" s="1">
        <v>5.9</v>
      </c>
      <c r="O2647" s="3"/>
      <c r="S2647" s="4"/>
    </row>
    <row r="2648" ht="14.25" customHeight="1">
      <c r="A2648" s="1" t="s">
        <v>5374</v>
      </c>
      <c r="B2648" s="1">
        <v>133.0</v>
      </c>
      <c r="C2648" s="1">
        <v>1.24868837E8</v>
      </c>
      <c r="D2648" s="1" t="s">
        <v>92</v>
      </c>
      <c r="E2648" s="1" t="s">
        <v>4144</v>
      </c>
      <c r="F2648" s="1" t="s">
        <v>5375</v>
      </c>
      <c r="G2648" s="1">
        <v>249688.0</v>
      </c>
      <c r="H2648" s="1">
        <v>548.0</v>
      </c>
      <c r="I2648" s="1" t="s">
        <v>16</v>
      </c>
      <c r="J2648" s="1">
        <v>1.2E7</v>
      </c>
      <c r="K2648" s="1">
        <v>2014.0</v>
      </c>
      <c r="L2648" s="1">
        <v>7.8</v>
      </c>
      <c r="O2648" s="3"/>
      <c r="S2648" s="4"/>
    </row>
    <row r="2649" ht="14.25" customHeight="1">
      <c r="A2649" s="1" t="s">
        <v>1803</v>
      </c>
      <c r="B2649" s="1">
        <v>121.0</v>
      </c>
      <c r="C2649" s="1">
        <v>2.2905674E7</v>
      </c>
      <c r="D2649" s="1" t="s">
        <v>811</v>
      </c>
      <c r="E2649" s="1" t="s">
        <v>486</v>
      </c>
      <c r="F2649" s="1" t="s">
        <v>5376</v>
      </c>
      <c r="G2649" s="1">
        <v>121676.0</v>
      </c>
      <c r="H2649" s="1">
        <v>290.0</v>
      </c>
      <c r="I2649" s="1" t="s">
        <v>16</v>
      </c>
      <c r="J2649" s="1">
        <v>1.2E7</v>
      </c>
      <c r="K2649" s="1">
        <v>1998.0</v>
      </c>
      <c r="L2649" s="1">
        <v>7.4</v>
      </c>
      <c r="O2649" s="3"/>
      <c r="S2649" s="4"/>
    </row>
    <row r="2650" ht="14.25" customHeight="1">
      <c r="A2650" s="1" t="s">
        <v>2877</v>
      </c>
      <c r="B2650" s="1">
        <v>102.0</v>
      </c>
      <c r="C2650" s="1">
        <v>2.5277561E7</v>
      </c>
      <c r="D2650" s="1" t="s">
        <v>699</v>
      </c>
      <c r="E2650" s="1" t="s">
        <v>798</v>
      </c>
      <c r="F2650" s="1" t="s">
        <v>5377</v>
      </c>
      <c r="G2650" s="1">
        <v>21672.0</v>
      </c>
      <c r="H2650" s="1">
        <v>93.0</v>
      </c>
      <c r="I2650" s="1" t="s">
        <v>16</v>
      </c>
      <c r="J2650" s="1">
        <v>1.2E7</v>
      </c>
      <c r="K2650" s="1">
        <v>2014.0</v>
      </c>
      <c r="L2650" s="1">
        <v>6.5</v>
      </c>
      <c r="O2650" s="3"/>
      <c r="S2650" s="4"/>
    </row>
    <row r="2651" ht="14.25" customHeight="1">
      <c r="A2651" s="1" t="s">
        <v>1797</v>
      </c>
      <c r="B2651" s="1">
        <v>99.0</v>
      </c>
      <c r="C2651" s="1">
        <v>2.1133087E7</v>
      </c>
      <c r="D2651" s="1" t="s">
        <v>1239</v>
      </c>
      <c r="E2651" s="1" t="s">
        <v>3145</v>
      </c>
      <c r="F2651" s="1" t="s">
        <v>5378</v>
      </c>
      <c r="G2651" s="1">
        <v>62468.0</v>
      </c>
      <c r="H2651" s="1">
        <v>374.0</v>
      </c>
      <c r="I2651" s="1" t="s">
        <v>16</v>
      </c>
      <c r="J2651" s="1">
        <v>1.2E7</v>
      </c>
      <c r="K2651" s="1">
        <v>1999.0</v>
      </c>
      <c r="L2651" s="1">
        <v>7.0</v>
      </c>
      <c r="O2651" s="3"/>
      <c r="S2651" s="4"/>
    </row>
    <row r="2652" ht="14.25" customHeight="1">
      <c r="A2652" s="1" t="s">
        <v>2251</v>
      </c>
      <c r="B2652" s="1">
        <v>98.0</v>
      </c>
      <c r="C2652" s="1">
        <v>3.7707719E7</v>
      </c>
      <c r="D2652" s="1" t="s">
        <v>646</v>
      </c>
      <c r="E2652" s="1" t="s">
        <v>1216</v>
      </c>
      <c r="F2652" s="1" t="s">
        <v>5379</v>
      </c>
      <c r="G2652" s="1">
        <v>76094.0</v>
      </c>
      <c r="H2652" s="1">
        <v>233.0</v>
      </c>
      <c r="I2652" s="1" t="s">
        <v>16</v>
      </c>
      <c r="J2652" s="1">
        <v>1.2E7</v>
      </c>
      <c r="K2652" s="1">
        <v>2013.0</v>
      </c>
      <c r="L2652" s="1">
        <v>7.6</v>
      </c>
      <c r="O2652" s="3"/>
      <c r="S2652" s="4"/>
    </row>
    <row r="2653" ht="14.25" customHeight="1">
      <c r="A2653" s="1" t="s">
        <v>4277</v>
      </c>
      <c r="B2653" s="1">
        <v>118.0</v>
      </c>
      <c r="C2653" s="1">
        <v>1.8761993E7</v>
      </c>
      <c r="D2653" s="1" t="s">
        <v>1059</v>
      </c>
      <c r="E2653" s="1" t="s">
        <v>3180</v>
      </c>
      <c r="F2653" s="1" t="s">
        <v>5380</v>
      </c>
      <c r="G2653" s="1">
        <v>19007.0</v>
      </c>
      <c r="H2653" s="1">
        <v>219.0</v>
      </c>
      <c r="I2653" s="1" t="s">
        <v>16</v>
      </c>
      <c r="J2653" s="1">
        <v>9000000.0</v>
      </c>
      <c r="K2653" s="1">
        <v>2005.0</v>
      </c>
      <c r="L2653" s="1">
        <v>6.9</v>
      </c>
      <c r="O2653" s="3"/>
      <c r="S2653" s="4"/>
    </row>
    <row r="2654" ht="14.25" customHeight="1">
      <c r="A2654" s="1" t="s">
        <v>4926</v>
      </c>
      <c r="B2654" s="1">
        <v>104.0</v>
      </c>
      <c r="C2654" s="1">
        <v>1.8595716E7</v>
      </c>
      <c r="D2654" s="1" t="s">
        <v>1088</v>
      </c>
      <c r="E2654" s="1" t="s">
        <v>5381</v>
      </c>
      <c r="F2654" s="1" t="s">
        <v>5382</v>
      </c>
      <c r="G2654" s="1">
        <v>30462.0</v>
      </c>
      <c r="H2654" s="1">
        <v>150.0</v>
      </c>
      <c r="I2654" s="1" t="s">
        <v>16</v>
      </c>
      <c r="J2654" s="1">
        <v>1.2E7</v>
      </c>
      <c r="K2654" s="1">
        <v>2006.0</v>
      </c>
      <c r="L2654" s="1">
        <v>5.3</v>
      </c>
      <c r="O2654" s="3"/>
      <c r="S2654" s="4"/>
    </row>
    <row r="2655" ht="14.25" customHeight="1">
      <c r="A2655" s="1" t="s">
        <v>5383</v>
      </c>
      <c r="B2655" s="1">
        <v>109.0</v>
      </c>
      <c r="C2655" s="1">
        <v>3.1990064E7</v>
      </c>
      <c r="D2655" s="1" t="s">
        <v>1556</v>
      </c>
      <c r="E2655" s="1" t="s">
        <v>5384</v>
      </c>
      <c r="F2655" s="1" t="s">
        <v>5385</v>
      </c>
      <c r="G2655" s="1">
        <v>63390.0</v>
      </c>
      <c r="H2655" s="1">
        <v>160.0</v>
      </c>
      <c r="I2655" s="1" t="s">
        <v>16</v>
      </c>
      <c r="J2655" s="1">
        <v>1.2E7</v>
      </c>
      <c r="K2655" s="1">
        <v>2015.0</v>
      </c>
      <c r="L2655" s="1">
        <v>6.4</v>
      </c>
      <c r="O2655" s="3"/>
      <c r="S2655" s="4"/>
    </row>
    <row r="2656" ht="14.25" customHeight="1">
      <c r="A2656" s="1" t="s">
        <v>3242</v>
      </c>
      <c r="B2656" s="1">
        <v>115.0</v>
      </c>
      <c r="C2656" s="1">
        <v>1.761346E7</v>
      </c>
      <c r="D2656" s="1" t="s">
        <v>2162</v>
      </c>
      <c r="E2656" s="1" t="s">
        <v>5386</v>
      </c>
      <c r="F2656" s="1" t="s">
        <v>5387</v>
      </c>
      <c r="G2656" s="1">
        <v>91082.0</v>
      </c>
      <c r="H2656" s="1">
        <v>274.0</v>
      </c>
      <c r="I2656" s="1" t="s">
        <v>16</v>
      </c>
      <c r="J2656" s="1">
        <v>1.2E7</v>
      </c>
      <c r="K2656" s="1">
        <v>2013.0</v>
      </c>
      <c r="L2656" s="1">
        <v>7.8</v>
      </c>
      <c r="O2656" s="3"/>
      <c r="S2656" s="4"/>
    </row>
    <row r="2657" ht="14.25" customHeight="1">
      <c r="A2657" s="1" t="s">
        <v>5388</v>
      </c>
      <c r="B2657" s="1">
        <v>92.0</v>
      </c>
      <c r="C2657" s="1">
        <v>2.1088568E7</v>
      </c>
      <c r="D2657" s="1" t="s">
        <v>3506</v>
      </c>
      <c r="E2657" s="1" t="s">
        <v>14</v>
      </c>
      <c r="F2657" s="1" t="s">
        <v>5389</v>
      </c>
      <c r="G2657" s="1">
        <v>16646.0</v>
      </c>
      <c r="H2657" s="1">
        <v>104.0</v>
      </c>
      <c r="I2657" s="1" t="s">
        <v>16</v>
      </c>
      <c r="J2657" s="1">
        <v>1.3E7</v>
      </c>
      <c r="K2657" s="1">
        <v>1995.0</v>
      </c>
      <c r="L2657" s="1">
        <v>6.7</v>
      </c>
      <c r="O2657" s="3"/>
      <c r="S2657" s="4"/>
    </row>
    <row r="2658" ht="14.25" customHeight="1">
      <c r="A2658" s="1" t="s">
        <v>1594</v>
      </c>
      <c r="B2658" s="1">
        <v>91.0</v>
      </c>
      <c r="C2658" s="1">
        <v>1.7292381E7</v>
      </c>
      <c r="D2658" s="1" t="s">
        <v>5390</v>
      </c>
      <c r="E2658" s="1" t="s">
        <v>615</v>
      </c>
      <c r="F2658" s="1" t="s">
        <v>5391</v>
      </c>
      <c r="G2658" s="1">
        <v>5794.0</v>
      </c>
      <c r="H2658" s="1">
        <v>69.0</v>
      </c>
      <c r="I2658" s="1" t="s">
        <v>16</v>
      </c>
      <c r="J2658" s="1">
        <v>1.2E7</v>
      </c>
      <c r="K2658" s="1">
        <v>2001.0</v>
      </c>
      <c r="L2658" s="1">
        <v>5.3</v>
      </c>
      <c r="O2658" s="3"/>
      <c r="S2658" s="4"/>
    </row>
    <row r="2659" ht="14.25" customHeight="1">
      <c r="A2659" s="1" t="s">
        <v>3240</v>
      </c>
      <c r="B2659" s="1">
        <v>94.0</v>
      </c>
      <c r="C2659" s="1">
        <v>1.6300302E7</v>
      </c>
      <c r="D2659" s="1" t="s">
        <v>1059</v>
      </c>
      <c r="E2659" s="1" t="s">
        <v>1139</v>
      </c>
      <c r="F2659" s="1" t="s">
        <v>5392</v>
      </c>
      <c r="G2659" s="1">
        <v>64682.0</v>
      </c>
      <c r="H2659" s="1">
        <v>203.0</v>
      </c>
      <c r="I2659" s="1" t="s">
        <v>16</v>
      </c>
      <c r="J2659" s="1">
        <v>1.2E7</v>
      </c>
      <c r="K2659" s="1">
        <v>2011.0</v>
      </c>
      <c r="L2659" s="1">
        <v>6.3</v>
      </c>
      <c r="O2659" s="3"/>
      <c r="S2659" s="4"/>
    </row>
    <row r="2660" ht="14.25" customHeight="1">
      <c r="A2660" s="1" t="s">
        <v>1839</v>
      </c>
      <c r="B2660" s="1">
        <v>93.0</v>
      </c>
      <c r="C2660" s="1">
        <v>2.7829874E7</v>
      </c>
      <c r="D2660" s="1" t="s">
        <v>146</v>
      </c>
      <c r="E2660" s="1" t="s">
        <v>147</v>
      </c>
      <c r="F2660" s="1" t="s">
        <v>5393</v>
      </c>
      <c r="G2660" s="1">
        <v>196422.0</v>
      </c>
      <c r="H2660" s="1">
        <v>444.0</v>
      </c>
      <c r="I2660" s="1" t="s">
        <v>16</v>
      </c>
      <c r="J2660" s="1">
        <v>1.2E7</v>
      </c>
      <c r="K2660" s="1">
        <v>2006.0</v>
      </c>
      <c r="L2660" s="1">
        <v>7.0</v>
      </c>
      <c r="O2660" s="3"/>
      <c r="S2660" s="4"/>
    </row>
    <row r="2661" ht="14.25" customHeight="1">
      <c r="A2661" s="1" t="s">
        <v>2195</v>
      </c>
      <c r="B2661" s="1">
        <v>100.0</v>
      </c>
      <c r="C2661" s="1">
        <v>1.290279E7</v>
      </c>
      <c r="D2661" s="1" t="s">
        <v>593</v>
      </c>
      <c r="E2661" s="1" t="s">
        <v>873</v>
      </c>
      <c r="F2661" s="1" t="s">
        <v>5394</v>
      </c>
      <c r="G2661" s="1">
        <v>4052.0</v>
      </c>
      <c r="H2661" s="1">
        <v>88.0</v>
      </c>
      <c r="I2661" s="1" t="s">
        <v>16</v>
      </c>
      <c r="J2661" s="1">
        <v>1.2E7</v>
      </c>
      <c r="K2661" s="1">
        <v>1998.0</v>
      </c>
      <c r="L2661" s="1">
        <v>6.6</v>
      </c>
      <c r="O2661" s="3"/>
      <c r="S2661" s="4"/>
    </row>
    <row r="2662" ht="14.25" customHeight="1">
      <c r="A2662" s="1" t="s">
        <v>303</v>
      </c>
      <c r="B2662" s="1">
        <v>293.0</v>
      </c>
      <c r="C2662" s="1">
        <v>1.1433134E7</v>
      </c>
      <c r="D2662" s="1" t="s">
        <v>5395</v>
      </c>
      <c r="E2662" s="1" t="s">
        <v>5396</v>
      </c>
      <c r="F2662" s="1" t="s">
        <v>5397</v>
      </c>
      <c r="G2662" s="1">
        <v>168203.0</v>
      </c>
      <c r="H2662" s="1">
        <v>426.0</v>
      </c>
      <c r="I2662" s="1" t="s">
        <v>4449</v>
      </c>
      <c r="J2662" s="1">
        <v>1.4E7</v>
      </c>
      <c r="K2662" s="1">
        <v>1981.0</v>
      </c>
      <c r="L2662" s="1">
        <v>8.4</v>
      </c>
      <c r="O2662" s="3"/>
      <c r="S2662" s="4"/>
    </row>
    <row r="2663" ht="14.25" customHeight="1">
      <c r="A2663" s="1" t="s">
        <v>5398</v>
      </c>
      <c r="B2663" s="1">
        <v>93.0</v>
      </c>
      <c r="C2663" s="1">
        <v>1.0198766E7</v>
      </c>
      <c r="D2663" s="1" t="s">
        <v>828</v>
      </c>
      <c r="E2663" s="1" t="s">
        <v>5399</v>
      </c>
      <c r="F2663" s="1" t="s">
        <v>5400</v>
      </c>
      <c r="G2663" s="1">
        <v>12007.0</v>
      </c>
      <c r="H2663" s="1">
        <v>105.0</v>
      </c>
      <c r="I2663" s="1" t="s">
        <v>16</v>
      </c>
      <c r="J2663" s="1">
        <v>1.2E7</v>
      </c>
      <c r="K2663" s="1">
        <v>2002.0</v>
      </c>
      <c r="L2663" s="1">
        <v>5.4</v>
      </c>
      <c r="O2663" s="3"/>
      <c r="S2663" s="4"/>
    </row>
    <row r="2664" ht="14.25" customHeight="1">
      <c r="A2664" s="1" t="s">
        <v>2307</v>
      </c>
      <c r="B2664" s="1">
        <v>123.0</v>
      </c>
      <c r="C2664" s="1">
        <v>1.5294553E7</v>
      </c>
      <c r="D2664" s="1" t="s">
        <v>292</v>
      </c>
      <c r="E2664" s="1" t="s">
        <v>5401</v>
      </c>
      <c r="F2664" s="1" t="s">
        <v>5402</v>
      </c>
      <c r="G2664" s="1">
        <v>202341.0</v>
      </c>
      <c r="H2664" s="1">
        <v>391.0</v>
      </c>
      <c r="I2664" s="1" t="s">
        <v>16</v>
      </c>
      <c r="J2664" s="1">
        <v>1.2E7</v>
      </c>
      <c r="K2664" s="1">
        <v>2013.0</v>
      </c>
      <c r="L2664" s="1">
        <v>7.8</v>
      </c>
      <c r="O2664" s="3"/>
      <c r="S2664" s="4"/>
    </row>
    <row r="2665" ht="14.25" customHeight="1">
      <c r="A2665" s="1" t="s">
        <v>813</v>
      </c>
      <c r="B2665" s="1">
        <v>119.0</v>
      </c>
      <c r="C2665" s="1">
        <v>1.1041228E7</v>
      </c>
      <c r="D2665" s="1" t="s">
        <v>89</v>
      </c>
      <c r="E2665" s="1" t="s">
        <v>2770</v>
      </c>
      <c r="F2665" s="1" t="s">
        <v>5403</v>
      </c>
      <c r="G2665" s="1">
        <v>92295.0</v>
      </c>
      <c r="H2665" s="1">
        <v>420.0</v>
      </c>
      <c r="I2665" s="1" t="s">
        <v>816</v>
      </c>
      <c r="J2665" s="1">
        <v>1.0E8</v>
      </c>
      <c r="K2665" s="1">
        <v>2004.0</v>
      </c>
      <c r="L2665" s="1">
        <v>7.6</v>
      </c>
      <c r="O2665" s="3"/>
      <c r="S2665" s="4"/>
    </row>
    <row r="2666" ht="14.25" customHeight="1">
      <c r="A2666" s="1" t="s">
        <v>5404</v>
      </c>
      <c r="B2666" s="1">
        <v>107.0</v>
      </c>
      <c r="C2666" s="1">
        <v>7918283.0</v>
      </c>
      <c r="D2666" s="1" t="s">
        <v>1654</v>
      </c>
      <c r="E2666" s="1" t="s">
        <v>5405</v>
      </c>
      <c r="F2666" s="1" t="s">
        <v>5406</v>
      </c>
      <c r="G2666" s="1">
        <v>41574.0</v>
      </c>
      <c r="H2666" s="1">
        <v>145.0</v>
      </c>
      <c r="I2666" s="1" t="s">
        <v>16</v>
      </c>
      <c r="J2666" s="1">
        <v>1.2E7</v>
      </c>
      <c r="K2666" s="1">
        <v>2012.0</v>
      </c>
      <c r="L2666" s="1">
        <v>6.6</v>
      </c>
      <c r="O2666" s="3"/>
      <c r="S2666" s="4"/>
    </row>
    <row r="2667" ht="14.25" customHeight="1">
      <c r="A2667" s="1" t="s">
        <v>5407</v>
      </c>
      <c r="B2667" s="1">
        <v>106.0</v>
      </c>
      <c r="C2667" s="1">
        <v>2.2331028E7</v>
      </c>
      <c r="D2667" s="1" t="s">
        <v>1210</v>
      </c>
      <c r="E2667" s="1" t="s">
        <v>5408</v>
      </c>
      <c r="F2667" s="1" t="s">
        <v>5409</v>
      </c>
      <c r="G2667" s="1">
        <v>57349.0</v>
      </c>
      <c r="H2667" s="1">
        <v>177.0</v>
      </c>
      <c r="I2667" s="1" t="s">
        <v>16</v>
      </c>
      <c r="J2667" s="1">
        <v>1.2E7</v>
      </c>
      <c r="K2667" s="1">
        <v>2015.0</v>
      </c>
      <c r="L2667" s="1">
        <v>6.4</v>
      </c>
      <c r="O2667" s="3"/>
      <c r="S2667" s="4"/>
    </row>
    <row r="2668" ht="14.25" customHeight="1">
      <c r="A2668" s="1" t="s">
        <v>5410</v>
      </c>
      <c r="B2668" s="1">
        <v>109.0</v>
      </c>
      <c r="C2668" s="1">
        <v>8134217.0</v>
      </c>
      <c r="D2668" s="1" t="s">
        <v>1749</v>
      </c>
      <c r="E2668" s="1" t="s">
        <v>1738</v>
      </c>
      <c r="F2668" s="1" t="s">
        <v>5411</v>
      </c>
      <c r="G2668" s="1">
        <v>15412.0</v>
      </c>
      <c r="H2668" s="1">
        <v>90.0</v>
      </c>
      <c r="I2668" s="1" t="s">
        <v>16</v>
      </c>
      <c r="J2668" s="1">
        <v>1.2E7</v>
      </c>
      <c r="K2668" s="1">
        <v>2008.0</v>
      </c>
      <c r="L2668" s="1">
        <v>7.0</v>
      </c>
      <c r="O2668" s="3"/>
      <c r="S2668" s="4"/>
    </row>
    <row r="2669" ht="14.25" customHeight="1">
      <c r="A2669" s="1" t="s">
        <v>5412</v>
      </c>
      <c r="B2669" s="1">
        <v>81.0</v>
      </c>
      <c r="C2669" s="1">
        <v>6982680.0</v>
      </c>
      <c r="D2669" s="1" t="s">
        <v>427</v>
      </c>
      <c r="E2669" s="1" t="s">
        <v>2790</v>
      </c>
      <c r="F2669" s="1" t="s">
        <v>5413</v>
      </c>
      <c r="G2669" s="1">
        <v>6965.0</v>
      </c>
      <c r="H2669" s="1">
        <v>69.0</v>
      </c>
      <c r="I2669" s="1" t="s">
        <v>16</v>
      </c>
      <c r="J2669" s="1">
        <v>1.0E7</v>
      </c>
      <c r="K2669" s="1">
        <v>2000.0</v>
      </c>
      <c r="L2669" s="1">
        <v>5.7</v>
      </c>
      <c r="O2669" s="3"/>
      <c r="S2669" s="4"/>
    </row>
    <row r="2670" ht="14.25" customHeight="1">
      <c r="A2670" s="1" t="s">
        <v>5414</v>
      </c>
      <c r="B2670" s="1">
        <v>95.0</v>
      </c>
      <c r="C2670" s="1">
        <v>6739141.0</v>
      </c>
      <c r="D2670" s="1" t="s">
        <v>587</v>
      </c>
      <c r="E2670" s="1" t="s">
        <v>3643</v>
      </c>
      <c r="F2670" s="1" t="s">
        <v>5415</v>
      </c>
      <c r="G2670" s="1">
        <v>23383.0</v>
      </c>
      <c r="H2670" s="1">
        <v>68.0</v>
      </c>
      <c r="I2670" s="1" t="s">
        <v>16</v>
      </c>
      <c r="J2670" s="1">
        <v>8000000.0</v>
      </c>
      <c r="K2670" s="1">
        <v>1992.0</v>
      </c>
      <c r="L2670" s="1">
        <v>5.9</v>
      </c>
      <c r="O2670" s="3"/>
      <c r="S2670" s="4"/>
    </row>
    <row r="2671" ht="14.25" customHeight="1">
      <c r="A2671" s="1" t="s">
        <v>5416</v>
      </c>
      <c r="B2671" s="1">
        <v>86.0</v>
      </c>
      <c r="C2671" s="1">
        <v>5542025.0</v>
      </c>
      <c r="D2671" s="1" t="s">
        <v>828</v>
      </c>
      <c r="E2671" s="1" t="s">
        <v>428</v>
      </c>
      <c r="F2671" s="1" t="s">
        <v>5417</v>
      </c>
      <c r="G2671" s="1">
        <v>12197.0</v>
      </c>
      <c r="H2671" s="1">
        <v>150.0</v>
      </c>
      <c r="I2671" s="1" t="s">
        <v>16</v>
      </c>
      <c r="J2671" s="1">
        <v>1.2E7</v>
      </c>
      <c r="K2671" s="1">
        <v>2006.0</v>
      </c>
      <c r="L2671" s="1">
        <v>6.3</v>
      </c>
      <c r="O2671" s="3"/>
      <c r="S2671" s="4"/>
    </row>
    <row r="2672" ht="14.25" customHeight="1">
      <c r="A2672" s="1" t="s">
        <v>3268</v>
      </c>
      <c r="B2672" s="1">
        <v>113.0</v>
      </c>
      <c r="C2672" s="1">
        <v>5032496.0</v>
      </c>
      <c r="D2672" s="1" t="s">
        <v>1059</v>
      </c>
      <c r="E2672" s="1" t="s">
        <v>5418</v>
      </c>
      <c r="F2672" s="1" t="s">
        <v>5419</v>
      </c>
      <c r="G2672" s="1">
        <v>20576.0</v>
      </c>
      <c r="H2672" s="1">
        <v>161.0</v>
      </c>
      <c r="I2672" s="1" t="s">
        <v>16</v>
      </c>
      <c r="J2672" s="1">
        <v>1.2E7</v>
      </c>
      <c r="K2672" s="1">
        <v>1998.0</v>
      </c>
      <c r="L2672" s="1">
        <v>6.3</v>
      </c>
      <c r="O2672" s="3"/>
      <c r="S2672" s="4"/>
    </row>
    <row r="2673" ht="14.25" customHeight="1">
      <c r="A2673" s="1" t="s">
        <v>1635</v>
      </c>
      <c r="B2673" s="1">
        <v>122.0</v>
      </c>
      <c r="C2673" s="1">
        <v>6754898.0</v>
      </c>
      <c r="D2673" s="1" t="s">
        <v>1059</v>
      </c>
      <c r="E2673" s="1" t="s">
        <v>5420</v>
      </c>
      <c r="F2673" s="1" t="s">
        <v>5421</v>
      </c>
      <c r="G2673" s="1">
        <v>20000.0</v>
      </c>
      <c r="H2673" s="1">
        <v>188.0</v>
      </c>
      <c r="I2673" s="1" t="s">
        <v>16</v>
      </c>
      <c r="J2673" s="1">
        <v>1.2E7</v>
      </c>
      <c r="K2673" s="1">
        <v>2006.0</v>
      </c>
      <c r="L2673" s="1">
        <v>6.2</v>
      </c>
      <c r="O2673" s="3"/>
      <c r="S2673" s="4"/>
    </row>
    <row r="2674" ht="14.25" customHeight="1">
      <c r="A2674" s="1" t="s">
        <v>4776</v>
      </c>
      <c r="B2674" s="1">
        <v>90.0</v>
      </c>
      <c r="C2674" s="1">
        <v>4922166.0</v>
      </c>
      <c r="D2674" s="1" t="s">
        <v>4350</v>
      </c>
      <c r="E2674" s="1" t="s">
        <v>5422</v>
      </c>
      <c r="F2674" s="1" t="s">
        <v>5423</v>
      </c>
      <c r="G2674" s="1">
        <v>23606.0</v>
      </c>
      <c r="H2674" s="1">
        <v>304.0</v>
      </c>
      <c r="I2674" s="1" t="s">
        <v>16</v>
      </c>
      <c r="J2674" s="1">
        <v>1.2E7</v>
      </c>
      <c r="K2674" s="1">
        <v>2003.0</v>
      </c>
      <c r="L2674" s="1">
        <v>2.1</v>
      </c>
      <c r="O2674" s="3"/>
      <c r="S2674" s="4"/>
    </row>
    <row r="2675" ht="14.25" customHeight="1">
      <c r="A2675" s="1" t="s">
        <v>2048</v>
      </c>
      <c r="B2675" s="1">
        <v>108.0</v>
      </c>
      <c r="C2675" s="1">
        <v>4903000.0</v>
      </c>
      <c r="D2675" s="1" t="s">
        <v>1059</v>
      </c>
      <c r="E2675" s="1" t="s">
        <v>845</v>
      </c>
      <c r="F2675" s="1" t="s">
        <v>5424</v>
      </c>
      <c r="G2675" s="1">
        <v>4961.0</v>
      </c>
      <c r="H2675" s="1">
        <v>33.0</v>
      </c>
      <c r="I2675" s="1" t="s">
        <v>16</v>
      </c>
      <c r="J2675" s="1">
        <v>1.2E7</v>
      </c>
      <c r="K2675" s="1">
        <v>1996.0</v>
      </c>
      <c r="L2675" s="1">
        <v>5.0</v>
      </c>
      <c r="O2675" s="3"/>
      <c r="S2675" s="4"/>
    </row>
    <row r="2676" ht="14.25" customHeight="1">
      <c r="A2676" s="1" t="s">
        <v>5425</v>
      </c>
      <c r="B2676" s="1">
        <v>113.0</v>
      </c>
      <c r="C2676" s="1">
        <v>4717455.0</v>
      </c>
      <c r="D2676" s="1" t="s">
        <v>362</v>
      </c>
      <c r="E2676" s="1" t="s">
        <v>2743</v>
      </c>
      <c r="F2676" s="1" t="s">
        <v>5426</v>
      </c>
      <c r="G2676" s="1">
        <v>18632.0</v>
      </c>
      <c r="H2676" s="1">
        <v>354.0</v>
      </c>
      <c r="I2676" s="1" t="s">
        <v>16</v>
      </c>
      <c r="J2676" s="1">
        <v>1.2E7</v>
      </c>
      <c r="K2676" s="1">
        <v>2003.0</v>
      </c>
      <c r="L2676" s="1">
        <v>5.3</v>
      </c>
      <c r="O2676" s="3"/>
      <c r="S2676" s="4"/>
    </row>
    <row r="2677" ht="14.25" customHeight="1">
      <c r="A2677" s="1" t="s">
        <v>3516</v>
      </c>
      <c r="B2677" s="1">
        <v>110.0</v>
      </c>
      <c r="C2677" s="1">
        <v>3148482.0</v>
      </c>
      <c r="D2677" s="1" t="s">
        <v>92</v>
      </c>
      <c r="E2677" s="1" t="s">
        <v>5304</v>
      </c>
      <c r="F2677" s="1" t="s">
        <v>5427</v>
      </c>
      <c r="G2677" s="1">
        <v>29613.0</v>
      </c>
      <c r="H2677" s="1">
        <v>98.0</v>
      </c>
      <c r="I2677" s="1" t="s">
        <v>16</v>
      </c>
      <c r="J2677" s="1">
        <v>1.2E7</v>
      </c>
      <c r="K2677" s="1">
        <v>2008.0</v>
      </c>
      <c r="L2677" s="1">
        <v>7.1</v>
      </c>
      <c r="O2677" s="3"/>
      <c r="S2677" s="4"/>
    </row>
    <row r="2678" ht="14.25" customHeight="1">
      <c r="A2678" s="1" t="s">
        <v>5428</v>
      </c>
      <c r="B2678" s="1">
        <v>109.0</v>
      </c>
      <c r="C2678" s="1">
        <v>2326407.0</v>
      </c>
      <c r="D2678" s="1" t="s">
        <v>1391</v>
      </c>
      <c r="E2678" s="1" t="s">
        <v>1009</v>
      </c>
      <c r="F2678" s="1" t="s">
        <v>5429</v>
      </c>
      <c r="G2678" s="1">
        <v>5016.0</v>
      </c>
      <c r="H2678" s="1">
        <v>99.0</v>
      </c>
      <c r="I2678" s="1" t="s">
        <v>16</v>
      </c>
      <c r="J2678" s="1">
        <v>1.2E7</v>
      </c>
      <c r="K2678" s="1">
        <v>2001.0</v>
      </c>
      <c r="L2678" s="1">
        <v>7.0</v>
      </c>
      <c r="O2678" s="3"/>
      <c r="S2678" s="4"/>
    </row>
    <row r="2679" ht="14.25" customHeight="1">
      <c r="A2679" s="1" t="s">
        <v>2750</v>
      </c>
      <c r="B2679" s="1">
        <v>110.0</v>
      </c>
      <c r="C2679" s="1">
        <v>2201412.0</v>
      </c>
      <c r="D2679" s="1" t="s">
        <v>5430</v>
      </c>
      <c r="E2679" s="1" t="s">
        <v>5431</v>
      </c>
      <c r="F2679" s="1" t="s">
        <v>2154</v>
      </c>
      <c r="G2679" s="1">
        <v>68883.0</v>
      </c>
      <c r="H2679" s="1">
        <v>279.0</v>
      </c>
      <c r="I2679" s="1" t="s">
        <v>5316</v>
      </c>
      <c r="J2679" s="1">
        <v>1.22155E10</v>
      </c>
      <c r="K2679" s="1">
        <v>2006.0</v>
      </c>
      <c r="L2679" s="1">
        <v>7.0</v>
      </c>
      <c r="O2679" s="3"/>
      <c r="S2679" s="4"/>
    </row>
    <row r="2680" ht="14.25" customHeight="1">
      <c r="A2680" s="1" t="s">
        <v>5432</v>
      </c>
      <c r="B2680" s="1">
        <v>101.0</v>
      </c>
      <c r="C2680" s="1">
        <v>2060953.0</v>
      </c>
      <c r="D2680" s="1" t="s">
        <v>3798</v>
      </c>
      <c r="E2680" s="1" t="s">
        <v>5433</v>
      </c>
      <c r="F2680" s="1" t="s">
        <v>5434</v>
      </c>
      <c r="G2680" s="1">
        <v>29990.0</v>
      </c>
      <c r="H2680" s="1">
        <v>316.0</v>
      </c>
      <c r="I2680" s="1" t="s">
        <v>16</v>
      </c>
      <c r="J2680" s="1">
        <v>1.2E7</v>
      </c>
      <c r="K2680" s="1">
        <v>1999.0</v>
      </c>
      <c r="L2680" s="1">
        <v>7.1</v>
      </c>
      <c r="O2680" s="3"/>
      <c r="S2680" s="4"/>
    </row>
    <row r="2681" ht="14.25" customHeight="1">
      <c r="A2681" s="1" t="s">
        <v>5435</v>
      </c>
      <c r="B2681" s="1">
        <v>97.0</v>
      </c>
      <c r="C2681" s="1">
        <v>3950294.0</v>
      </c>
      <c r="D2681" s="1" t="s">
        <v>593</v>
      </c>
      <c r="E2681" s="1" t="s">
        <v>96</v>
      </c>
      <c r="F2681" s="1" t="s">
        <v>5436</v>
      </c>
      <c r="G2681" s="1">
        <v>56654.0</v>
      </c>
      <c r="H2681" s="1">
        <v>124.0</v>
      </c>
      <c r="I2681" s="1" t="s">
        <v>16</v>
      </c>
      <c r="J2681" s="1">
        <v>1.2E7</v>
      </c>
      <c r="K2681" s="1">
        <v>2007.0</v>
      </c>
      <c r="L2681" s="1">
        <v>7.0</v>
      </c>
      <c r="O2681" s="3"/>
      <c r="S2681" s="4"/>
    </row>
    <row r="2682" ht="14.25" customHeight="1">
      <c r="A2682" s="1" t="s">
        <v>5437</v>
      </c>
      <c r="B2682" s="1">
        <v>172.0</v>
      </c>
      <c r="C2682" s="1">
        <v>2835886.0</v>
      </c>
      <c r="D2682" s="1" t="s">
        <v>1391</v>
      </c>
      <c r="E2682" s="1" t="s">
        <v>5438</v>
      </c>
      <c r="F2682" s="1" t="s">
        <v>5439</v>
      </c>
      <c r="G2682" s="1">
        <v>55516.0</v>
      </c>
      <c r="H2682" s="1">
        <v>124.0</v>
      </c>
      <c r="I2682" s="1" t="s">
        <v>3818</v>
      </c>
      <c r="J2682" s="1">
        <v>9200000.0</v>
      </c>
      <c r="K2682" s="1">
        <v>2013.0</v>
      </c>
      <c r="L2682" s="1">
        <v>7.7</v>
      </c>
      <c r="O2682" s="3"/>
      <c r="S2682" s="4"/>
    </row>
    <row r="2683" ht="14.25" customHeight="1">
      <c r="A2683" s="1" t="s">
        <v>5440</v>
      </c>
      <c r="B2683" s="1">
        <v>104.0</v>
      </c>
      <c r="C2683" s="1">
        <v>1779284.0</v>
      </c>
      <c r="D2683" s="1" t="s">
        <v>1059</v>
      </c>
      <c r="E2683" s="1" t="s">
        <v>4931</v>
      </c>
      <c r="F2683" s="1" t="s">
        <v>5441</v>
      </c>
      <c r="G2683" s="1">
        <v>12047.0</v>
      </c>
      <c r="H2683" s="1">
        <v>122.0</v>
      </c>
      <c r="I2683" s="1" t="s">
        <v>16</v>
      </c>
      <c r="J2683" s="1">
        <v>1.2E7</v>
      </c>
      <c r="K2683" s="1">
        <v>2002.0</v>
      </c>
      <c r="L2683" s="1">
        <v>7.1</v>
      </c>
      <c r="O2683" s="3"/>
      <c r="S2683" s="4"/>
    </row>
    <row r="2684" ht="14.25" customHeight="1">
      <c r="A2684" s="1" t="s">
        <v>5442</v>
      </c>
      <c r="B2684" s="1">
        <v>99.0</v>
      </c>
      <c r="C2684" s="1">
        <v>1702277.0</v>
      </c>
      <c r="D2684" s="1" t="s">
        <v>1654</v>
      </c>
      <c r="E2684" s="1" t="s">
        <v>5443</v>
      </c>
      <c r="F2684" s="1" t="s">
        <v>5444</v>
      </c>
      <c r="G2684" s="1">
        <v>84620.0</v>
      </c>
      <c r="H2684" s="1">
        <v>235.0</v>
      </c>
      <c r="I2684" s="1" t="s">
        <v>16</v>
      </c>
      <c r="J2684" s="1">
        <v>1.2E7</v>
      </c>
      <c r="K2684" s="1">
        <v>2013.0</v>
      </c>
      <c r="L2684" s="1">
        <v>6.8</v>
      </c>
      <c r="O2684" s="3"/>
      <c r="S2684" s="4"/>
    </row>
    <row r="2685" ht="14.25" customHeight="1">
      <c r="A2685" s="1" t="s">
        <v>2781</v>
      </c>
      <c r="B2685" s="1">
        <v>129.0</v>
      </c>
      <c r="C2685" s="1">
        <v>261481.0</v>
      </c>
      <c r="D2685" s="1" t="s">
        <v>3742</v>
      </c>
      <c r="E2685" s="1" t="s">
        <v>1015</v>
      </c>
      <c r="F2685" s="1" t="s">
        <v>5445</v>
      </c>
      <c r="G2685" s="1">
        <v>41496.0</v>
      </c>
      <c r="H2685" s="1">
        <v>210.0</v>
      </c>
      <c r="I2685" s="1" t="s">
        <v>2884</v>
      </c>
      <c r="J2685" s="1">
        <v>1.2E7</v>
      </c>
      <c r="K2685" s="1">
        <v>2004.0</v>
      </c>
      <c r="L2685" s="1">
        <v>7.5</v>
      </c>
      <c r="O2685" s="3"/>
      <c r="S2685" s="4"/>
    </row>
    <row r="2686" ht="14.25" customHeight="1">
      <c r="A2686" s="1" t="s">
        <v>5446</v>
      </c>
      <c r="B2686" s="1">
        <v>91.0</v>
      </c>
      <c r="C2686" s="1">
        <v>1506998.0</v>
      </c>
      <c r="D2686" s="1" t="s">
        <v>5447</v>
      </c>
      <c r="E2686" s="1" t="s">
        <v>5448</v>
      </c>
      <c r="F2686" s="1" t="s">
        <v>5449</v>
      </c>
      <c r="G2686" s="1">
        <v>8014.0</v>
      </c>
      <c r="H2686" s="1">
        <v>50.0</v>
      </c>
      <c r="I2686" s="1" t="s">
        <v>16</v>
      </c>
      <c r="J2686" s="1">
        <v>1.2E7</v>
      </c>
      <c r="K2686" s="1">
        <v>2007.0</v>
      </c>
      <c r="L2686" s="1">
        <v>6.3</v>
      </c>
      <c r="O2686" s="3"/>
      <c r="S2686" s="4"/>
    </row>
    <row r="2687" ht="14.25" customHeight="1">
      <c r="A2687" s="1" t="s">
        <v>5450</v>
      </c>
      <c r="B2687" s="1">
        <v>100.0</v>
      </c>
      <c r="C2687" s="1">
        <v>860002.0</v>
      </c>
      <c r="D2687" s="1" t="s">
        <v>1336</v>
      </c>
      <c r="E2687" s="1" t="s">
        <v>5451</v>
      </c>
      <c r="F2687" s="1" t="s">
        <v>5452</v>
      </c>
      <c r="G2687" s="1">
        <v>6454.0</v>
      </c>
      <c r="H2687" s="1">
        <v>43.0</v>
      </c>
      <c r="I2687" s="1" t="s">
        <v>16</v>
      </c>
      <c r="J2687" s="1">
        <v>1.2E7</v>
      </c>
      <c r="K2687" s="1">
        <v>2005.0</v>
      </c>
      <c r="L2687" s="1">
        <v>7.3</v>
      </c>
      <c r="O2687" s="3"/>
      <c r="S2687" s="4"/>
    </row>
    <row r="2688" ht="14.25" customHeight="1">
      <c r="A2688" s="1" t="s">
        <v>2038</v>
      </c>
      <c r="B2688" s="1">
        <v>111.0</v>
      </c>
      <c r="C2688" s="1">
        <v>548934.0</v>
      </c>
      <c r="D2688" s="1" t="s">
        <v>1556</v>
      </c>
      <c r="E2688" s="1" t="s">
        <v>547</v>
      </c>
      <c r="F2688" s="1" t="s">
        <v>5453</v>
      </c>
      <c r="G2688" s="1">
        <v>16863.0</v>
      </c>
      <c r="H2688" s="1">
        <v>57.0</v>
      </c>
      <c r="I2688" s="1" t="s">
        <v>16</v>
      </c>
      <c r="J2688" s="1">
        <v>1.2E7</v>
      </c>
      <c r="K2688" s="1">
        <v>2009.0</v>
      </c>
      <c r="L2688" s="1">
        <v>6.8</v>
      </c>
      <c r="O2688" s="3"/>
      <c r="S2688" s="4"/>
    </row>
    <row r="2689" ht="14.25" customHeight="1">
      <c r="A2689" s="1" t="s">
        <v>5454</v>
      </c>
      <c r="B2689" s="1">
        <v>114.0</v>
      </c>
      <c r="C2689" s="1">
        <v>447750.0</v>
      </c>
      <c r="D2689" s="1" t="s">
        <v>901</v>
      </c>
      <c r="E2689" s="1" t="s">
        <v>2700</v>
      </c>
      <c r="F2689" s="1" t="s">
        <v>5455</v>
      </c>
      <c r="G2689" s="1">
        <v>18520.0</v>
      </c>
      <c r="H2689" s="1">
        <v>133.0</v>
      </c>
      <c r="I2689" s="1" t="s">
        <v>16</v>
      </c>
      <c r="J2689" s="1">
        <v>1.0E7</v>
      </c>
      <c r="K2689" s="1">
        <v>2000.0</v>
      </c>
      <c r="L2689" s="1">
        <v>7.2</v>
      </c>
      <c r="O2689" s="3"/>
      <c r="S2689" s="4"/>
    </row>
    <row r="2690" ht="14.25" customHeight="1">
      <c r="A2690" s="1" t="s">
        <v>95</v>
      </c>
      <c r="B2690" s="1">
        <v>86.0</v>
      </c>
      <c r="C2690" s="1">
        <v>333976.0</v>
      </c>
      <c r="D2690" s="1" t="s">
        <v>427</v>
      </c>
      <c r="E2690" s="1" t="s">
        <v>858</v>
      </c>
      <c r="F2690" s="1" t="s">
        <v>5456</v>
      </c>
      <c r="G2690" s="1">
        <v>12559.0</v>
      </c>
      <c r="H2690" s="1">
        <v>90.0</v>
      </c>
      <c r="I2690" s="1" t="s">
        <v>16</v>
      </c>
      <c r="J2690" s="1">
        <v>1.2E7</v>
      </c>
      <c r="K2690" s="1">
        <v>2002.0</v>
      </c>
      <c r="L2690" s="1">
        <v>6.4</v>
      </c>
      <c r="O2690" s="3"/>
      <c r="S2690" s="4"/>
    </row>
    <row r="2691" ht="14.25" customHeight="1">
      <c r="A2691" s="1" t="s">
        <v>3937</v>
      </c>
      <c r="B2691" s="1">
        <v>107.0</v>
      </c>
      <c r="C2691" s="1">
        <v>141853.0</v>
      </c>
      <c r="D2691" s="1" t="s">
        <v>1059</v>
      </c>
      <c r="E2691" s="1" t="s">
        <v>3862</v>
      </c>
      <c r="F2691" s="1" t="s">
        <v>5457</v>
      </c>
      <c r="G2691" s="1">
        <v>1427.0</v>
      </c>
      <c r="H2691" s="1">
        <v>12.0</v>
      </c>
      <c r="I2691" s="1" t="s">
        <v>16</v>
      </c>
      <c r="J2691" s="1">
        <v>1.2E7</v>
      </c>
      <c r="K2691" s="1">
        <v>1997.0</v>
      </c>
      <c r="L2691" s="1">
        <v>6.0</v>
      </c>
      <c r="O2691" s="3"/>
      <c r="S2691" s="4"/>
    </row>
    <row r="2692" ht="14.25" customHeight="1">
      <c r="A2692" s="1" t="s">
        <v>4733</v>
      </c>
      <c r="B2692" s="1">
        <v>90.0</v>
      </c>
      <c r="C2692" s="1">
        <v>303439.0</v>
      </c>
      <c r="D2692" s="1" t="s">
        <v>806</v>
      </c>
      <c r="E2692" s="1" t="s">
        <v>5458</v>
      </c>
      <c r="F2692" s="1" t="s">
        <v>5459</v>
      </c>
      <c r="G2692" s="1">
        <v>12125.0</v>
      </c>
      <c r="H2692" s="1">
        <v>78.0</v>
      </c>
      <c r="I2692" s="1" t="s">
        <v>16</v>
      </c>
      <c r="J2692" s="1">
        <v>8000000.0</v>
      </c>
      <c r="K2692" s="1">
        <v>2007.0</v>
      </c>
      <c r="L2692" s="1">
        <v>6.4</v>
      </c>
      <c r="O2692" s="3"/>
      <c r="S2692" s="4"/>
    </row>
    <row r="2693" ht="14.25" customHeight="1">
      <c r="A2693" s="1" t="s">
        <v>5460</v>
      </c>
      <c r="B2693" s="1">
        <v>120.0</v>
      </c>
      <c r="C2693" s="1">
        <v>214202.0</v>
      </c>
      <c r="D2693" s="1" t="s">
        <v>901</v>
      </c>
      <c r="E2693" s="1" t="s">
        <v>322</v>
      </c>
      <c r="F2693" s="1" t="s">
        <v>5461</v>
      </c>
      <c r="G2693" s="1">
        <v>14831.0</v>
      </c>
      <c r="H2693" s="1">
        <v>75.0</v>
      </c>
      <c r="I2693" s="1" t="s">
        <v>16</v>
      </c>
      <c r="J2693" s="1">
        <v>1.2E7</v>
      </c>
      <c r="K2693" s="1">
        <v>2007.0</v>
      </c>
      <c r="L2693" s="1">
        <v>7.5</v>
      </c>
      <c r="O2693" s="3"/>
      <c r="S2693" s="4"/>
    </row>
    <row r="2694" ht="14.25" customHeight="1">
      <c r="A2694" s="1" t="s">
        <v>5462</v>
      </c>
      <c r="B2694" s="1">
        <v>134.0</v>
      </c>
      <c r="C2694" s="1">
        <v>195888.0</v>
      </c>
      <c r="D2694" s="1" t="s">
        <v>2906</v>
      </c>
      <c r="E2694" s="1" t="s">
        <v>5463</v>
      </c>
      <c r="F2694" s="1" t="s">
        <v>5464</v>
      </c>
      <c r="G2694" s="1">
        <v>5603.0</v>
      </c>
      <c r="H2694" s="1">
        <v>45.0</v>
      </c>
      <c r="I2694" s="1" t="s">
        <v>5465</v>
      </c>
      <c r="J2694" s="1">
        <v>2.5E9</v>
      </c>
      <c r="K2694" s="1">
        <v>2005.0</v>
      </c>
      <c r="L2694" s="1">
        <v>7.1</v>
      </c>
      <c r="O2694" s="3"/>
      <c r="S2694" s="4"/>
    </row>
    <row r="2695" ht="14.25" customHeight="1">
      <c r="A2695" s="1" t="s">
        <v>5466</v>
      </c>
      <c r="B2695" s="1">
        <v>110.0</v>
      </c>
      <c r="C2695" s="1">
        <v>175370.0</v>
      </c>
      <c r="D2695" s="1" t="s">
        <v>828</v>
      </c>
      <c r="E2695" s="1" t="s">
        <v>415</v>
      </c>
      <c r="F2695" s="1" t="s">
        <v>5467</v>
      </c>
      <c r="G2695" s="1">
        <v>6884.0</v>
      </c>
      <c r="H2695" s="1">
        <v>133.0</v>
      </c>
      <c r="I2695" s="1" t="s">
        <v>16</v>
      </c>
      <c r="J2695" s="1">
        <v>1.2E7</v>
      </c>
      <c r="K2695" s="1">
        <v>1999.0</v>
      </c>
      <c r="L2695" s="1">
        <v>4.6</v>
      </c>
      <c r="O2695" s="3"/>
      <c r="S2695" s="4"/>
    </row>
    <row r="2696" ht="14.25" customHeight="1">
      <c r="A2696" s="1" t="s">
        <v>5468</v>
      </c>
      <c r="B2696" s="1">
        <v>132.0</v>
      </c>
      <c r="C2696" s="1">
        <v>119922.0</v>
      </c>
      <c r="D2696" s="1" t="s">
        <v>824</v>
      </c>
      <c r="E2696" s="1" t="s">
        <v>5469</v>
      </c>
      <c r="F2696" s="1" t="s">
        <v>5470</v>
      </c>
      <c r="G2696" s="1">
        <v>8429.0</v>
      </c>
      <c r="H2696" s="1">
        <v>62.0</v>
      </c>
      <c r="I2696" s="1" t="s">
        <v>816</v>
      </c>
      <c r="J2696" s="1">
        <v>1.2E7</v>
      </c>
      <c r="K2696" s="1">
        <v>2009.0</v>
      </c>
      <c r="L2696" s="1">
        <v>7.7</v>
      </c>
      <c r="O2696" s="3"/>
      <c r="S2696" s="4"/>
    </row>
    <row r="2697" ht="14.25" customHeight="1">
      <c r="A2697" s="1" t="s">
        <v>494</v>
      </c>
      <c r="B2697" s="1">
        <v>94.0</v>
      </c>
      <c r="C2697" s="1">
        <v>1.77343675E8</v>
      </c>
      <c r="D2697" s="1" t="s">
        <v>495</v>
      </c>
      <c r="E2697" s="1" t="s">
        <v>496</v>
      </c>
      <c r="F2697" s="1" t="s">
        <v>497</v>
      </c>
      <c r="G2697" s="1">
        <v>70133.0</v>
      </c>
      <c r="H2697" s="1">
        <v>214.0</v>
      </c>
      <c r="I2697" s="1" t="s">
        <v>16</v>
      </c>
      <c r="J2697" s="1">
        <v>1.35E8</v>
      </c>
      <c r="K2697" s="1">
        <v>2015.0</v>
      </c>
      <c r="L2697" s="1">
        <v>6.7</v>
      </c>
      <c r="O2697" s="3"/>
      <c r="S2697" s="4"/>
    </row>
    <row r="2698" ht="14.25" customHeight="1">
      <c r="A2698" s="1" t="s">
        <v>875</v>
      </c>
      <c r="B2698" s="1">
        <v>113.0</v>
      </c>
      <c r="C2698" s="1">
        <v>17149.0</v>
      </c>
      <c r="D2698" s="1" t="s">
        <v>611</v>
      </c>
      <c r="E2698" s="1" t="s">
        <v>5471</v>
      </c>
      <c r="F2698" s="1" t="s">
        <v>5472</v>
      </c>
      <c r="G2698" s="1">
        <v>12128.0</v>
      </c>
      <c r="H2698" s="1">
        <v>61.0</v>
      </c>
      <c r="I2698" s="1" t="s">
        <v>16</v>
      </c>
      <c r="J2698" s="1">
        <v>2.0E7</v>
      </c>
      <c r="K2698" s="1">
        <v>2011.0</v>
      </c>
      <c r="L2698" s="1">
        <v>5.6</v>
      </c>
      <c r="O2698" s="3"/>
      <c r="S2698" s="4"/>
    </row>
    <row r="2699" ht="14.25" customHeight="1">
      <c r="A2699" s="1" t="s">
        <v>5473</v>
      </c>
      <c r="B2699" s="1">
        <v>111.0</v>
      </c>
      <c r="C2699" s="1">
        <v>14616.0</v>
      </c>
      <c r="D2699" s="1" t="s">
        <v>1391</v>
      </c>
      <c r="E2699" s="1" t="s">
        <v>3643</v>
      </c>
      <c r="F2699" s="1" t="s">
        <v>5474</v>
      </c>
      <c r="G2699" s="1">
        <v>314.0</v>
      </c>
      <c r="H2699" s="1">
        <v>10.0</v>
      </c>
      <c r="I2699" s="1" t="s">
        <v>16</v>
      </c>
      <c r="J2699" s="1">
        <v>1.2E7</v>
      </c>
      <c r="K2699" s="1">
        <v>2015.0</v>
      </c>
      <c r="L2699" s="1">
        <v>7.5</v>
      </c>
      <c r="O2699" s="3"/>
      <c r="S2699" s="4"/>
    </row>
    <row r="2700" ht="14.25" customHeight="1">
      <c r="A2700" s="1" t="s">
        <v>1373</v>
      </c>
      <c r="B2700" s="1">
        <v>99.0</v>
      </c>
      <c r="C2700" s="1">
        <v>9.1443253E7</v>
      </c>
      <c r="D2700" s="1" t="s">
        <v>646</v>
      </c>
      <c r="E2700" s="1" t="s">
        <v>5475</v>
      </c>
      <c r="F2700" s="1" t="s">
        <v>5476</v>
      </c>
      <c r="G2700" s="1">
        <v>21034.0</v>
      </c>
      <c r="H2700" s="1">
        <v>153.0</v>
      </c>
      <c r="I2700" s="1" t="s">
        <v>16</v>
      </c>
      <c r="J2700" s="1">
        <v>1.2E7</v>
      </c>
      <c r="K2700" s="1">
        <v>2014.0</v>
      </c>
      <c r="L2700" s="1">
        <v>5.8</v>
      </c>
      <c r="O2700" s="3"/>
      <c r="S2700" s="4"/>
    </row>
    <row r="2701" ht="14.25" customHeight="1">
      <c r="A2701" s="1" t="s">
        <v>538</v>
      </c>
      <c r="B2701" s="1">
        <v>104.0</v>
      </c>
      <c r="C2701" s="1">
        <v>3.0093107E7</v>
      </c>
      <c r="D2701" s="1" t="s">
        <v>427</v>
      </c>
      <c r="E2701" s="1" t="s">
        <v>147</v>
      </c>
      <c r="F2701" s="1" t="s">
        <v>5477</v>
      </c>
      <c r="G2701" s="1">
        <v>600996.0</v>
      </c>
      <c r="H2701" s="1">
        <v>726.0</v>
      </c>
      <c r="I2701" s="1" t="s">
        <v>16</v>
      </c>
      <c r="J2701" s="1">
        <v>6000000.0</v>
      </c>
      <c r="K2701" s="1">
        <v>2000.0</v>
      </c>
      <c r="L2701" s="1">
        <v>8.3</v>
      </c>
      <c r="O2701" s="3"/>
      <c r="S2701" s="4"/>
    </row>
    <row r="2702" ht="14.25" customHeight="1">
      <c r="A2702" s="1" t="s">
        <v>5020</v>
      </c>
      <c r="B2702" s="1">
        <v>103.0</v>
      </c>
      <c r="C2702" s="1">
        <v>5.7469179E7</v>
      </c>
      <c r="D2702" s="1" t="s">
        <v>2945</v>
      </c>
      <c r="E2702" s="1" t="s">
        <v>5478</v>
      </c>
      <c r="F2702" s="1" t="s">
        <v>5479</v>
      </c>
      <c r="G2702" s="1">
        <v>63855.0</v>
      </c>
      <c r="H2702" s="1">
        <v>248.0</v>
      </c>
      <c r="I2702" s="1" t="s">
        <v>16</v>
      </c>
      <c r="J2702" s="1">
        <v>1.15E7</v>
      </c>
      <c r="K2702" s="1">
        <v>1989.0</v>
      </c>
      <c r="L2702" s="1">
        <v>6.6</v>
      </c>
      <c r="O2702" s="3"/>
      <c r="S2702" s="4"/>
    </row>
    <row r="2703" ht="14.25" customHeight="1">
      <c r="A2703" s="1" t="s">
        <v>5480</v>
      </c>
      <c r="B2703" s="1">
        <v>134.0</v>
      </c>
      <c r="C2703" s="1">
        <v>48856.0</v>
      </c>
      <c r="D2703" s="1" t="s">
        <v>1391</v>
      </c>
      <c r="E2703" s="1" t="s">
        <v>5481</v>
      </c>
      <c r="F2703" s="1" t="s">
        <v>5482</v>
      </c>
      <c r="G2703" s="1">
        <v>3466.0</v>
      </c>
      <c r="H2703" s="1">
        <v>40.0</v>
      </c>
      <c r="I2703" s="1" t="s">
        <v>3076</v>
      </c>
      <c r="J2703" s="1">
        <v>1.19E7</v>
      </c>
      <c r="K2703" s="1">
        <v>1993.0</v>
      </c>
      <c r="L2703" s="1">
        <v>7.5</v>
      </c>
      <c r="O2703" s="3"/>
      <c r="S2703" s="4"/>
    </row>
    <row r="2704" ht="14.25" customHeight="1">
      <c r="A2704" s="1" t="s">
        <v>1167</v>
      </c>
      <c r="B2704" s="1">
        <v>106.0</v>
      </c>
      <c r="C2704" s="1">
        <v>1.4817E8</v>
      </c>
      <c r="D2704" s="1" t="s">
        <v>375</v>
      </c>
      <c r="E2704" s="1" t="s">
        <v>5483</v>
      </c>
      <c r="F2704" s="1" t="s">
        <v>5484</v>
      </c>
      <c r="G2704" s="1">
        <v>142293.0</v>
      </c>
      <c r="H2704" s="1">
        <v>245.0</v>
      </c>
      <c r="I2704" s="1" t="s">
        <v>16</v>
      </c>
      <c r="J2704" s="1">
        <v>1.1E7</v>
      </c>
      <c r="K2704" s="1">
        <v>1984.0</v>
      </c>
      <c r="L2704" s="1">
        <v>7.2</v>
      </c>
      <c r="O2704" s="3"/>
      <c r="S2704" s="4"/>
    </row>
    <row r="2705" ht="14.25" customHeight="1">
      <c r="A2705" s="1" t="s">
        <v>602</v>
      </c>
      <c r="B2705" s="1">
        <v>125.0</v>
      </c>
      <c r="C2705" s="1">
        <v>4.60935665E8</v>
      </c>
      <c r="D2705" s="1" t="s">
        <v>13</v>
      </c>
      <c r="E2705" s="1" t="s">
        <v>169</v>
      </c>
      <c r="F2705" s="1" t="s">
        <v>5485</v>
      </c>
      <c r="G2705" s="1">
        <v>911097.0</v>
      </c>
      <c r="H2705" s="1">
        <v>1470.0</v>
      </c>
      <c r="I2705" s="1" t="s">
        <v>16</v>
      </c>
      <c r="J2705" s="1">
        <v>1.1E7</v>
      </c>
      <c r="K2705" s="1">
        <v>1977.0</v>
      </c>
      <c r="L2705" s="1">
        <v>8.7</v>
      </c>
      <c r="O2705" s="3"/>
      <c r="S2705" s="4"/>
    </row>
    <row r="2706" ht="14.25" customHeight="1">
      <c r="A2706" s="1" t="s">
        <v>5486</v>
      </c>
      <c r="B2706" s="1">
        <v>109.0</v>
      </c>
      <c r="C2706" s="1">
        <v>3.5537564E7</v>
      </c>
      <c r="D2706" s="1" t="s">
        <v>828</v>
      </c>
      <c r="E2706" s="1" t="s">
        <v>725</v>
      </c>
      <c r="F2706" s="1" t="s">
        <v>5487</v>
      </c>
      <c r="G2706" s="1">
        <v>49671.0</v>
      </c>
      <c r="H2706" s="1">
        <v>166.0</v>
      </c>
      <c r="I2706" s="1" t="s">
        <v>16</v>
      </c>
      <c r="J2706" s="1">
        <v>1.15E7</v>
      </c>
      <c r="K2706" s="1">
        <v>2016.0</v>
      </c>
      <c r="L2706" s="1">
        <v>6.0</v>
      </c>
      <c r="O2706" s="3"/>
      <c r="S2706" s="4"/>
    </row>
    <row r="2707" ht="14.25" customHeight="1">
      <c r="A2707" s="1" t="s">
        <v>3552</v>
      </c>
      <c r="B2707" s="1">
        <v>200.0</v>
      </c>
      <c r="C2707" s="1">
        <v>1.11722E8</v>
      </c>
      <c r="D2707" s="1" t="s">
        <v>2906</v>
      </c>
      <c r="E2707" s="1" t="s">
        <v>4611</v>
      </c>
      <c r="F2707" s="1" t="s">
        <v>5488</v>
      </c>
      <c r="G2707" s="1">
        <v>55816.0</v>
      </c>
      <c r="H2707" s="1">
        <v>255.0</v>
      </c>
      <c r="I2707" s="1" t="s">
        <v>16</v>
      </c>
      <c r="J2707" s="1">
        <v>1.1E7</v>
      </c>
      <c r="K2707" s="1">
        <v>1965.0</v>
      </c>
      <c r="L2707" s="1">
        <v>8.0</v>
      </c>
      <c r="O2707" s="3"/>
      <c r="S2707" s="4"/>
    </row>
    <row r="2708" ht="14.25" customHeight="1">
      <c r="A2708" s="1" t="s">
        <v>1650</v>
      </c>
      <c r="B2708" s="1">
        <v>112.0</v>
      </c>
      <c r="C2708" s="1">
        <v>9.0556401E7</v>
      </c>
      <c r="D2708" s="1" t="s">
        <v>1236</v>
      </c>
      <c r="E2708" s="1" t="s">
        <v>5489</v>
      </c>
      <c r="F2708" s="1" t="s">
        <v>5490</v>
      </c>
      <c r="G2708" s="1">
        <v>43795.0</v>
      </c>
      <c r="H2708" s="1">
        <v>171.0</v>
      </c>
      <c r="I2708" s="1" t="s">
        <v>16</v>
      </c>
      <c r="J2708" s="1">
        <v>1.1E7</v>
      </c>
      <c r="K2708" s="1">
        <v>2008.0</v>
      </c>
      <c r="L2708" s="1">
        <v>4.5</v>
      </c>
      <c r="O2708" s="3"/>
      <c r="S2708" s="4"/>
    </row>
    <row r="2709" ht="14.25" customHeight="1">
      <c r="A2709" s="1" t="s">
        <v>1695</v>
      </c>
      <c r="B2709" s="1">
        <v>116.0</v>
      </c>
      <c r="C2709" s="1">
        <v>9.3571803E7</v>
      </c>
      <c r="D2709" s="1" t="s">
        <v>681</v>
      </c>
      <c r="E2709" s="1" t="s">
        <v>143</v>
      </c>
      <c r="F2709" s="1" t="s">
        <v>5491</v>
      </c>
      <c r="G2709" s="1">
        <v>275869.0</v>
      </c>
      <c r="H2709" s="1">
        <v>389.0</v>
      </c>
      <c r="I2709" s="1" t="s">
        <v>16</v>
      </c>
      <c r="J2709" s="1">
        <v>2.5E7</v>
      </c>
      <c r="K2709" s="1">
        <v>2010.0</v>
      </c>
      <c r="L2709" s="1">
        <v>7.9</v>
      </c>
      <c r="O2709" s="3"/>
      <c r="S2709" s="4"/>
    </row>
    <row r="2710" ht="14.25" customHeight="1">
      <c r="A2710" s="1" t="s">
        <v>2775</v>
      </c>
      <c r="B2710" s="1">
        <v>120.0</v>
      </c>
      <c r="C2710" s="1">
        <v>5.2929168E7</v>
      </c>
      <c r="D2710" s="1" t="s">
        <v>427</v>
      </c>
      <c r="E2710" s="1" t="s">
        <v>5084</v>
      </c>
      <c r="F2710" s="1" t="s">
        <v>5492</v>
      </c>
      <c r="G2710" s="1">
        <v>82743.0</v>
      </c>
      <c r="H2710" s="1">
        <v>201.0</v>
      </c>
      <c r="I2710" s="1" t="s">
        <v>16</v>
      </c>
      <c r="J2710" s="1">
        <v>1.1E7</v>
      </c>
      <c r="K2710" s="1">
        <v>1992.0</v>
      </c>
      <c r="L2710" s="1">
        <v>7.5</v>
      </c>
      <c r="O2710" s="3"/>
      <c r="S2710" s="4"/>
    </row>
    <row r="2711" ht="14.25" customHeight="1">
      <c r="A2711" s="1" t="s">
        <v>5493</v>
      </c>
      <c r="B2711" s="1">
        <v>107.0</v>
      </c>
      <c r="C2711" s="1">
        <v>5.0461335E7</v>
      </c>
      <c r="D2711" s="1" t="s">
        <v>5494</v>
      </c>
      <c r="E2711" s="1" t="s">
        <v>210</v>
      </c>
      <c r="F2711" s="1" t="s">
        <v>5495</v>
      </c>
      <c r="G2711" s="1">
        <v>83893.0</v>
      </c>
      <c r="H2711" s="1">
        <v>132.0</v>
      </c>
      <c r="I2711" s="1" t="s">
        <v>16</v>
      </c>
      <c r="J2711" s="1">
        <v>1.1E7</v>
      </c>
      <c r="K2711" s="1">
        <v>2014.0</v>
      </c>
      <c r="L2711" s="1">
        <v>6.8</v>
      </c>
      <c r="O2711" s="3"/>
      <c r="S2711" s="4"/>
    </row>
    <row r="2712" ht="14.25" customHeight="1">
      <c r="A2712" s="1" t="s">
        <v>5496</v>
      </c>
      <c r="B2712" s="1">
        <v>107.0</v>
      </c>
      <c r="C2712" s="1">
        <v>4.9797148E7</v>
      </c>
      <c r="D2712" s="1" t="s">
        <v>1592</v>
      </c>
      <c r="E2712" s="1" t="s">
        <v>5497</v>
      </c>
      <c r="F2712" s="1" t="s">
        <v>5498</v>
      </c>
      <c r="G2712" s="1">
        <v>49007.0</v>
      </c>
      <c r="H2712" s="1">
        <v>97.0</v>
      </c>
      <c r="I2712" s="1" t="s">
        <v>16</v>
      </c>
      <c r="J2712" s="1">
        <v>1.1E7</v>
      </c>
      <c r="K2712" s="1">
        <v>1989.0</v>
      </c>
      <c r="L2712" s="1">
        <v>7.2</v>
      </c>
      <c r="O2712" s="3"/>
      <c r="S2712" s="4"/>
    </row>
    <row r="2713" ht="14.25" customHeight="1">
      <c r="A2713" s="1" t="s">
        <v>552</v>
      </c>
      <c r="B2713" s="1">
        <v>81.0</v>
      </c>
      <c r="C2713" s="1">
        <v>4.6563158E7</v>
      </c>
      <c r="D2713" s="1" t="s">
        <v>640</v>
      </c>
      <c r="E2713" s="1" t="s">
        <v>2104</v>
      </c>
      <c r="F2713" s="1" t="s">
        <v>5499</v>
      </c>
      <c r="G2713" s="1">
        <v>207934.0</v>
      </c>
      <c r="H2713" s="1">
        <v>629.0</v>
      </c>
      <c r="I2713" s="1" t="s">
        <v>16</v>
      </c>
      <c r="J2713" s="1">
        <v>1.3E7</v>
      </c>
      <c r="K2713" s="1">
        <v>2002.0</v>
      </c>
      <c r="L2713" s="1">
        <v>7.1</v>
      </c>
      <c r="O2713" s="3"/>
      <c r="S2713" s="4"/>
    </row>
    <row r="2714" ht="14.25" customHeight="1">
      <c r="A2714" s="1" t="s">
        <v>1087</v>
      </c>
      <c r="B2714" s="1">
        <v>101.0</v>
      </c>
      <c r="C2714" s="1">
        <v>4.1227069E7</v>
      </c>
      <c r="D2714" s="1" t="s">
        <v>92</v>
      </c>
      <c r="E2714" s="1" t="s">
        <v>5500</v>
      </c>
      <c r="F2714" s="1" t="s">
        <v>5501</v>
      </c>
      <c r="G2714" s="1">
        <v>162701.0</v>
      </c>
      <c r="H2714" s="1">
        <v>962.0</v>
      </c>
      <c r="I2714" s="1" t="s">
        <v>16</v>
      </c>
      <c r="J2714" s="1">
        <v>1.1E7</v>
      </c>
      <c r="K2714" s="1">
        <v>2002.0</v>
      </c>
      <c r="L2714" s="1">
        <v>7.4</v>
      </c>
      <c r="O2714" s="3"/>
      <c r="S2714" s="4"/>
    </row>
    <row r="2715" ht="14.25" customHeight="1">
      <c r="A2715" s="1" t="s">
        <v>3173</v>
      </c>
      <c r="B2715" s="1">
        <v>122.0</v>
      </c>
      <c r="C2715" s="1">
        <v>3.9025E7</v>
      </c>
      <c r="D2715" s="1" t="s">
        <v>811</v>
      </c>
      <c r="E2715" s="1" t="s">
        <v>5502</v>
      </c>
      <c r="F2715" s="1" t="s">
        <v>5503</v>
      </c>
      <c r="G2715" s="1">
        <v>73193.0</v>
      </c>
      <c r="H2715" s="1">
        <v>190.0</v>
      </c>
      <c r="I2715" s="1" t="s">
        <v>16</v>
      </c>
      <c r="J2715" s="1">
        <v>1.1E7</v>
      </c>
      <c r="K2715" s="1">
        <v>1995.0</v>
      </c>
      <c r="L2715" s="1">
        <v>7.6</v>
      </c>
      <c r="O2715" s="3"/>
      <c r="S2715" s="4"/>
    </row>
    <row r="2716" ht="14.25" customHeight="1">
      <c r="A2716" s="1" t="s">
        <v>2413</v>
      </c>
      <c r="B2716" s="1">
        <v>97.0</v>
      </c>
      <c r="C2716" s="1">
        <v>3.8201895E7</v>
      </c>
      <c r="D2716" s="1" t="s">
        <v>92</v>
      </c>
      <c r="E2716" s="1" t="s">
        <v>1041</v>
      </c>
      <c r="F2716" s="1" t="s">
        <v>5504</v>
      </c>
      <c r="G2716" s="1">
        <v>149222.0</v>
      </c>
      <c r="H2716" s="1">
        <v>749.0</v>
      </c>
      <c r="I2716" s="1" t="s">
        <v>16</v>
      </c>
      <c r="J2716" s="1">
        <v>1.05E7</v>
      </c>
      <c r="K2716" s="1">
        <v>1999.0</v>
      </c>
      <c r="L2716" s="1">
        <v>6.9</v>
      </c>
      <c r="O2716" s="3"/>
      <c r="S2716" s="4"/>
    </row>
    <row r="2717" ht="14.25" customHeight="1">
      <c r="A2717" s="1" t="s">
        <v>4669</v>
      </c>
      <c r="B2717" s="1">
        <v>92.0</v>
      </c>
      <c r="C2717" s="1">
        <v>2.7669413E7</v>
      </c>
      <c r="D2717" s="1" t="s">
        <v>2512</v>
      </c>
      <c r="E2717" s="1" t="s">
        <v>2360</v>
      </c>
      <c r="F2717" s="1" t="s">
        <v>5505</v>
      </c>
      <c r="G2717" s="1">
        <v>76207.0</v>
      </c>
      <c r="H2717" s="1">
        <v>194.0</v>
      </c>
      <c r="I2717" s="1" t="s">
        <v>16</v>
      </c>
      <c r="J2717" s="1">
        <v>1.1E7</v>
      </c>
      <c r="K2717" s="1">
        <v>2009.0</v>
      </c>
      <c r="L2717" s="1">
        <v>6.0</v>
      </c>
      <c r="O2717" s="3"/>
      <c r="S2717" s="4"/>
    </row>
    <row r="2718" ht="14.25" customHeight="1">
      <c r="A2718" s="1" t="s">
        <v>4914</v>
      </c>
      <c r="B2718" s="1">
        <v>110.0</v>
      </c>
      <c r="C2718" s="1">
        <v>3.776635E7</v>
      </c>
      <c r="D2718" s="1" t="s">
        <v>1391</v>
      </c>
      <c r="E2718" s="1" t="s">
        <v>5405</v>
      </c>
      <c r="F2718" s="1" t="s">
        <v>5506</v>
      </c>
      <c r="G2718" s="1">
        <v>19440.0</v>
      </c>
      <c r="H2718" s="1">
        <v>56.0</v>
      </c>
      <c r="I2718" s="1" t="s">
        <v>16</v>
      </c>
      <c r="J2718" s="1">
        <v>1.1E7</v>
      </c>
      <c r="K2718" s="1">
        <v>2008.0</v>
      </c>
      <c r="L2718" s="1">
        <v>7.3</v>
      </c>
      <c r="O2718" s="3"/>
      <c r="S2718" s="4"/>
    </row>
    <row r="2719" ht="14.25" customHeight="1">
      <c r="A2719" s="1" t="s">
        <v>5507</v>
      </c>
      <c r="B2719" s="1">
        <v>86.0</v>
      </c>
      <c r="C2719" s="1">
        <v>2.3978402E7</v>
      </c>
      <c r="D2719" s="1" t="s">
        <v>427</v>
      </c>
      <c r="E2719" s="1" t="s">
        <v>1453</v>
      </c>
      <c r="F2719" s="1" t="s">
        <v>5508</v>
      </c>
      <c r="G2719" s="1">
        <v>10966.0</v>
      </c>
      <c r="H2719" s="1">
        <v>100.0</v>
      </c>
      <c r="I2719" s="1" t="s">
        <v>16</v>
      </c>
      <c r="J2719" s="1">
        <v>1.1E7</v>
      </c>
      <c r="K2719" s="1">
        <v>2001.0</v>
      </c>
      <c r="L2719" s="1">
        <v>4.6</v>
      </c>
      <c r="O2719" s="3"/>
      <c r="S2719" s="4"/>
    </row>
    <row r="2720" ht="14.25" customHeight="1">
      <c r="A2720" s="1" t="s">
        <v>950</v>
      </c>
      <c r="B2720" s="1">
        <v>91.0</v>
      </c>
      <c r="C2720" s="1">
        <v>2.1370057E7</v>
      </c>
      <c r="D2720" s="1" t="s">
        <v>901</v>
      </c>
      <c r="E2720" s="1" t="s">
        <v>5509</v>
      </c>
      <c r="F2720" s="1" t="s">
        <v>5510</v>
      </c>
      <c r="G2720" s="1">
        <v>9903.0</v>
      </c>
      <c r="H2720" s="1">
        <v>80.0</v>
      </c>
      <c r="I2720" s="1" t="s">
        <v>16</v>
      </c>
      <c r="J2720" s="1">
        <v>1.2E7</v>
      </c>
      <c r="K2720" s="1">
        <v>1992.0</v>
      </c>
      <c r="L2720" s="1">
        <v>6.0</v>
      </c>
      <c r="O2720" s="3"/>
      <c r="S2720" s="4"/>
    </row>
    <row r="2721" ht="14.25" customHeight="1">
      <c r="A2721" s="1" t="s">
        <v>2944</v>
      </c>
      <c r="B2721" s="1">
        <v>100.0</v>
      </c>
      <c r="C2721" s="1">
        <v>4884663.0</v>
      </c>
      <c r="D2721" s="1" t="s">
        <v>3966</v>
      </c>
      <c r="E2721" s="1" t="s">
        <v>5511</v>
      </c>
      <c r="F2721" s="1" t="s">
        <v>5512</v>
      </c>
      <c r="G2721" s="1">
        <v>5187.0</v>
      </c>
      <c r="H2721" s="1">
        <v>64.0</v>
      </c>
      <c r="I2721" s="1" t="s">
        <v>16</v>
      </c>
      <c r="J2721" s="1">
        <v>1.2E7</v>
      </c>
      <c r="K2721" s="1">
        <v>1986.0</v>
      </c>
      <c r="L2721" s="1">
        <v>5.5</v>
      </c>
      <c r="O2721" s="3"/>
      <c r="S2721" s="4"/>
    </row>
    <row r="2722" ht="14.25" customHeight="1">
      <c r="A2722" s="1" t="s">
        <v>5513</v>
      </c>
      <c r="B2722" s="1">
        <v>111.0</v>
      </c>
      <c r="C2722" s="1">
        <v>3.8317535E7</v>
      </c>
      <c r="D2722" s="1" t="s">
        <v>92</v>
      </c>
      <c r="E2722" s="1" t="s">
        <v>1910</v>
      </c>
      <c r="F2722" s="1" t="s">
        <v>5514</v>
      </c>
      <c r="G2722" s="1">
        <v>73249.0</v>
      </c>
      <c r="H2722" s="1">
        <v>212.0</v>
      </c>
      <c r="I2722" s="1" t="s">
        <v>16</v>
      </c>
      <c r="J2722" s="1">
        <v>1.1E7</v>
      </c>
      <c r="K2722" s="1">
        <v>2015.0</v>
      </c>
      <c r="L2722" s="1">
        <v>7.5</v>
      </c>
      <c r="O2722" s="3"/>
      <c r="S2722" s="4"/>
    </row>
    <row r="2723" ht="14.25" customHeight="1">
      <c r="A2723" s="1" t="s">
        <v>5515</v>
      </c>
      <c r="B2723" s="1">
        <v>89.0</v>
      </c>
      <c r="C2723" s="1">
        <v>1.3903262E7</v>
      </c>
      <c r="D2723" s="1" t="s">
        <v>1592</v>
      </c>
      <c r="E2723" s="1" t="s">
        <v>5516</v>
      </c>
      <c r="F2723" s="1" t="s">
        <v>5517</v>
      </c>
      <c r="G2723" s="1">
        <v>14656.0</v>
      </c>
      <c r="H2723" s="1">
        <v>90.0</v>
      </c>
      <c r="I2723" s="1" t="s">
        <v>16</v>
      </c>
      <c r="J2723" s="1">
        <v>1.1E7</v>
      </c>
      <c r="K2723" s="1">
        <v>2001.0</v>
      </c>
      <c r="L2723" s="1">
        <v>6.3</v>
      </c>
      <c r="O2723" s="3"/>
      <c r="S2723" s="4"/>
    </row>
    <row r="2724" ht="14.25" customHeight="1">
      <c r="A2724" s="1" t="s">
        <v>2427</v>
      </c>
      <c r="B2724" s="1">
        <v>84.0</v>
      </c>
      <c r="C2724" s="1">
        <v>1.3592872E7</v>
      </c>
      <c r="D2724" s="1" t="s">
        <v>828</v>
      </c>
      <c r="E2724" s="1" t="s">
        <v>783</v>
      </c>
      <c r="F2724" s="1" t="s">
        <v>5518</v>
      </c>
      <c r="G2724" s="1">
        <v>10777.0</v>
      </c>
      <c r="H2724" s="1">
        <v>79.0</v>
      </c>
      <c r="I2724" s="1" t="s">
        <v>16</v>
      </c>
      <c r="J2724" s="1">
        <v>1.1E7</v>
      </c>
      <c r="K2724" s="1">
        <v>2000.0</v>
      </c>
      <c r="L2724" s="1">
        <v>5.1</v>
      </c>
      <c r="O2724" s="3"/>
      <c r="S2724" s="4"/>
    </row>
    <row r="2725" ht="14.25" customHeight="1">
      <c r="A2725" s="1" t="s">
        <v>5519</v>
      </c>
      <c r="B2725" s="1">
        <v>98.0</v>
      </c>
      <c r="C2725" s="1">
        <v>1.8381787E7</v>
      </c>
      <c r="D2725" s="1" t="s">
        <v>1059</v>
      </c>
      <c r="E2725" s="1" t="s">
        <v>5520</v>
      </c>
      <c r="F2725" s="1" t="s">
        <v>5521</v>
      </c>
      <c r="G2725" s="1">
        <v>15684.0</v>
      </c>
      <c r="H2725" s="1">
        <v>126.0</v>
      </c>
      <c r="I2725" s="1" t="s">
        <v>16</v>
      </c>
      <c r="J2725" s="1">
        <v>1.1E7</v>
      </c>
      <c r="K2725" s="1">
        <v>2012.0</v>
      </c>
      <c r="L2725" s="1">
        <v>6.8</v>
      </c>
      <c r="O2725" s="3"/>
      <c r="S2725" s="4"/>
    </row>
    <row r="2726" ht="14.25" customHeight="1">
      <c r="A2726" s="1" t="s">
        <v>5522</v>
      </c>
      <c r="B2726" s="1">
        <v>95.0</v>
      </c>
      <c r="C2726" s="1">
        <v>1.3558739E7</v>
      </c>
      <c r="D2726" s="1" t="s">
        <v>828</v>
      </c>
      <c r="E2726" s="1" t="s">
        <v>3009</v>
      </c>
      <c r="F2726" s="1" t="s">
        <v>5523</v>
      </c>
      <c r="G2726" s="1">
        <v>15427.0</v>
      </c>
      <c r="H2726" s="1">
        <v>121.0</v>
      </c>
      <c r="I2726" s="1" t="s">
        <v>16</v>
      </c>
      <c r="J2726" s="1">
        <v>1.1E7</v>
      </c>
      <c r="K2726" s="1">
        <v>2001.0</v>
      </c>
      <c r="L2726" s="1">
        <v>5.3</v>
      </c>
      <c r="O2726" s="3"/>
      <c r="S2726" s="4"/>
    </row>
    <row r="2727" ht="14.25" customHeight="1">
      <c r="A2727" s="1" t="s">
        <v>5524</v>
      </c>
      <c r="B2727" s="1">
        <v>100.0</v>
      </c>
      <c r="C2727" s="1">
        <v>1.3103828E7</v>
      </c>
      <c r="D2727" s="1" t="s">
        <v>901</v>
      </c>
      <c r="E2727" s="1" t="s">
        <v>285</v>
      </c>
      <c r="F2727" s="1" t="s">
        <v>5525</v>
      </c>
      <c r="G2727" s="1">
        <v>59982.0</v>
      </c>
      <c r="H2727" s="1">
        <v>463.0</v>
      </c>
      <c r="I2727" s="1" t="s">
        <v>16</v>
      </c>
      <c r="J2727" s="1">
        <v>1.1E7</v>
      </c>
      <c r="K2727" s="1">
        <v>2001.0</v>
      </c>
      <c r="L2727" s="1">
        <v>7.3</v>
      </c>
      <c r="O2727" s="3"/>
      <c r="S2727" s="4"/>
    </row>
    <row r="2728" ht="14.25" customHeight="1">
      <c r="A2728" s="1" t="s">
        <v>5526</v>
      </c>
      <c r="B2728" s="1">
        <v>109.0</v>
      </c>
      <c r="C2728" s="1">
        <v>3.3305037E7</v>
      </c>
      <c r="D2728" s="1" t="s">
        <v>2369</v>
      </c>
      <c r="E2728" s="1" t="s">
        <v>137</v>
      </c>
      <c r="F2728" s="1" t="s">
        <v>5527</v>
      </c>
      <c r="G2728" s="1">
        <v>33856.0</v>
      </c>
      <c r="H2728" s="1">
        <v>147.0</v>
      </c>
      <c r="I2728" s="1" t="s">
        <v>16</v>
      </c>
      <c r="J2728" s="1">
        <v>1.1E7</v>
      </c>
      <c r="K2728" s="1">
        <v>2015.0</v>
      </c>
      <c r="L2728" s="1">
        <v>7.3</v>
      </c>
      <c r="O2728" s="3"/>
      <c r="S2728" s="4"/>
    </row>
    <row r="2729" ht="14.25" customHeight="1">
      <c r="A2729" s="1" t="s">
        <v>467</v>
      </c>
      <c r="B2729" s="1">
        <v>118.0</v>
      </c>
      <c r="C2729" s="1">
        <v>1.0214647E7</v>
      </c>
      <c r="D2729" s="1" t="s">
        <v>646</v>
      </c>
      <c r="E2729" s="1" t="s">
        <v>100</v>
      </c>
      <c r="F2729" s="1" t="s">
        <v>5528</v>
      </c>
      <c r="G2729" s="1">
        <v>42689.0</v>
      </c>
      <c r="H2729" s="1">
        <v>204.0</v>
      </c>
      <c r="I2729" s="1" t="s">
        <v>16</v>
      </c>
      <c r="J2729" s="1">
        <v>1.1E7</v>
      </c>
      <c r="K2729" s="1">
        <v>2004.0</v>
      </c>
      <c r="L2729" s="1">
        <v>7.1</v>
      </c>
      <c r="O2729" s="3"/>
      <c r="S2729" s="4"/>
    </row>
    <row r="2730" ht="14.25" customHeight="1">
      <c r="A2730" s="1" t="s">
        <v>33</v>
      </c>
      <c r="B2730" s="1">
        <v>88.0</v>
      </c>
      <c r="C2730" s="1">
        <v>1.1501093E7</v>
      </c>
      <c r="D2730" s="1" t="s">
        <v>375</v>
      </c>
      <c r="E2730" s="1" t="s">
        <v>5529</v>
      </c>
      <c r="F2730" s="1" t="s">
        <v>5530</v>
      </c>
      <c r="G2730" s="1">
        <v>128850.0</v>
      </c>
      <c r="H2730" s="1">
        <v>604.0</v>
      </c>
      <c r="I2730" s="1" t="s">
        <v>16</v>
      </c>
      <c r="J2730" s="1">
        <v>1.3E7</v>
      </c>
      <c r="K2730" s="1">
        <v>1992.0</v>
      </c>
      <c r="L2730" s="1">
        <v>7.6</v>
      </c>
      <c r="O2730" s="3"/>
      <c r="S2730" s="4"/>
    </row>
    <row r="2731" ht="14.25" customHeight="1">
      <c r="A2731" s="1" t="s">
        <v>5531</v>
      </c>
      <c r="B2731" s="1">
        <v>86.0</v>
      </c>
      <c r="C2731" s="1">
        <v>4814244.0</v>
      </c>
      <c r="D2731" s="1" t="s">
        <v>699</v>
      </c>
      <c r="E2731" s="1" t="s">
        <v>2011</v>
      </c>
      <c r="F2731" s="1" t="s">
        <v>5532</v>
      </c>
      <c r="G2731" s="1">
        <v>12437.0</v>
      </c>
      <c r="H2731" s="1">
        <v>107.0</v>
      </c>
      <c r="I2731" s="1" t="s">
        <v>16</v>
      </c>
      <c r="J2731" s="1">
        <v>1.1E7</v>
      </c>
      <c r="K2731" s="1">
        <v>2002.0</v>
      </c>
      <c r="L2731" s="1">
        <v>5.3</v>
      </c>
      <c r="O2731" s="3"/>
      <c r="S2731" s="4"/>
    </row>
    <row r="2732" ht="14.25" customHeight="1">
      <c r="A2732" s="1" t="s">
        <v>3025</v>
      </c>
      <c r="B2732" s="1">
        <v>118.0</v>
      </c>
      <c r="C2732" s="1">
        <v>9170214.0</v>
      </c>
      <c r="D2732" s="1" t="s">
        <v>92</v>
      </c>
      <c r="E2732" s="1" t="s">
        <v>19</v>
      </c>
      <c r="F2732" s="1" t="s">
        <v>5533</v>
      </c>
      <c r="G2732" s="1">
        <v>171882.0</v>
      </c>
      <c r="H2732" s="1">
        <v>292.0</v>
      </c>
      <c r="I2732" s="1" t="s">
        <v>16</v>
      </c>
      <c r="J2732" s="1">
        <v>1.1E7</v>
      </c>
      <c r="K2732" s="1">
        <v>1993.0</v>
      </c>
      <c r="L2732" s="1">
        <v>7.8</v>
      </c>
      <c r="O2732" s="3"/>
      <c r="S2732" s="4"/>
    </row>
    <row r="2733" ht="14.25" customHeight="1">
      <c r="A2733" s="1" t="s">
        <v>5534</v>
      </c>
      <c r="B2733" s="1">
        <v>125.0</v>
      </c>
      <c r="C2733" s="1">
        <v>4068087.0</v>
      </c>
      <c r="D2733" s="1" t="s">
        <v>2369</v>
      </c>
      <c r="E2733" s="1" t="s">
        <v>4641</v>
      </c>
      <c r="F2733" s="1" t="s">
        <v>5535</v>
      </c>
      <c r="G2733" s="1">
        <v>2164.0</v>
      </c>
      <c r="H2733" s="1">
        <v>74.0</v>
      </c>
      <c r="I2733" s="1" t="s">
        <v>16</v>
      </c>
      <c r="J2733" s="1">
        <v>1.7E7</v>
      </c>
      <c r="K2733" s="1">
        <v>2003.0</v>
      </c>
      <c r="L2733" s="1">
        <v>7.7</v>
      </c>
      <c r="O2733" s="3"/>
      <c r="S2733" s="4"/>
    </row>
    <row r="2734" ht="14.25" customHeight="1">
      <c r="A2734" s="1" t="s">
        <v>4377</v>
      </c>
      <c r="B2734" s="1">
        <v>125.0</v>
      </c>
      <c r="C2734" s="1">
        <v>3753806.0</v>
      </c>
      <c r="D2734" s="1" t="s">
        <v>811</v>
      </c>
      <c r="E2734" s="1" t="s">
        <v>157</v>
      </c>
      <c r="F2734" s="1" t="s">
        <v>5536</v>
      </c>
      <c r="G2734" s="1">
        <v>20307.0</v>
      </c>
      <c r="H2734" s="1">
        <v>165.0</v>
      </c>
      <c r="I2734" s="1" t="s">
        <v>16</v>
      </c>
      <c r="J2734" s="1">
        <v>1.1E7</v>
      </c>
      <c r="K2734" s="1">
        <v>2004.0</v>
      </c>
      <c r="L2734" s="1">
        <v>7.7</v>
      </c>
      <c r="O2734" s="3"/>
      <c r="S2734" s="4"/>
    </row>
    <row r="2735" ht="14.25" customHeight="1">
      <c r="A2735" s="1" t="s">
        <v>5232</v>
      </c>
      <c r="B2735" s="1">
        <v>94.0</v>
      </c>
      <c r="C2735" s="1">
        <v>3034181.0</v>
      </c>
      <c r="D2735" s="1" t="s">
        <v>4674</v>
      </c>
      <c r="E2735" s="1" t="s">
        <v>5537</v>
      </c>
      <c r="F2735" s="1" t="s">
        <v>5538</v>
      </c>
      <c r="G2735" s="1">
        <v>13622.0</v>
      </c>
      <c r="H2735" s="1">
        <v>128.0</v>
      </c>
      <c r="I2735" s="1" t="s">
        <v>16</v>
      </c>
      <c r="J2735" s="1">
        <v>1.1E7</v>
      </c>
      <c r="K2735" s="1">
        <v>2002.0</v>
      </c>
      <c r="L2735" s="1">
        <v>5.4</v>
      </c>
      <c r="O2735" s="3"/>
      <c r="S2735" s="4"/>
    </row>
    <row r="2736" ht="14.25" customHeight="1">
      <c r="A2736" s="1" t="s">
        <v>3996</v>
      </c>
      <c r="B2736" s="1">
        <v>113.0</v>
      </c>
      <c r="C2736" s="1">
        <v>2832826.0</v>
      </c>
      <c r="D2736" s="1" t="s">
        <v>593</v>
      </c>
      <c r="E2736" s="1" t="s">
        <v>1617</v>
      </c>
      <c r="F2736" s="1" t="s">
        <v>5539</v>
      </c>
      <c r="G2736" s="1">
        <v>1761.0</v>
      </c>
      <c r="H2736" s="1">
        <v>19.0</v>
      </c>
      <c r="I2736" s="1" t="s">
        <v>16</v>
      </c>
      <c r="J2736" s="1">
        <v>1.1E7</v>
      </c>
      <c r="K2736" s="1">
        <v>1995.0</v>
      </c>
      <c r="L2736" s="1">
        <v>6.2</v>
      </c>
      <c r="O2736" s="3"/>
      <c r="S2736" s="4"/>
    </row>
    <row r="2737" ht="14.25" customHeight="1">
      <c r="A2737" s="1" t="s">
        <v>2831</v>
      </c>
      <c r="B2737" s="1">
        <v>104.0</v>
      </c>
      <c r="C2737" s="1">
        <v>1.3214255E7</v>
      </c>
      <c r="D2737" s="1" t="s">
        <v>2466</v>
      </c>
      <c r="E2737" s="1" t="s">
        <v>309</v>
      </c>
      <c r="F2737" s="1" t="s">
        <v>5540</v>
      </c>
      <c r="G2737" s="1">
        <v>96233.0</v>
      </c>
      <c r="H2737" s="1">
        <v>313.0</v>
      </c>
      <c r="I2737" s="1" t="s">
        <v>16</v>
      </c>
      <c r="J2737" s="1">
        <v>1.1E7</v>
      </c>
      <c r="K2737" s="1">
        <v>2013.0</v>
      </c>
      <c r="L2737" s="1">
        <v>7.4</v>
      </c>
      <c r="O2737" s="3"/>
      <c r="S2737" s="4"/>
    </row>
    <row r="2738" ht="14.25" customHeight="1">
      <c r="A2738" s="1" t="s">
        <v>627</v>
      </c>
      <c r="B2738" s="1">
        <v>95.0</v>
      </c>
      <c r="C2738" s="1">
        <v>1.6017403E7</v>
      </c>
      <c r="D2738" s="1" t="s">
        <v>3495</v>
      </c>
      <c r="E2738" s="1" t="s">
        <v>2467</v>
      </c>
      <c r="F2738" s="1" t="s">
        <v>5541</v>
      </c>
      <c r="G2738" s="1">
        <v>17333.0</v>
      </c>
      <c r="H2738" s="1">
        <v>153.0</v>
      </c>
      <c r="I2738" s="1" t="s">
        <v>16</v>
      </c>
      <c r="J2738" s="1">
        <v>5000000.0</v>
      </c>
      <c r="K2738" s="1">
        <v>2001.0</v>
      </c>
      <c r="L2738" s="1">
        <v>6.2</v>
      </c>
      <c r="O2738" s="3"/>
      <c r="S2738" s="4"/>
    </row>
    <row r="2739" ht="14.25" customHeight="1">
      <c r="A2739" s="1" t="s">
        <v>5542</v>
      </c>
      <c r="B2739" s="1">
        <v>102.0</v>
      </c>
      <c r="C2739" s="1">
        <v>2807854.0</v>
      </c>
      <c r="D2739" s="1" t="s">
        <v>976</v>
      </c>
      <c r="E2739" s="1" t="s">
        <v>831</v>
      </c>
      <c r="F2739" s="1" t="s">
        <v>5543</v>
      </c>
      <c r="G2739" s="1">
        <v>14129.0</v>
      </c>
      <c r="H2739" s="1">
        <v>39.0</v>
      </c>
      <c r="I2739" s="1" t="s">
        <v>16</v>
      </c>
      <c r="J2739" s="1">
        <v>1.1E7</v>
      </c>
      <c r="K2739" s="1">
        <v>1991.0</v>
      </c>
      <c r="L2739" s="1">
        <v>5.1</v>
      </c>
      <c r="O2739" s="3"/>
      <c r="S2739" s="4"/>
    </row>
    <row r="2740" ht="14.25" customHeight="1">
      <c r="A2740" s="1" t="s">
        <v>5544</v>
      </c>
      <c r="B2740" s="1">
        <v>104.0</v>
      </c>
      <c r="C2740" s="1">
        <v>352786.0</v>
      </c>
      <c r="D2740" s="1" t="s">
        <v>1749</v>
      </c>
      <c r="E2740" s="1" t="s">
        <v>5545</v>
      </c>
      <c r="F2740" s="1" t="s">
        <v>5546</v>
      </c>
      <c r="G2740" s="1">
        <v>11132.0</v>
      </c>
      <c r="H2740" s="1">
        <v>86.0</v>
      </c>
      <c r="I2740" s="1" t="s">
        <v>16</v>
      </c>
      <c r="J2740" s="1">
        <v>1.1E7</v>
      </c>
      <c r="K2740" s="1">
        <v>2006.0</v>
      </c>
      <c r="L2740" s="1">
        <v>6.8</v>
      </c>
      <c r="O2740" s="3"/>
      <c r="S2740" s="4"/>
    </row>
    <row r="2741" ht="14.25" customHeight="1">
      <c r="A2741" s="1" t="s">
        <v>2944</v>
      </c>
      <c r="B2741" s="1">
        <v>120.0</v>
      </c>
      <c r="C2741" s="1">
        <v>7.66E7</v>
      </c>
      <c r="D2741" s="1" t="s">
        <v>2945</v>
      </c>
      <c r="E2741" s="1" t="s">
        <v>2946</v>
      </c>
      <c r="F2741" s="1" t="s">
        <v>2947</v>
      </c>
      <c r="G2741" s="1">
        <v>105448.0</v>
      </c>
      <c r="H2741" s="1">
        <v>321.0</v>
      </c>
      <c r="I2741" s="1" t="s">
        <v>16</v>
      </c>
      <c r="J2741" s="1">
        <v>1.07E7</v>
      </c>
      <c r="K2741" s="1">
        <v>1982.0</v>
      </c>
      <c r="L2741" s="1">
        <v>7.4</v>
      </c>
      <c r="O2741" s="3"/>
      <c r="S2741" s="4"/>
    </row>
    <row r="2742" ht="14.25" customHeight="1">
      <c r="A2742" s="1" t="s">
        <v>5547</v>
      </c>
      <c r="B2742" s="1">
        <v>95.0</v>
      </c>
      <c r="C2742" s="1">
        <v>5.6729973E7</v>
      </c>
      <c r="D2742" s="1" t="s">
        <v>2512</v>
      </c>
      <c r="E2742" s="1" t="s">
        <v>3042</v>
      </c>
      <c r="F2742" s="1" t="s">
        <v>5548</v>
      </c>
      <c r="G2742" s="1">
        <v>88529.0</v>
      </c>
      <c r="H2742" s="1">
        <v>262.0</v>
      </c>
      <c r="I2742" s="1" t="s">
        <v>16</v>
      </c>
      <c r="J2742" s="1">
        <v>1.08E7</v>
      </c>
      <c r="K2742" s="1">
        <v>2008.0</v>
      </c>
      <c r="L2742" s="1">
        <v>5.8</v>
      </c>
      <c r="O2742" s="3"/>
      <c r="S2742" s="4"/>
    </row>
    <row r="2743" ht="14.25" customHeight="1">
      <c r="A2743" s="1" t="s">
        <v>5549</v>
      </c>
      <c r="B2743" s="1">
        <v>118.0</v>
      </c>
      <c r="C2743" s="1">
        <v>399879.0</v>
      </c>
      <c r="D2743" s="1" t="s">
        <v>909</v>
      </c>
      <c r="E2743" s="1" t="s">
        <v>5550</v>
      </c>
      <c r="F2743" s="1" t="s">
        <v>5551</v>
      </c>
      <c r="G2743" s="1">
        <v>5772.0</v>
      </c>
      <c r="H2743" s="1">
        <v>115.0</v>
      </c>
      <c r="I2743" s="1" t="s">
        <v>16</v>
      </c>
      <c r="J2743" s="1">
        <v>1.5E7</v>
      </c>
      <c r="K2743" s="1">
        <v>2006.0</v>
      </c>
      <c r="L2743" s="1">
        <v>6.4</v>
      </c>
      <c r="O2743" s="3"/>
      <c r="S2743" s="4"/>
    </row>
    <row r="2744" ht="14.25" customHeight="1">
      <c r="A2744" s="1" t="s">
        <v>5552</v>
      </c>
      <c r="B2744" s="1">
        <v>193.0</v>
      </c>
      <c r="C2744" s="1">
        <v>3275443.0</v>
      </c>
      <c r="D2744" s="1" t="s">
        <v>1391</v>
      </c>
      <c r="E2744" s="1" t="s">
        <v>5553</v>
      </c>
      <c r="F2744" s="1" t="s">
        <v>5554</v>
      </c>
      <c r="G2744" s="1">
        <v>13998.0</v>
      </c>
      <c r="H2744" s="1">
        <v>264.0</v>
      </c>
      <c r="I2744" s="1" t="s">
        <v>5555</v>
      </c>
      <c r="J2744" s="1">
        <v>7.0E8</v>
      </c>
      <c r="K2744" s="1">
        <v>2006.0</v>
      </c>
      <c r="L2744" s="1">
        <v>6.0</v>
      </c>
      <c r="O2744" s="3"/>
      <c r="S2744" s="4"/>
    </row>
    <row r="2745" ht="14.25" customHeight="1">
      <c r="A2745" s="1" t="s">
        <v>2385</v>
      </c>
      <c r="B2745" s="1">
        <v>97.0</v>
      </c>
      <c r="C2745" s="1">
        <v>1.8535191E7</v>
      </c>
      <c r="D2745" s="1" t="s">
        <v>699</v>
      </c>
      <c r="E2745" s="1" t="s">
        <v>3922</v>
      </c>
      <c r="F2745" s="1" t="s">
        <v>5556</v>
      </c>
      <c r="G2745" s="1">
        <v>12980.0</v>
      </c>
      <c r="H2745" s="1">
        <v>132.0</v>
      </c>
      <c r="I2745" s="1" t="s">
        <v>16</v>
      </c>
      <c r="J2745" s="1">
        <v>1.4E7</v>
      </c>
      <c r="K2745" s="1">
        <v>1999.0</v>
      </c>
      <c r="L2745" s="1">
        <v>6.9</v>
      </c>
      <c r="O2745" s="3"/>
      <c r="S2745" s="4"/>
    </row>
    <row r="2746" ht="14.25" customHeight="1">
      <c r="A2746" s="1" t="s">
        <v>5557</v>
      </c>
      <c r="B2746" s="1">
        <v>98.0</v>
      </c>
      <c r="C2746" s="1">
        <v>23838.0</v>
      </c>
      <c r="D2746" s="1" t="s">
        <v>1764</v>
      </c>
      <c r="E2746" s="1" t="s">
        <v>3997</v>
      </c>
      <c r="F2746" s="1" t="s">
        <v>5558</v>
      </c>
      <c r="G2746" s="1">
        <v>28570.0</v>
      </c>
      <c r="H2746" s="1">
        <v>160.0</v>
      </c>
      <c r="I2746" s="1" t="s">
        <v>16</v>
      </c>
      <c r="J2746" s="1">
        <v>7000000.0</v>
      </c>
      <c r="K2746" s="1">
        <v>2013.0</v>
      </c>
      <c r="L2746" s="1">
        <v>5.5</v>
      </c>
      <c r="O2746" s="3"/>
      <c r="S2746" s="4"/>
    </row>
    <row r="2747" ht="14.25" customHeight="1">
      <c r="A2747" s="1" t="s">
        <v>5559</v>
      </c>
      <c r="B2747" s="1">
        <v>103.0</v>
      </c>
      <c r="C2747" s="1">
        <v>2.2160085E7</v>
      </c>
      <c r="D2747" s="1" t="s">
        <v>2551</v>
      </c>
      <c r="E2747" s="1" t="s">
        <v>3690</v>
      </c>
      <c r="F2747" s="1" t="s">
        <v>5560</v>
      </c>
      <c r="G2747" s="1">
        <v>16747.0</v>
      </c>
      <c r="H2747" s="1">
        <v>349.0</v>
      </c>
      <c r="I2747" s="1" t="s">
        <v>16</v>
      </c>
      <c r="J2747" s="1">
        <v>1.06E7</v>
      </c>
      <c r="K2747" s="1">
        <v>2002.0</v>
      </c>
      <c r="L2747" s="1">
        <v>5.4</v>
      </c>
      <c r="O2747" s="3"/>
      <c r="S2747" s="4"/>
    </row>
    <row r="2748" ht="14.25" customHeight="1">
      <c r="A2748" s="1" t="s">
        <v>1517</v>
      </c>
      <c r="B2748" s="1">
        <v>161.0</v>
      </c>
      <c r="C2748" s="1">
        <v>5.6715371E7</v>
      </c>
      <c r="D2748" s="1" t="s">
        <v>575</v>
      </c>
      <c r="E2748" s="1" t="s">
        <v>5561</v>
      </c>
      <c r="F2748" s="1" t="s">
        <v>5562</v>
      </c>
      <c r="G2748" s="1">
        <v>427357.0</v>
      </c>
      <c r="H2748" s="1">
        <v>1736.0</v>
      </c>
      <c r="I2748" s="1" t="s">
        <v>16</v>
      </c>
      <c r="J2748" s="1">
        <v>1.2E7</v>
      </c>
      <c r="K2748" s="1">
        <v>1968.0</v>
      </c>
      <c r="L2748" s="1">
        <v>8.3</v>
      </c>
      <c r="O2748" s="3"/>
      <c r="S2748" s="4"/>
    </row>
    <row r="2749" ht="14.25" customHeight="1">
      <c r="A2749" s="1" t="s">
        <v>168</v>
      </c>
      <c r="B2749" s="1">
        <v>120.0</v>
      </c>
      <c r="C2749" s="1">
        <v>4.34949459E8</v>
      </c>
      <c r="D2749" s="1" t="s">
        <v>5563</v>
      </c>
      <c r="E2749" s="1" t="s">
        <v>5564</v>
      </c>
      <c r="F2749" s="1" t="s">
        <v>5565</v>
      </c>
      <c r="G2749" s="1">
        <v>281842.0</v>
      </c>
      <c r="H2749" s="1">
        <v>515.0</v>
      </c>
      <c r="I2749" s="1" t="s">
        <v>16</v>
      </c>
      <c r="J2749" s="1">
        <v>1.05E7</v>
      </c>
      <c r="K2749" s="1">
        <v>1982.0</v>
      </c>
      <c r="L2749" s="1">
        <v>7.9</v>
      </c>
      <c r="O2749" s="3"/>
      <c r="S2749" s="4"/>
    </row>
    <row r="2750" ht="14.25" customHeight="1">
      <c r="A2750" s="1" t="s">
        <v>5566</v>
      </c>
      <c r="B2750" s="1">
        <v>97.0</v>
      </c>
      <c r="C2750" s="1">
        <v>1.1043445E7</v>
      </c>
      <c r="D2750" s="1" t="s">
        <v>593</v>
      </c>
      <c r="E2750" s="1" t="s">
        <v>1050</v>
      </c>
      <c r="F2750" s="1" t="s">
        <v>5567</v>
      </c>
      <c r="G2750" s="1">
        <v>27689.0</v>
      </c>
      <c r="H2750" s="1">
        <v>74.0</v>
      </c>
      <c r="I2750" s="1" t="s">
        <v>16</v>
      </c>
      <c r="J2750" s="1">
        <v>1.0E7</v>
      </c>
      <c r="K2750" s="1">
        <v>2007.0</v>
      </c>
      <c r="L2750" s="1">
        <v>6.5</v>
      </c>
      <c r="O2750" s="3"/>
      <c r="S2750" s="4"/>
    </row>
    <row r="2751" ht="14.25" customHeight="1">
      <c r="A2751" s="1" t="s">
        <v>5568</v>
      </c>
      <c r="B2751" s="1">
        <v>99.0</v>
      </c>
      <c r="C2751" s="1">
        <v>125169.0</v>
      </c>
      <c r="D2751" s="1" t="s">
        <v>1059</v>
      </c>
      <c r="E2751" s="1" t="s">
        <v>5569</v>
      </c>
      <c r="F2751" s="1" t="s">
        <v>5570</v>
      </c>
      <c r="G2751" s="1">
        <v>859.0</v>
      </c>
      <c r="H2751" s="1">
        <v>31.0</v>
      </c>
      <c r="I2751" s="1" t="s">
        <v>16</v>
      </c>
      <c r="J2751" s="1">
        <v>1.05E7</v>
      </c>
      <c r="K2751" s="1">
        <v>1994.0</v>
      </c>
      <c r="L2751" s="1">
        <v>6.4</v>
      </c>
      <c r="O2751" s="3"/>
      <c r="S2751" s="4"/>
    </row>
    <row r="2752" ht="14.25" customHeight="1">
      <c r="A2752" s="1" t="s">
        <v>5571</v>
      </c>
      <c r="B2752" s="1">
        <v>145.0</v>
      </c>
      <c r="C2752" s="1">
        <v>5669081.0</v>
      </c>
      <c r="D2752" s="1" t="s">
        <v>824</v>
      </c>
      <c r="E2752" s="1" t="s">
        <v>5572</v>
      </c>
      <c r="F2752" s="1" t="s">
        <v>5573</v>
      </c>
      <c r="G2752" s="1">
        <v>3665.0</v>
      </c>
      <c r="H2752" s="1">
        <v>57.0</v>
      </c>
      <c r="I2752" s="1" t="s">
        <v>1144</v>
      </c>
      <c r="J2752" s="1">
        <v>1.0818775E7</v>
      </c>
      <c r="K2752" s="1">
        <v>2012.0</v>
      </c>
      <c r="L2752" s="1">
        <v>6.6</v>
      </c>
      <c r="O2752" s="3"/>
      <c r="S2752" s="4"/>
    </row>
    <row r="2753" ht="14.25" customHeight="1">
      <c r="A2753" s="1" t="s">
        <v>2409</v>
      </c>
      <c r="B2753" s="1">
        <v>126.0</v>
      </c>
      <c r="C2753" s="1">
        <v>1.38339411E8</v>
      </c>
      <c r="D2753" s="1" t="s">
        <v>1391</v>
      </c>
      <c r="E2753" s="1" t="s">
        <v>346</v>
      </c>
      <c r="F2753" s="1" t="s">
        <v>5574</v>
      </c>
      <c r="G2753" s="1">
        <v>604904.0</v>
      </c>
      <c r="H2753" s="1">
        <v>682.0</v>
      </c>
      <c r="I2753" s="1" t="s">
        <v>16</v>
      </c>
      <c r="J2753" s="1">
        <v>1.0E7</v>
      </c>
      <c r="K2753" s="1">
        <v>1997.0</v>
      </c>
      <c r="L2753" s="1">
        <v>8.3</v>
      </c>
      <c r="O2753" s="3"/>
      <c r="S2753" s="4"/>
    </row>
    <row r="2754" ht="14.25" customHeight="1">
      <c r="A2754" s="1" t="s">
        <v>5575</v>
      </c>
      <c r="B2754" s="1">
        <v>121.0</v>
      </c>
      <c r="C2754" s="1">
        <v>8.0150343E7</v>
      </c>
      <c r="D2754" s="1" t="s">
        <v>2512</v>
      </c>
      <c r="E2754" s="1" t="s">
        <v>2360</v>
      </c>
      <c r="F2754" s="1" t="s">
        <v>5576</v>
      </c>
      <c r="G2754" s="1">
        <v>142115.0</v>
      </c>
      <c r="H2754" s="1">
        <v>614.0</v>
      </c>
      <c r="I2754" s="1" t="s">
        <v>16</v>
      </c>
      <c r="J2754" s="1">
        <v>1.0E7</v>
      </c>
      <c r="K2754" s="1">
        <v>2006.0</v>
      </c>
      <c r="L2754" s="1">
        <v>6.2</v>
      </c>
      <c r="O2754" s="3"/>
      <c r="S2754" s="4"/>
    </row>
    <row r="2755" ht="14.25" customHeight="1">
      <c r="A2755" s="1" t="s">
        <v>1117</v>
      </c>
      <c r="B2755" s="1">
        <v>117.0</v>
      </c>
      <c r="C2755" s="1">
        <v>8.53E7</v>
      </c>
      <c r="D2755" s="1" t="s">
        <v>5577</v>
      </c>
      <c r="E2755" s="1" t="s">
        <v>899</v>
      </c>
      <c r="F2755" s="1" t="s">
        <v>5578</v>
      </c>
      <c r="G2755" s="1">
        <v>48629.0</v>
      </c>
      <c r="H2755" s="1">
        <v>134.0</v>
      </c>
      <c r="I2755" s="1" t="s">
        <v>16</v>
      </c>
      <c r="J2755" s="1">
        <v>1.0E7</v>
      </c>
      <c r="K2755" s="1">
        <v>1981.0</v>
      </c>
      <c r="L2755" s="1">
        <v>6.9</v>
      </c>
      <c r="O2755" s="3"/>
      <c r="S2755" s="4"/>
    </row>
    <row r="2756" ht="14.25" customHeight="1">
      <c r="A2756" s="1" t="s">
        <v>490</v>
      </c>
      <c r="B2756" s="1">
        <v>98.0</v>
      </c>
      <c r="C2756" s="1">
        <v>6.835355E7</v>
      </c>
      <c r="D2756" s="1" t="s">
        <v>1592</v>
      </c>
      <c r="E2756" s="1" t="s">
        <v>1971</v>
      </c>
      <c r="F2756" s="1" t="s">
        <v>5579</v>
      </c>
      <c r="G2756" s="1">
        <v>70141.0</v>
      </c>
      <c r="H2756" s="1">
        <v>385.0</v>
      </c>
      <c r="I2756" s="1" t="s">
        <v>16</v>
      </c>
      <c r="J2756" s="1">
        <v>1.0E7</v>
      </c>
      <c r="K2756" s="1">
        <v>2000.0</v>
      </c>
      <c r="L2756" s="1">
        <v>5.9</v>
      </c>
      <c r="O2756" s="3"/>
      <c r="S2756" s="4"/>
    </row>
    <row r="2757" ht="14.25" customHeight="1">
      <c r="A2757" s="1" t="s">
        <v>5580</v>
      </c>
      <c r="B2757" s="1">
        <v>109.0</v>
      </c>
      <c r="C2757" s="1">
        <v>7.884513E7</v>
      </c>
      <c r="D2757" s="1" t="s">
        <v>934</v>
      </c>
      <c r="E2757" s="1" t="s">
        <v>3827</v>
      </c>
      <c r="F2757" s="1" t="s">
        <v>5581</v>
      </c>
      <c r="G2757" s="1">
        <v>17596.0</v>
      </c>
      <c r="H2757" s="1">
        <v>94.0</v>
      </c>
      <c r="I2757" s="1" t="s">
        <v>16</v>
      </c>
      <c r="J2757" s="1">
        <v>1.0E7</v>
      </c>
      <c r="K2757" s="1">
        <v>2016.0</v>
      </c>
      <c r="L2757" s="1">
        <v>6.1</v>
      </c>
      <c r="O2757" s="3"/>
      <c r="S2757" s="4"/>
    </row>
    <row r="2758" ht="14.25" customHeight="1">
      <c r="A2758" s="1" t="s">
        <v>4776</v>
      </c>
      <c r="B2758" s="1">
        <v>95.0</v>
      </c>
      <c r="C2758" s="1">
        <v>6.3319509E7</v>
      </c>
      <c r="D2758" s="1" t="s">
        <v>699</v>
      </c>
      <c r="E2758" s="1" t="s">
        <v>289</v>
      </c>
      <c r="F2758" s="1" t="s">
        <v>5582</v>
      </c>
      <c r="G2758" s="1">
        <v>67115.0</v>
      </c>
      <c r="H2758" s="1">
        <v>389.0</v>
      </c>
      <c r="I2758" s="1" t="s">
        <v>16</v>
      </c>
      <c r="J2758" s="1">
        <v>1.0E7</v>
      </c>
      <c r="K2758" s="1">
        <v>1999.0</v>
      </c>
      <c r="L2758" s="1">
        <v>5.8</v>
      </c>
      <c r="O2758" s="3"/>
      <c r="S2758" s="4"/>
    </row>
    <row r="2759" ht="14.25" customHeight="1">
      <c r="A2759" s="1" t="s">
        <v>2802</v>
      </c>
      <c r="B2759" s="1">
        <v>109.0</v>
      </c>
      <c r="C2759" s="1">
        <v>4.7536959E7</v>
      </c>
      <c r="D2759" s="1" t="s">
        <v>1391</v>
      </c>
      <c r="E2759" s="1" t="s">
        <v>2803</v>
      </c>
      <c r="F2759" s="1" t="s">
        <v>2804</v>
      </c>
      <c r="G2759" s="1">
        <v>86956.0</v>
      </c>
      <c r="H2759" s="1">
        <v>275.0</v>
      </c>
      <c r="I2759" s="1" t="s">
        <v>16</v>
      </c>
      <c r="J2759" s="1">
        <v>1.0E7</v>
      </c>
      <c r="K2759" s="1">
        <v>2009.0</v>
      </c>
      <c r="L2759" s="1">
        <v>7.3</v>
      </c>
      <c r="O2759" s="3"/>
      <c r="S2759" s="4"/>
    </row>
    <row r="2760" ht="14.25" customHeight="1">
      <c r="A2760" s="1" t="s">
        <v>5575</v>
      </c>
      <c r="B2760" s="1">
        <v>96.0</v>
      </c>
      <c r="C2760" s="1">
        <v>6.3270259E7</v>
      </c>
      <c r="D2760" s="1" t="s">
        <v>2512</v>
      </c>
      <c r="E2760" s="1" t="s">
        <v>2360</v>
      </c>
      <c r="F2760" s="1" t="s">
        <v>5583</v>
      </c>
      <c r="G2760" s="1">
        <v>111087.0</v>
      </c>
      <c r="H2760" s="1">
        <v>319.0</v>
      </c>
      <c r="I2760" s="1" t="s">
        <v>16</v>
      </c>
      <c r="J2760" s="1">
        <v>1.0E7</v>
      </c>
      <c r="K2760" s="1">
        <v>2007.0</v>
      </c>
      <c r="L2760" s="1">
        <v>5.9</v>
      </c>
      <c r="O2760" s="3"/>
      <c r="S2760" s="4"/>
    </row>
    <row r="2761" ht="14.25" customHeight="1">
      <c r="A2761" s="1" t="s">
        <v>2733</v>
      </c>
      <c r="B2761" s="1">
        <v>101.0</v>
      </c>
      <c r="C2761" s="1">
        <v>5.5865715E7</v>
      </c>
      <c r="D2761" s="1" t="s">
        <v>2439</v>
      </c>
      <c r="E2761" s="1" t="s">
        <v>2100</v>
      </c>
      <c r="F2761" s="1" t="s">
        <v>5584</v>
      </c>
      <c r="G2761" s="1">
        <v>41763.0</v>
      </c>
      <c r="H2761" s="1">
        <v>403.0</v>
      </c>
      <c r="I2761" s="1" t="s">
        <v>16</v>
      </c>
      <c r="J2761" s="1">
        <v>1.0E7</v>
      </c>
      <c r="K2761" s="1">
        <v>2005.0</v>
      </c>
      <c r="L2761" s="1">
        <v>5.5</v>
      </c>
      <c r="O2761" s="3"/>
      <c r="S2761" s="4"/>
    </row>
    <row r="2762" ht="14.25" customHeight="1">
      <c r="A2762" s="1" t="s">
        <v>3709</v>
      </c>
      <c r="B2762" s="1">
        <v>107.0</v>
      </c>
      <c r="C2762" s="1">
        <v>6.3231524E7</v>
      </c>
      <c r="D2762" s="1" t="s">
        <v>593</v>
      </c>
      <c r="E2762" s="1" t="s">
        <v>5585</v>
      </c>
      <c r="F2762" s="1" t="s">
        <v>5586</v>
      </c>
      <c r="G2762" s="1">
        <v>8962.0</v>
      </c>
      <c r="H2762" s="1">
        <v>137.0</v>
      </c>
      <c r="I2762" s="1" t="s">
        <v>16</v>
      </c>
      <c r="J2762" s="1">
        <v>6000000.0</v>
      </c>
      <c r="K2762" s="1">
        <v>2006.0</v>
      </c>
      <c r="L2762" s="1">
        <v>5.0</v>
      </c>
      <c r="O2762" s="3"/>
      <c r="S2762" s="4"/>
    </row>
    <row r="2763" ht="14.25" customHeight="1">
      <c r="A2763" s="1" t="s">
        <v>208</v>
      </c>
      <c r="B2763" s="1">
        <v>119.0</v>
      </c>
      <c r="C2763" s="1">
        <v>5.2293982E7</v>
      </c>
      <c r="D2763" s="1" t="s">
        <v>1540</v>
      </c>
      <c r="E2763" s="1" t="s">
        <v>226</v>
      </c>
      <c r="F2763" s="1" t="s">
        <v>5587</v>
      </c>
      <c r="G2763" s="1">
        <v>57831.0</v>
      </c>
      <c r="H2763" s="1">
        <v>115.0</v>
      </c>
      <c r="I2763" s="1" t="s">
        <v>16</v>
      </c>
      <c r="J2763" s="1">
        <v>1.38E7</v>
      </c>
      <c r="K2763" s="1">
        <v>1986.0</v>
      </c>
      <c r="L2763" s="1">
        <v>7.0</v>
      </c>
      <c r="O2763" s="3"/>
      <c r="S2763" s="4"/>
    </row>
    <row r="2764" ht="14.25" customHeight="1">
      <c r="A2764" s="1" t="s">
        <v>1809</v>
      </c>
      <c r="B2764" s="1">
        <v>100.0</v>
      </c>
      <c r="C2764" s="1">
        <v>5.0752337E7</v>
      </c>
      <c r="D2764" s="1" t="s">
        <v>5318</v>
      </c>
      <c r="E2764" s="1" t="s">
        <v>5588</v>
      </c>
      <c r="F2764" s="1" t="s">
        <v>5589</v>
      </c>
      <c r="G2764" s="1">
        <v>44502.0</v>
      </c>
      <c r="H2764" s="1">
        <v>46.0</v>
      </c>
      <c r="I2764" s="1" t="s">
        <v>16</v>
      </c>
      <c r="J2764" s="1">
        <v>1.0E7</v>
      </c>
      <c r="K2764" s="1">
        <v>1992.0</v>
      </c>
      <c r="L2764" s="1">
        <v>6.4</v>
      </c>
      <c r="O2764" s="3"/>
      <c r="S2764" s="4"/>
    </row>
    <row r="2765" ht="14.25" customHeight="1">
      <c r="A2765" s="1" t="s">
        <v>4188</v>
      </c>
      <c r="B2765" s="1">
        <v>98.0</v>
      </c>
      <c r="C2765" s="1">
        <v>1.10175871E8</v>
      </c>
      <c r="D2765" s="1" t="s">
        <v>1239</v>
      </c>
      <c r="E2765" s="1" t="s">
        <v>1041</v>
      </c>
      <c r="F2765" s="1" t="s">
        <v>5590</v>
      </c>
      <c r="G2765" s="1">
        <v>115050.0</v>
      </c>
      <c r="H2765" s="1">
        <v>911.0</v>
      </c>
      <c r="I2765" s="1" t="s">
        <v>16</v>
      </c>
      <c r="J2765" s="1">
        <v>1.0E7</v>
      </c>
      <c r="K2765" s="1">
        <v>2004.0</v>
      </c>
      <c r="L2765" s="1">
        <v>5.9</v>
      </c>
      <c r="O2765" s="3"/>
      <c r="S2765" s="4"/>
    </row>
    <row r="2766" ht="14.25" customHeight="1">
      <c r="A2766" s="1" t="s">
        <v>922</v>
      </c>
      <c r="B2766" s="1">
        <v>92.0</v>
      </c>
      <c r="C2766" s="1">
        <v>3.8624E7</v>
      </c>
      <c r="D2766" s="1" t="s">
        <v>1592</v>
      </c>
      <c r="E2766" s="1" t="s">
        <v>923</v>
      </c>
      <c r="F2766" s="1" t="s">
        <v>5591</v>
      </c>
      <c r="G2766" s="1">
        <v>156143.0</v>
      </c>
      <c r="H2766" s="1">
        <v>289.0</v>
      </c>
      <c r="I2766" s="1" t="s">
        <v>16</v>
      </c>
      <c r="J2766" s="1">
        <v>1.2E7</v>
      </c>
      <c r="K2766" s="1">
        <v>1996.0</v>
      </c>
      <c r="L2766" s="1">
        <v>7.0</v>
      </c>
      <c r="O2766" s="3"/>
      <c r="S2766" s="4"/>
    </row>
    <row r="2767" ht="14.25" customHeight="1">
      <c r="A2767" s="1" t="s">
        <v>3745</v>
      </c>
      <c r="B2767" s="1">
        <v>90.0</v>
      </c>
      <c r="C2767" s="1">
        <v>3.7470017E7</v>
      </c>
      <c r="D2767" s="1" t="s">
        <v>2512</v>
      </c>
      <c r="E2767" s="1" t="s">
        <v>1713</v>
      </c>
      <c r="F2767" s="1" t="s">
        <v>5592</v>
      </c>
      <c r="G2767" s="1">
        <v>86890.0</v>
      </c>
      <c r="H2767" s="1">
        <v>985.0</v>
      </c>
      <c r="I2767" s="1" t="s">
        <v>16</v>
      </c>
      <c r="J2767" s="1">
        <v>1.0E7</v>
      </c>
      <c r="K2767" s="1">
        <v>2001.0</v>
      </c>
      <c r="L2767" s="1">
        <v>6.1</v>
      </c>
      <c r="O2767" s="3"/>
      <c r="S2767" s="4"/>
    </row>
    <row r="2768" ht="14.25" customHeight="1">
      <c r="A2768" s="1" t="s">
        <v>1809</v>
      </c>
      <c r="B2768" s="1">
        <v>90.0</v>
      </c>
      <c r="C2768" s="1">
        <v>4.0485039E7</v>
      </c>
      <c r="D2768" s="1" t="s">
        <v>5593</v>
      </c>
      <c r="E2768" s="1" t="s">
        <v>252</v>
      </c>
      <c r="F2768" s="1" t="s">
        <v>5594</v>
      </c>
      <c r="G2768" s="1">
        <v>85362.0</v>
      </c>
      <c r="H2768" s="1">
        <v>181.0</v>
      </c>
      <c r="I2768" s="1" t="s">
        <v>16</v>
      </c>
      <c r="J2768" s="1">
        <v>1.0E7</v>
      </c>
      <c r="K2768" s="1">
        <v>1989.0</v>
      </c>
      <c r="L2768" s="1">
        <v>6.9</v>
      </c>
      <c r="O2768" s="3"/>
      <c r="S2768" s="4"/>
    </row>
    <row r="2769" ht="14.25" customHeight="1">
      <c r="A2769" s="1" t="s">
        <v>5595</v>
      </c>
      <c r="B2769" s="1">
        <v>153.0</v>
      </c>
      <c r="C2769" s="1">
        <v>1.68E7</v>
      </c>
      <c r="D2769" s="1" t="s">
        <v>5596</v>
      </c>
      <c r="E2769" s="1" t="s">
        <v>5597</v>
      </c>
      <c r="F2769" s="1" t="s">
        <v>5598</v>
      </c>
      <c r="G2769" s="1">
        <v>25303.0</v>
      </c>
      <c r="H2769" s="1">
        <v>138.0</v>
      </c>
      <c r="I2769" s="1" t="s">
        <v>16</v>
      </c>
      <c r="J2769" s="1">
        <v>1.0E7</v>
      </c>
      <c r="K2769" s="1">
        <v>1968.0</v>
      </c>
      <c r="L2769" s="1">
        <v>7.5</v>
      </c>
      <c r="O2769" s="3"/>
      <c r="S2769" s="4"/>
    </row>
    <row r="2770" ht="14.25" customHeight="1">
      <c r="A2770" s="1" t="s">
        <v>1841</v>
      </c>
      <c r="B2770" s="1">
        <v>124.0</v>
      </c>
      <c r="C2770" s="1">
        <v>4.6377022E7</v>
      </c>
      <c r="D2770" s="1" t="s">
        <v>1059</v>
      </c>
      <c r="E2770" s="1" t="s">
        <v>1907</v>
      </c>
      <c r="F2770" s="1" t="s">
        <v>5599</v>
      </c>
      <c r="G2770" s="1">
        <v>75306.0</v>
      </c>
      <c r="H2770" s="1">
        <v>266.0</v>
      </c>
      <c r="I2770" s="1" t="s">
        <v>16</v>
      </c>
      <c r="J2770" s="1">
        <v>1.0E7</v>
      </c>
      <c r="K2770" s="1">
        <v>2011.0</v>
      </c>
      <c r="L2770" s="1">
        <v>7.3</v>
      </c>
      <c r="O2770" s="3"/>
      <c r="S2770" s="4"/>
    </row>
    <row r="2771" ht="14.25" customHeight="1">
      <c r="A2771" s="1" t="s">
        <v>5600</v>
      </c>
      <c r="B2771" s="1">
        <v>82.0</v>
      </c>
      <c r="C2771" s="1">
        <v>3.6696761E7</v>
      </c>
      <c r="D2771" s="1" t="s">
        <v>3285</v>
      </c>
      <c r="E2771" s="1" t="s">
        <v>4201</v>
      </c>
      <c r="F2771" s="1" t="s">
        <v>5601</v>
      </c>
      <c r="G2771" s="1">
        <v>6808.0</v>
      </c>
      <c r="H2771" s="1">
        <v>38.0</v>
      </c>
      <c r="I2771" s="1" t="s">
        <v>16</v>
      </c>
      <c r="J2771" s="1">
        <v>2.3E7</v>
      </c>
      <c r="K2771" s="1">
        <v>2001.0</v>
      </c>
      <c r="L2771" s="1">
        <v>6.5</v>
      </c>
      <c r="O2771" s="3"/>
      <c r="S2771" s="4"/>
    </row>
    <row r="2772" ht="14.25" customHeight="1">
      <c r="A2772" s="1" t="s">
        <v>359</v>
      </c>
      <c r="B2772" s="1">
        <v>107.0</v>
      </c>
      <c r="C2772" s="1">
        <v>3.62E7</v>
      </c>
      <c r="D2772" s="1" t="s">
        <v>99</v>
      </c>
      <c r="E2772" s="1" t="s">
        <v>5602</v>
      </c>
      <c r="F2772" s="1" t="s">
        <v>5603</v>
      </c>
      <c r="G2772" s="1">
        <v>101840.0</v>
      </c>
      <c r="H2772" s="1">
        <v>193.0</v>
      </c>
      <c r="I2772" s="1" t="s">
        <v>16</v>
      </c>
      <c r="J2772" s="1">
        <v>1.2305523E7</v>
      </c>
      <c r="K2772" s="1">
        <v>1985.0</v>
      </c>
      <c r="L2772" s="1">
        <v>6.2</v>
      </c>
      <c r="O2772" s="3"/>
      <c r="S2772" s="4"/>
    </row>
    <row r="2773" ht="14.25" customHeight="1">
      <c r="A2773" s="1" t="s">
        <v>4249</v>
      </c>
      <c r="B2773" s="1">
        <v>97.0</v>
      </c>
      <c r="C2773" s="1">
        <v>3.5794166E7</v>
      </c>
      <c r="D2773" s="1" t="s">
        <v>1239</v>
      </c>
      <c r="E2773" s="1" t="s">
        <v>5604</v>
      </c>
      <c r="F2773" s="1" t="s">
        <v>5605</v>
      </c>
      <c r="G2773" s="1">
        <v>35654.0</v>
      </c>
      <c r="H2773" s="1">
        <v>155.0</v>
      </c>
      <c r="I2773" s="1" t="s">
        <v>16</v>
      </c>
      <c r="J2773" s="1">
        <v>1.0E7</v>
      </c>
      <c r="K2773" s="1">
        <v>2016.0</v>
      </c>
      <c r="L2773" s="1">
        <v>6.0</v>
      </c>
      <c r="O2773" s="3"/>
      <c r="S2773" s="4"/>
    </row>
    <row r="2774" ht="14.25" customHeight="1">
      <c r="A2774" s="1" t="s">
        <v>5359</v>
      </c>
      <c r="B2774" s="1">
        <v>80.0</v>
      </c>
      <c r="C2774" s="1">
        <v>3.3583175E7</v>
      </c>
      <c r="D2774" s="1" t="s">
        <v>1239</v>
      </c>
      <c r="E2774" s="1" t="s">
        <v>1740</v>
      </c>
      <c r="F2774" s="1" t="s">
        <v>5606</v>
      </c>
      <c r="G2774" s="1">
        <v>104089.0</v>
      </c>
      <c r="H2774" s="1">
        <v>319.0</v>
      </c>
      <c r="I2774" s="1" t="s">
        <v>16</v>
      </c>
      <c r="J2774" s="1">
        <v>1.0E7</v>
      </c>
      <c r="K2774" s="1">
        <v>2010.0</v>
      </c>
      <c r="L2774" s="1">
        <v>6.3</v>
      </c>
      <c r="O2774" s="3"/>
      <c r="S2774" s="4"/>
    </row>
    <row r="2775" ht="14.25" customHeight="1">
      <c r="A2775" s="1" t="s">
        <v>5607</v>
      </c>
      <c r="B2775" s="1">
        <v>85.0</v>
      </c>
      <c r="C2775" s="1">
        <v>3.2983713E7</v>
      </c>
      <c r="D2775" s="1" t="s">
        <v>1059</v>
      </c>
      <c r="E2775" s="1" t="s">
        <v>2428</v>
      </c>
      <c r="F2775" s="1" t="s">
        <v>5608</v>
      </c>
      <c r="G2775" s="1">
        <v>19284.0</v>
      </c>
      <c r="H2775" s="1">
        <v>66.0</v>
      </c>
      <c r="I2775" s="1" t="s">
        <v>16</v>
      </c>
      <c r="J2775" s="1">
        <v>2.0E7</v>
      </c>
      <c r="K2775" s="1">
        <v>2002.0</v>
      </c>
      <c r="L2775" s="1">
        <v>5.8</v>
      </c>
      <c r="O2775" s="3"/>
      <c r="S2775" s="4"/>
    </row>
    <row r="2776" ht="14.25" customHeight="1">
      <c r="A2776" s="1" t="s">
        <v>5609</v>
      </c>
      <c r="B2776" s="1">
        <v>97.0</v>
      </c>
      <c r="C2776" s="1">
        <v>5.2200504E7</v>
      </c>
      <c r="D2776" s="1" t="s">
        <v>3798</v>
      </c>
      <c r="E2776" s="1" t="s">
        <v>3102</v>
      </c>
      <c r="F2776" s="1" t="s">
        <v>5610</v>
      </c>
      <c r="G2776" s="1">
        <v>54190.0</v>
      </c>
      <c r="H2776" s="1">
        <v>183.0</v>
      </c>
      <c r="I2776" s="1" t="s">
        <v>16</v>
      </c>
      <c r="J2776" s="1">
        <v>1.0E7</v>
      </c>
      <c r="K2776" s="1">
        <v>2015.0</v>
      </c>
      <c r="L2776" s="1">
        <v>6.1</v>
      </c>
      <c r="O2776" s="3"/>
      <c r="S2776" s="4"/>
    </row>
    <row r="2777" ht="14.25" customHeight="1">
      <c r="A2777" s="1" t="s">
        <v>5611</v>
      </c>
      <c r="B2777" s="1">
        <v>109.0</v>
      </c>
      <c r="C2777" s="1">
        <v>3.3E7</v>
      </c>
      <c r="D2777" s="1" t="s">
        <v>5612</v>
      </c>
      <c r="E2777" s="1" t="s">
        <v>2129</v>
      </c>
      <c r="F2777" s="1" t="s">
        <v>5613</v>
      </c>
      <c r="G2777" s="1">
        <v>9424.0</v>
      </c>
      <c r="H2777" s="1">
        <v>109.0</v>
      </c>
      <c r="I2777" s="1" t="s">
        <v>16</v>
      </c>
      <c r="J2777" s="1">
        <v>1.0E7</v>
      </c>
      <c r="K2777" s="1">
        <v>1985.0</v>
      </c>
      <c r="L2777" s="1">
        <v>6.9</v>
      </c>
      <c r="O2777" s="3"/>
      <c r="S2777" s="4"/>
    </row>
    <row r="2778" ht="14.25" customHeight="1">
      <c r="A2778" s="1" t="s">
        <v>3350</v>
      </c>
      <c r="B2778" s="1">
        <v>140.0</v>
      </c>
      <c r="C2778" s="1">
        <v>3.2101E7</v>
      </c>
      <c r="D2778" s="1" t="s">
        <v>3966</v>
      </c>
      <c r="E2778" s="1" t="s">
        <v>5614</v>
      </c>
      <c r="F2778" s="1" t="s">
        <v>5615</v>
      </c>
      <c r="G2778" s="1">
        <v>27800.0</v>
      </c>
      <c r="H2778" s="1">
        <v>96.0</v>
      </c>
      <c r="I2778" s="1" t="s">
        <v>16</v>
      </c>
      <c r="J2778" s="1">
        <v>1.0E7</v>
      </c>
      <c r="K2778" s="1">
        <v>1992.0</v>
      </c>
      <c r="L2778" s="1">
        <v>5.4</v>
      </c>
      <c r="O2778" s="3"/>
      <c r="S2778" s="4"/>
    </row>
    <row r="2779" ht="14.25" customHeight="1">
      <c r="A2779" s="1" t="s">
        <v>5616</v>
      </c>
      <c r="B2779" s="1">
        <v>90.0</v>
      </c>
      <c r="C2779" s="1">
        <v>3.1487293E7</v>
      </c>
      <c r="D2779" s="1" t="s">
        <v>2304</v>
      </c>
      <c r="E2779" s="1" t="s">
        <v>5617</v>
      </c>
      <c r="F2779" s="1" t="s">
        <v>5618</v>
      </c>
      <c r="G2779" s="1">
        <v>74887.0</v>
      </c>
      <c r="H2779" s="1">
        <v>129.0</v>
      </c>
      <c r="I2779" s="1" t="s">
        <v>16</v>
      </c>
      <c r="J2779" s="1">
        <v>9000000.0</v>
      </c>
      <c r="K2779" s="1">
        <v>2008.0</v>
      </c>
      <c r="L2779" s="1">
        <v>6.7</v>
      </c>
      <c r="O2779" s="3"/>
      <c r="S2779" s="4"/>
    </row>
    <row r="2780" ht="14.25" customHeight="1">
      <c r="A2780" s="1" t="s">
        <v>2839</v>
      </c>
      <c r="B2780" s="1">
        <v>130.0</v>
      </c>
      <c r="C2780" s="1">
        <v>3.0651422E7</v>
      </c>
      <c r="D2780" s="1" t="s">
        <v>5619</v>
      </c>
      <c r="E2780" s="1" t="s">
        <v>486</v>
      </c>
      <c r="F2780" s="1" t="s">
        <v>5620</v>
      </c>
      <c r="G2780" s="1">
        <v>181737.0</v>
      </c>
      <c r="H2780" s="1">
        <v>1015.0</v>
      </c>
      <c r="I2780" s="1" t="s">
        <v>16</v>
      </c>
      <c r="J2780" s="1">
        <v>1.0E7</v>
      </c>
      <c r="K2780" s="1">
        <v>1999.0</v>
      </c>
      <c r="L2780" s="1">
        <v>7.4</v>
      </c>
      <c r="O2780" s="3"/>
      <c r="S2780" s="4"/>
    </row>
    <row r="2781" ht="14.25" customHeight="1">
      <c r="A2781" s="1" t="s">
        <v>5621</v>
      </c>
      <c r="B2781" s="1">
        <v>98.0</v>
      </c>
      <c r="C2781" s="1">
        <v>3.0306281E7</v>
      </c>
      <c r="D2781" s="1" t="s">
        <v>1059</v>
      </c>
      <c r="E2781" s="1" t="s">
        <v>1878</v>
      </c>
      <c r="F2781" s="1" t="s">
        <v>5622</v>
      </c>
      <c r="G2781" s="1">
        <v>12388.0</v>
      </c>
      <c r="H2781" s="1">
        <v>147.0</v>
      </c>
      <c r="I2781" s="1" t="s">
        <v>16</v>
      </c>
      <c r="J2781" s="1">
        <v>1.0E7</v>
      </c>
      <c r="K2781" s="1">
        <v>2002.0</v>
      </c>
      <c r="L2781" s="1">
        <v>5.6</v>
      </c>
      <c r="O2781" s="3"/>
      <c r="S2781" s="4"/>
    </row>
    <row r="2782" ht="14.25" customHeight="1">
      <c r="A2782" s="1" t="s">
        <v>1167</v>
      </c>
      <c r="B2782" s="1">
        <v>101.0</v>
      </c>
      <c r="C2782" s="1">
        <v>2.95E7</v>
      </c>
      <c r="D2782" s="1" t="s">
        <v>5623</v>
      </c>
      <c r="E2782" s="1" t="s">
        <v>1329</v>
      </c>
      <c r="F2782" s="1" t="s">
        <v>5624</v>
      </c>
      <c r="G2782" s="1">
        <v>25613.0</v>
      </c>
      <c r="H2782" s="1">
        <v>121.0</v>
      </c>
      <c r="I2782" s="1" t="s">
        <v>16</v>
      </c>
      <c r="J2782" s="1">
        <v>1.0E7</v>
      </c>
      <c r="K2782" s="1">
        <v>1983.0</v>
      </c>
      <c r="L2782" s="1">
        <v>6.5</v>
      </c>
      <c r="O2782" s="3"/>
      <c r="S2782" s="4"/>
    </row>
    <row r="2783" ht="14.25" customHeight="1">
      <c r="A2783" s="1" t="s">
        <v>5625</v>
      </c>
      <c r="B2783" s="1">
        <v>114.0</v>
      </c>
      <c r="C2783" s="1">
        <v>3.0050028E7</v>
      </c>
      <c r="D2783" s="1" t="s">
        <v>26</v>
      </c>
      <c r="E2783" s="1" t="s">
        <v>807</v>
      </c>
      <c r="F2783" s="1" t="s">
        <v>5626</v>
      </c>
      <c r="G2783" s="1">
        <v>42987.0</v>
      </c>
      <c r="H2783" s="1">
        <v>201.0</v>
      </c>
      <c r="I2783" s="1" t="s">
        <v>16</v>
      </c>
      <c r="J2783" s="1">
        <v>1.7E7</v>
      </c>
      <c r="K2783" s="1">
        <v>1989.0</v>
      </c>
      <c r="L2783" s="1">
        <v>6.5</v>
      </c>
      <c r="O2783" s="3"/>
      <c r="S2783" s="4"/>
    </row>
    <row r="2784" ht="14.25" customHeight="1">
      <c r="A2784" s="1" t="s">
        <v>1576</v>
      </c>
      <c r="B2784" s="1">
        <v>100.0</v>
      </c>
      <c r="C2784" s="1">
        <v>2.9392418E7</v>
      </c>
      <c r="D2784" s="1" t="s">
        <v>728</v>
      </c>
      <c r="E2784" s="1" t="s">
        <v>406</v>
      </c>
      <c r="F2784" s="1" t="s">
        <v>5627</v>
      </c>
      <c r="G2784" s="1">
        <v>3924.0</v>
      </c>
      <c r="H2784" s="1">
        <v>26.0</v>
      </c>
      <c r="I2784" s="1" t="s">
        <v>16</v>
      </c>
      <c r="J2784" s="1">
        <v>1.0E7</v>
      </c>
      <c r="K2784" s="1">
        <v>1994.0</v>
      </c>
      <c r="L2784" s="1">
        <v>5.8</v>
      </c>
      <c r="O2784" s="3"/>
      <c r="S2784" s="4"/>
    </row>
    <row r="2785" ht="14.25" customHeight="1">
      <c r="A2785" s="1" t="s">
        <v>3713</v>
      </c>
      <c r="B2785" s="1">
        <v>85.0</v>
      </c>
      <c r="C2785" s="1">
        <v>2.8563926E7</v>
      </c>
      <c r="D2785" s="1" t="s">
        <v>1654</v>
      </c>
      <c r="E2785" s="1" t="s">
        <v>1878</v>
      </c>
      <c r="F2785" s="1" t="s">
        <v>5628</v>
      </c>
      <c r="G2785" s="1">
        <v>16300.0</v>
      </c>
      <c r="H2785" s="1">
        <v>217.0</v>
      </c>
      <c r="I2785" s="1" t="s">
        <v>16</v>
      </c>
      <c r="J2785" s="1">
        <v>8500000.0</v>
      </c>
      <c r="K2785" s="1">
        <v>2002.0</v>
      </c>
      <c r="L2785" s="1">
        <v>5.0</v>
      </c>
      <c r="O2785" s="3"/>
      <c r="S2785" s="4"/>
    </row>
    <row r="2786" ht="14.25" customHeight="1">
      <c r="A2786" s="1" t="s">
        <v>5629</v>
      </c>
      <c r="B2786" s="1">
        <v>103.0</v>
      </c>
      <c r="C2786" s="1">
        <v>2.8435406E7</v>
      </c>
      <c r="D2786" s="1" t="s">
        <v>699</v>
      </c>
      <c r="E2786" s="1" t="s">
        <v>2672</v>
      </c>
      <c r="F2786" s="1" t="s">
        <v>5630</v>
      </c>
      <c r="G2786" s="1">
        <v>37681.0</v>
      </c>
      <c r="H2786" s="1">
        <v>151.0</v>
      </c>
      <c r="I2786" s="1" t="s">
        <v>16</v>
      </c>
      <c r="J2786" s="1">
        <v>1.2E7</v>
      </c>
      <c r="K2786" s="1">
        <v>2006.0</v>
      </c>
      <c r="L2786" s="1">
        <v>5.5</v>
      </c>
      <c r="O2786" s="3"/>
      <c r="S2786" s="4"/>
    </row>
    <row r="2787" ht="14.25" customHeight="1">
      <c r="A2787" s="1" t="s">
        <v>4043</v>
      </c>
      <c r="B2787" s="1">
        <v>100.0</v>
      </c>
      <c r="C2787" s="1">
        <v>2.5339117E7</v>
      </c>
      <c r="D2787" s="1" t="s">
        <v>699</v>
      </c>
      <c r="E2787" s="1" t="s">
        <v>2772</v>
      </c>
      <c r="F2787" s="1" t="s">
        <v>5631</v>
      </c>
      <c r="G2787" s="1">
        <v>37885.0</v>
      </c>
      <c r="H2787" s="1">
        <v>247.0</v>
      </c>
      <c r="I2787" s="1" t="s">
        <v>16</v>
      </c>
      <c r="J2787" s="1">
        <v>1.0E7</v>
      </c>
      <c r="K2787" s="1">
        <v>1998.0</v>
      </c>
      <c r="L2787" s="1">
        <v>6.5</v>
      </c>
      <c r="O2787" s="3"/>
      <c r="S2787" s="4"/>
    </row>
    <row r="2788" ht="14.25" customHeight="1">
      <c r="A2788" s="1" t="s">
        <v>1957</v>
      </c>
      <c r="B2788" s="1">
        <v>114.0</v>
      </c>
      <c r="C2788" s="1">
        <v>2.56E7</v>
      </c>
      <c r="D2788" s="1" t="s">
        <v>811</v>
      </c>
      <c r="E2788" s="1" t="s">
        <v>226</v>
      </c>
      <c r="F2788" s="1" t="s">
        <v>5632</v>
      </c>
      <c r="G2788" s="1">
        <v>57363.0</v>
      </c>
      <c r="H2788" s="1">
        <v>308.0</v>
      </c>
      <c r="I2788" s="1" t="s">
        <v>16</v>
      </c>
      <c r="J2788" s="1">
        <v>1.0E7</v>
      </c>
      <c r="K2788" s="1">
        <v>1983.0</v>
      </c>
      <c r="L2788" s="1">
        <v>7.2</v>
      </c>
      <c r="O2788" s="3"/>
      <c r="S2788" s="4"/>
    </row>
    <row r="2789" ht="14.25" customHeight="1">
      <c r="A2789" s="1" t="s">
        <v>5633</v>
      </c>
      <c r="B2789" s="1">
        <v>97.0</v>
      </c>
      <c r="C2789" s="1">
        <v>2.7736779E7</v>
      </c>
      <c r="D2789" s="1" t="s">
        <v>1239</v>
      </c>
      <c r="E2789" s="1" t="s">
        <v>5634</v>
      </c>
      <c r="F2789" s="1" t="s">
        <v>5635</v>
      </c>
      <c r="G2789" s="1">
        <v>25210.0</v>
      </c>
      <c r="H2789" s="1">
        <v>126.0</v>
      </c>
      <c r="I2789" s="1" t="s">
        <v>16</v>
      </c>
      <c r="J2789" s="1">
        <v>1.0E7</v>
      </c>
      <c r="K2789" s="1">
        <v>2015.0</v>
      </c>
      <c r="L2789" s="1">
        <v>5.2</v>
      </c>
      <c r="O2789" s="3"/>
      <c r="S2789" s="4"/>
    </row>
    <row r="2790" ht="14.25" customHeight="1">
      <c r="A2790" s="1" t="s">
        <v>5636</v>
      </c>
      <c r="B2790" s="1">
        <v>116.0</v>
      </c>
      <c r="C2790" s="1">
        <v>2.4397469E7</v>
      </c>
      <c r="D2790" s="1" t="s">
        <v>2466</v>
      </c>
      <c r="E2790" s="1" t="s">
        <v>5637</v>
      </c>
      <c r="F2790" s="1" t="s">
        <v>5638</v>
      </c>
      <c r="G2790" s="1">
        <v>5161.0</v>
      </c>
      <c r="H2790" s="1">
        <v>48.0</v>
      </c>
      <c r="I2790" s="1" t="s">
        <v>16</v>
      </c>
      <c r="J2790" s="1">
        <v>1.7E7</v>
      </c>
      <c r="K2790" s="1">
        <v>2012.0</v>
      </c>
      <c r="L2790" s="1">
        <v>5.7</v>
      </c>
      <c r="O2790" s="3"/>
      <c r="S2790" s="4"/>
    </row>
    <row r="2791" ht="14.25" customHeight="1">
      <c r="A2791" s="1" t="s">
        <v>5097</v>
      </c>
      <c r="B2791" s="1">
        <v>96.0</v>
      </c>
      <c r="C2791" s="1">
        <v>2.0384136E7</v>
      </c>
      <c r="D2791" s="1" t="s">
        <v>1239</v>
      </c>
      <c r="E2791" s="1" t="s">
        <v>3050</v>
      </c>
      <c r="F2791" s="1" t="s">
        <v>5639</v>
      </c>
      <c r="G2791" s="1">
        <v>20467.0</v>
      </c>
      <c r="H2791" s="1">
        <v>371.0</v>
      </c>
      <c r="I2791" s="1" t="s">
        <v>16</v>
      </c>
      <c r="J2791" s="1">
        <v>1.0E7</v>
      </c>
      <c r="K2791" s="1">
        <v>2001.0</v>
      </c>
      <c r="L2791" s="1">
        <v>4.7</v>
      </c>
      <c r="O2791" s="3"/>
      <c r="S2791" s="4"/>
    </row>
    <row r="2792" ht="14.25" customHeight="1">
      <c r="A2792" s="1" t="s">
        <v>5640</v>
      </c>
      <c r="B2792" s="1">
        <v>98.0</v>
      </c>
      <c r="C2792" s="1">
        <v>2.546448E7</v>
      </c>
      <c r="D2792" s="1" t="s">
        <v>2032</v>
      </c>
      <c r="E2792" s="1" t="s">
        <v>831</v>
      </c>
      <c r="F2792" s="1" t="s">
        <v>5641</v>
      </c>
      <c r="G2792" s="1">
        <v>63108.0</v>
      </c>
      <c r="H2792" s="1">
        <v>330.0</v>
      </c>
      <c r="I2792" s="1" t="s">
        <v>16</v>
      </c>
      <c r="J2792" s="1">
        <v>1.0E7</v>
      </c>
      <c r="K2792" s="1">
        <v>2009.0</v>
      </c>
      <c r="L2792" s="1">
        <v>5.9</v>
      </c>
      <c r="O2792" s="3"/>
      <c r="S2792" s="4"/>
    </row>
    <row r="2793" ht="14.25" customHeight="1">
      <c r="A2793" s="1" t="s">
        <v>4490</v>
      </c>
      <c r="B2793" s="1">
        <v>105.0</v>
      </c>
      <c r="C2793" s="1">
        <v>2.0338609E7</v>
      </c>
      <c r="D2793" s="1" t="s">
        <v>3479</v>
      </c>
      <c r="E2793" s="1" t="s">
        <v>1000</v>
      </c>
      <c r="F2793" s="1" t="s">
        <v>5642</v>
      </c>
      <c r="G2793" s="1">
        <v>19655.0</v>
      </c>
      <c r="H2793" s="1">
        <v>280.0</v>
      </c>
      <c r="I2793" s="1" t="s">
        <v>16</v>
      </c>
      <c r="J2793" s="1">
        <v>1.0E7</v>
      </c>
      <c r="K2793" s="1">
        <v>2006.0</v>
      </c>
      <c r="L2793" s="1">
        <v>6.8</v>
      </c>
      <c r="O2793" s="3"/>
      <c r="S2793" s="4"/>
    </row>
    <row r="2794" ht="14.25" customHeight="1">
      <c r="A2794" s="1" t="s">
        <v>5643</v>
      </c>
      <c r="B2794" s="1">
        <v>123.0</v>
      </c>
      <c r="C2794" s="1">
        <v>1.8272447E7</v>
      </c>
      <c r="D2794" s="1" t="s">
        <v>1654</v>
      </c>
      <c r="E2794" s="1" t="s">
        <v>4996</v>
      </c>
      <c r="F2794" s="1" t="s">
        <v>5644</v>
      </c>
      <c r="G2794" s="1">
        <v>3119.0</v>
      </c>
      <c r="H2794" s="1">
        <v>35.0</v>
      </c>
      <c r="I2794" s="1" t="s">
        <v>16</v>
      </c>
      <c r="J2794" s="1">
        <v>1.0E7</v>
      </c>
      <c r="K2794" s="1">
        <v>1993.0</v>
      </c>
      <c r="L2794" s="1">
        <v>5.9</v>
      </c>
      <c r="O2794" s="3"/>
      <c r="S2794" s="4"/>
    </row>
    <row r="2795" ht="14.25" customHeight="1">
      <c r="A2795" s="1" t="s">
        <v>2161</v>
      </c>
      <c r="B2795" s="1">
        <v>93.0</v>
      </c>
      <c r="C2795" s="1">
        <v>1.7096053E7</v>
      </c>
      <c r="D2795" s="1" t="s">
        <v>1059</v>
      </c>
      <c r="E2795" s="1" t="s">
        <v>899</v>
      </c>
      <c r="F2795" s="1" t="s">
        <v>5645</v>
      </c>
      <c r="G2795" s="1">
        <v>134458.0</v>
      </c>
      <c r="H2795" s="1">
        <v>640.0</v>
      </c>
      <c r="I2795" s="1" t="s">
        <v>16</v>
      </c>
      <c r="J2795" s="1">
        <v>9000000.0</v>
      </c>
      <c r="K2795" s="1">
        <v>1998.0</v>
      </c>
      <c r="L2795" s="1">
        <v>7.7</v>
      </c>
      <c r="O2795" s="3"/>
      <c r="S2795" s="4"/>
    </row>
    <row r="2796" ht="14.25" customHeight="1">
      <c r="A2796" s="1" t="s">
        <v>2600</v>
      </c>
      <c r="B2796" s="1">
        <v>97.0</v>
      </c>
      <c r="C2796" s="1">
        <v>2.1371425E7</v>
      </c>
      <c r="D2796" s="1" t="s">
        <v>1154</v>
      </c>
      <c r="E2796" s="1" t="s">
        <v>5646</v>
      </c>
      <c r="F2796" s="1" t="s">
        <v>5647</v>
      </c>
      <c r="G2796" s="1">
        <v>76199.0</v>
      </c>
      <c r="H2796" s="1">
        <v>944.0</v>
      </c>
      <c r="I2796" s="1" t="s">
        <v>16</v>
      </c>
      <c r="J2796" s="1">
        <v>1.0E7</v>
      </c>
      <c r="K2796" s="1">
        <v>2010.0</v>
      </c>
      <c r="L2796" s="1">
        <v>4.4</v>
      </c>
      <c r="O2796" s="3"/>
      <c r="S2796" s="4"/>
    </row>
    <row r="2797" ht="14.25" customHeight="1">
      <c r="A2797" s="1" t="s">
        <v>1841</v>
      </c>
      <c r="B2797" s="1">
        <v>122.0</v>
      </c>
      <c r="C2797" s="1">
        <v>3.3071558E7</v>
      </c>
      <c r="D2797" s="1" t="s">
        <v>1059</v>
      </c>
      <c r="E2797" s="1" t="s">
        <v>5648</v>
      </c>
      <c r="F2797" s="1" t="s">
        <v>5649</v>
      </c>
      <c r="G2797" s="1">
        <v>22369.0</v>
      </c>
      <c r="H2797" s="1">
        <v>100.0</v>
      </c>
      <c r="I2797" s="1" t="s">
        <v>16</v>
      </c>
      <c r="J2797" s="1">
        <v>1.0E7</v>
      </c>
      <c r="K2797" s="1">
        <v>2015.0</v>
      </c>
      <c r="L2797" s="1">
        <v>6.6</v>
      </c>
      <c r="O2797" s="3"/>
      <c r="S2797" s="4"/>
    </row>
    <row r="2798" ht="14.25" customHeight="1">
      <c r="A2798" s="1" t="s">
        <v>5650</v>
      </c>
      <c r="B2798" s="1">
        <v>101.0</v>
      </c>
      <c r="C2798" s="1">
        <v>1.7655201E7</v>
      </c>
      <c r="D2798" s="1" t="s">
        <v>2844</v>
      </c>
      <c r="E2798" s="1" t="s">
        <v>1279</v>
      </c>
      <c r="F2798" s="1" t="s">
        <v>5651</v>
      </c>
      <c r="G2798" s="1">
        <v>4719.0</v>
      </c>
      <c r="H2798" s="1">
        <v>24.0</v>
      </c>
      <c r="I2798" s="1" t="s">
        <v>16</v>
      </c>
      <c r="J2798" s="1">
        <v>1.0E7</v>
      </c>
      <c r="K2798" s="1">
        <v>2008.0</v>
      </c>
      <c r="L2798" s="1">
        <v>6.7</v>
      </c>
      <c r="O2798" s="3"/>
      <c r="S2798" s="4"/>
    </row>
    <row r="2799" ht="14.25" customHeight="1">
      <c r="A2799" s="1" t="s">
        <v>4454</v>
      </c>
      <c r="B2799" s="1">
        <v>100.0</v>
      </c>
      <c r="C2799" s="1">
        <v>1.6247775E7</v>
      </c>
      <c r="D2799" s="1" t="s">
        <v>1125</v>
      </c>
      <c r="E2799" s="1" t="s">
        <v>5652</v>
      </c>
      <c r="F2799" s="1" t="s">
        <v>5653</v>
      </c>
      <c r="G2799" s="1">
        <v>23527.0</v>
      </c>
      <c r="H2799" s="1">
        <v>104.0</v>
      </c>
      <c r="I2799" s="1" t="s">
        <v>16</v>
      </c>
      <c r="J2799" s="1">
        <v>2.5E7</v>
      </c>
      <c r="K2799" s="1">
        <v>2005.0</v>
      </c>
      <c r="L2799" s="1">
        <v>5.5</v>
      </c>
      <c r="O2799" s="3"/>
      <c r="S2799" s="4"/>
    </row>
    <row r="2800" ht="14.25" customHeight="1">
      <c r="A2800" s="1" t="s">
        <v>2048</v>
      </c>
      <c r="B2800" s="1">
        <v>129.0</v>
      </c>
      <c r="C2800" s="1">
        <v>1.61536E7</v>
      </c>
      <c r="D2800" s="1" t="s">
        <v>3098</v>
      </c>
      <c r="E2800" s="1" t="s">
        <v>717</v>
      </c>
      <c r="F2800" s="1" t="s">
        <v>5654</v>
      </c>
      <c r="G2800" s="1">
        <v>8295.0</v>
      </c>
      <c r="H2800" s="1">
        <v>30.0</v>
      </c>
      <c r="I2800" s="1" t="s">
        <v>16</v>
      </c>
      <c r="J2800" s="1">
        <v>1.0E7</v>
      </c>
      <c r="K2800" s="1">
        <v>1990.0</v>
      </c>
      <c r="L2800" s="1">
        <v>6.5</v>
      </c>
      <c r="O2800" s="3"/>
      <c r="S2800" s="4"/>
    </row>
    <row r="2801" ht="14.25" customHeight="1">
      <c r="A2801" s="1" t="s">
        <v>2014</v>
      </c>
      <c r="B2801" s="1">
        <v>81.0</v>
      </c>
      <c r="C2801" s="1">
        <v>1.6033556E7</v>
      </c>
      <c r="D2801" s="1" t="s">
        <v>907</v>
      </c>
      <c r="E2801" s="1" t="s">
        <v>2014</v>
      </c>
      <c r="F2801" s="1" t="s">
        <v>5655</v>
      </c>
      <c r="G2801" s="1">
        <v>37901.0</v>
      </c>
      <c r="H2801" s="1">
        <v>518.0</v>
      </c>
      <c r="I2801" s="1" t="s">
        <v>16</v>
      </c>
      <c r="J2801" s="1">
        <v>1.0E7</v>
      </c>
      <c r="K2801" s="1">
        <v>2002.0</v>
      </c>
      <c r="L2801" s="1">
        <v>6.2</v>
      </c>
      <c r="O2801" s="3"/>
      <c r="S2801" s="4"/>
    </row>
    <row r="2802" ht="14.25" customHeight="1">
      <c r="A2802" s="1" t="s">
        <v>796</v>
      </c>
      <c r="B2802" s="1">
        <v>96.0</v>
      </c>
      <c r="C2802" s="1">
        <v>1.6667084E7</v>
      </c>
      <c r="D2802" s="1" t="s">
        <v>4830</v>
      </c>
      <c r="E2802" s="1" t="s">
        <v>5656</v>
      </c>
      <c r="F2802" s="1" t="s">
        <v>5657</v>
      </c>
      <c r="G2802" s="1">
        <v>90070.0</v>
      </c>
      <c r="H2802" s="1">
        <v>248.0</v>
      </c>
      <c r="I2802" s="1" t="s">
        <v>16</v>
      </c>
      <c r="J2802" s="1">
        <v>1.1E7</v>
      </c>
      <c r="K2802" s="1">
        <v>1990.0</v>
      </c>
      <c r="L2802" s="1">
        <v>7.1</v>
      </c>
      <c r="O2802" s="3"/>
      <c r="S2802" s="4"/>
    </row>
    <row r="2803" ht="14.25" customHeight="1">
      <c r="A2803" s="1" t="s">
        <v>5658</v>
      </c>
      <c r="B2803" s="1">
        <v>84.0</v>
      </c>
      <c r="C2803" s="1">
        <v>1.5417771E7</v>
      </c>
      <c r="D2803" s="1" t="s">
        <v>2657</v>
      </c>
      <c r="E2803" s="1" t="s">
        <v>3045</v>
      </c>
      <c r="F2803" s="1" t="s">
        <v>5659</v>
      </c>
      <c r="G2803" s="1">
        <v>87494.0</v>
      </c>
      <c r="H2803" s="1">
        <v>540.0</v>
      </c>
      <c r="I2803" s="1" t="s">
        <v>16</v>
      </c>
      <c r="J2803" s="1">
        <v>1.26E7</v>
      </c>
      <c r="K2803" s="1">
        <v>2003.0</v>
      </c>
      <c r="L2803" s="1">
        <v>6.1</v>
      </c>
      <c r="O2803" s="3"/>
      <c r="S2803" s="4"/>
    </row>
    <row r="2804" ht="14.25" customHeight="1">
      <c r="A2804" s="1" t="s">
        <v>4976</v>
      </c>
      <c r="B2804" s="1">
        <v>110.0</v>
      </c>
      <c r="C2804" s="1">
        <v>1.51562E7</v>
      </c>
      <c r="D2804" s="1" t="s">
        <v>998</v>
      </c>
      <c r="E2804" s="1" t="s">
        <v>5660</v>
      </c>
      <c r="F2804" s="1" t="s">
        <v>5661</v>
      </c>
      <c r="G2804" s="1">
        <v>15358.0</v>
      </c>
      <c r="H2804" s="1">
        <v>131.0</v>
      </c>
      <c r="I2804" s="1" t="s">
        <v>16</v>
      </c>
      <c r="J2804" s="1">
        <v>3.0E7</v>
      </c>
      <c r="K2804" s="1">
        <v>1999.0</v>
      </c>
      <c r="L2804" s="1">
        <v>6.0</v>
      </c>
      <c r="O2804" s="3"/>
      <c r="S2804" s="4"/>
    </row>
    <row r="2805" ht="14.25" customHeight="1">
      <c r="A2805" s="1" t="s">
        <v>4613</v>
      </c>
      <c r="B2805" s="1">
        <v>130.0</v>
      </c>
      <c r="C2805" s="1">
        <v>2.1589307E7</v>
      </c>
      <c r="D2805" s="1" t="s">
        <v>1391</v>
      </c>
      <c r="E2805" s="1" t="s">
        <v>285</v>
      </c>
      <c r="F2805" s="1" t="s">
        <v>5662</v>
      </c>
      <c r="G2805" s="1">
        <v>135286.0</v>
      </c>
      <c r="H2805" s="1">
        <v>261.0</v>
      </c>
      <c r="I2805" s="1" t="s">
        <v>16</v>
      </c>
      <c r="J2805" s="1">
        <v>1.0E7</v>
      </c>
      <c r="K2805" s="1">
        <v>2012.0</v>
      </c>
      <c r="L2805" s="1">
        <v>7.4</v>
      </c>
      <c r="O2805" s="3"/>
      <c r="S2805" s="4"/>
    </row>
    <row r="2806" ht="14.25" customHeight="1">
      <c r="A2806" s="1" t="s">
        <v>5663</v>
      </c>
      <c r="B2806" s="1">
        <v>84.0</v>
      </c>
      <c r="C2806" s="1">
        <v>2.0339754E7</v>
      </c>
      <c r="D2806" s="1" t="s">
        <v>427</v>
      </c>
      <c r="E2806" s="1" t="s">
        <v>5664</v>
      </c>
      <c r="F2806" s="1" t="s">
        <v>5665</v>
      </c>
      <c r="G2806" s="1">
        <v>23928.0</v>
      </c>
      <c r="H2806" s="1">
        <v>73.0</v>
      </c>
      <c r="I2806" s="1" t="s">
        <v>16</v>
      </c>
      <c r="J2806" s="1">
        <v>1.0E7</v>
      </c>
      <c r="K2806" s="1">
        <v>2007.0</v>
      </c>
      <c r="L2806" s="1">
        <v>5.9</v>
      </c>
      <c r="O2806" s="3"/>
      <c r="S2806" s="4"/>
    </row>
    <row r="2807" ht="14.25" customHeight="1">
      <c r="A2807" s="1" t="s">
        <v>5666</v>
      </c>
      <c r="B2807" s="1">
        <v>106.0</v>
      </c>
      <c r="C2807" s="1">
        <v>2.8873374E7</v>
      </c>
      <c r="D2807" s="1" t="s">
        <v>1651</v>
      </c>
      <c r="E2807" s="1" t="s">
        <v>5667</v>
      </c>
      <c r="F2807" s="1" t="s">
        <v>5668</v>
      </c>
      <c r="G2807" s="1">
        <v>22161.0</v>
      </c>
      <c r="H2807" s="1">
        <v>68.0</v>
      </c>
      <c r="I2807" s="1" t="s">
        <v>16</v>
      </c>
      <c r="J2807" s="1">
        <v>1.0E7</v>
      </c>
      <c r="K2807" s="1">
        <v>2013.0</v>
      </c>
      <c r="L2807" s="1">
        <v>4.1</v>
      </c>
      <c r="O2807" s="3"/>
      <c r="S2807" s="4"/>
    </row>
    <row r="2808" ht="14.25" customHeight="1">
      <c r="A2808" s="1" t="s">
        <v>5669</v>
      </c>
      <c r="B2808" s="1">
        <v>76.0</v>
      </c>
      <c r="C2808" s="1">
        <v>1.3684949E7</v>
      </c>
      <c r="D2808" s="1" t="s">
        <v>200</v>
      </c>
      <c r="E2808" s="1" t="s">
        <v>2743</v>
      </c>
      <c r="F2808" s="1" t="s">
        <v>5670</v>
      </c>
      <c r="G2808" s="1">
        <v>4564.0</v>
      </c>
      <c r="H2808" s="1">
        <v>43.0</v>
      </c>
      <c r="I2808" s="1" t="s">
        <v>16</v>
      </c>
      <c r="J2808" s="1">
        <v>3000000.0</v>
      </c>
      <c r="K2808" s="1">
        <v>2002.0</v>
      </c>
      <c r="L2808" s="1">
        <v>5.9</v>
      </c>
      <c r="O2808" s="3"/>
      <c r="S2808" s="4"/>
    </row>
    <row r="2809" ht="14.25" customHeight="1">
      <c r="A2809" s="1" t="s">
        <v>5526</v>
      </c>
      <c r="B2809" s="1">
        <v>99.0</v>
      </c>
      <c r="C2809" s="1">
        <v>1.4597405E7</v>
      </c>
      <c r="D2809" s="1" t="s">
        <v>646</v>
      </c>
      <c r="E2809" s="1" t="s">
        <v>1929</v>
      </c>
      <c r="F2809" s="1" t="s">
        <v>5671</v>
      </c>
      <c r="G2809" s="1">
        <v>71679.0</v>
      </c>
      <c r="H2809" s="1">
        <v>216.0</v>
      </c>
      <c r="I2809" s="1" t="s">
        <v>16</v>
      </c>
      <c r="J2809" s="1">
        <v>6400000.0</v>
      </c>
      <c r="K2809" s="1">
        <v>2011.0</v>
      </c>
      <c r="L2809" s="1">
        <v>7.0</v>
      </c>
      <c r="O2809" s="3"/>
      <c r="S2809" s="4"/>
    </row>
    <row r="2810" ht="14.25" customHeight="1">
      <c r="A2810" s="1" t="s">
        <v>2739</v>
      </c>
      <c r="B2810" s="1">
        <v>96.0</v>
      </c>
      <c r="C2810" s="1">
        <v>1.2570442E7</v>
      </c>
      <c r="D2810" s="1" t="s">
        <v>2140</v>
      </c>
      <c r="E2810" s="1" t="s">
        <v>896</v>
      </c>
      <c r="F2810" s="1" t="s">
        <v>5672</v>
      </c>
      <c r="G2810" s="1">
        <v>40514.0</v>
      </c>
      <c r="H2810" s="1">
        <v>234.0</v>
      </c>
      <c r="I2810" s="1" t="s">
        <v>16</v>
      </c>
      <c r="J2810" s="1">
        <v>1.0E7</v>
      </c>
      <c r="K2810" s="1">
        <v>2005.0</v>
      </c>
      <c r="L2810" s="1">
        <v>6.8</v>
      </c>
      <c r="O2810" s="3"/>
      <c r="S2810" s="4"/>
    </row>
    <row r="2811" ht="14.25" customHeight="1">
      <c r="A2811" s="1" t="s">
        <v>5673</v>
      </c>
      <c r="B2811" s="1">
        <v>104.0</v>
      </c>
      <c r="C2811" s="1">
        <v>1.2514138E7</v>
      </c>
      <c r="D2811" s="1" t="s">
        <v>92</v>
      </c>
      <c r="E2811" s="1" t="s">
        <v>4152</v>
      </c>
      <c r="F2811" s="1" t="s">
        <v>5674</v>
      </c>
      <c r="G2811" s="1">
        <v>2801.0</v>
      </c>
      <c r="H2811" s="1">
        <v>28.0</v>
      </c>
      <c r="I2811" s="1" t="s">
        <v>16</v>
      </c>
      <c r="J2811" s="1">
        <v>1.0E7</v>
      </c>
      <c r="K2811" s="1">
        <v>1997.0</v>
      </c>
      <c r="L2811" s="1">
        <v>7.4</v>
      </c>
      <c r="O2811" s="3"/>
      <c r="S2811" s="4"/>
    </row>
    <row r="2812" ht="14.25" customHeight="1">
      <c r="A2812" s="1" t="s">
        <v>5675</v>
      </c>
      <c r="B2812" s="1">
        <v>108.0</v>
      </c>
      <c r="C2812" s="1">
        <v>4.3771291E7</v>
      </c>
      <c r="D2812" s="1" t="s">
        <v>362</v>
      </c>
      <c r="E2812" s="1" t="s">
        <v>2589</v>
      </c>
      <c r="F2812" s="1" t="s">
        <v>5676</v>
      </c>
      <c r="G2812" s="1">
        <v>79909.0</v>
      </c>
      <c r="H2812" s="1">
        <v>279.0</v>
      </c>
      <c r="I2812" s="1" t="s">
        <v>16</v>
      </c>
      <c r="J2812" s="1">
        <v>5000000.0</v>
      </c>
      <c r="K2812" s="1">
        <v>2015.0</v>
      </c>
      <c r="L2812" s="1">
        <v>7.1</v>
      </c>
      <c r="O2812" s="3"/>
      <c r="S2812" s="4"/>
    </row>
    <row r="2813" ht="14.25" customHeight="1">
      <c r="A2813" s="1" t="s">
        <v>5677</v>
      </c>
      <c r="B2813" s="1">
        <v>108.0</v>
      </c>
      <c r="C2813" s="1">
        <v>1.1703287E7</v>
      </c>
      <c r="D2813" s="1" t="s">
        <v>2805</v>
      </c>
      <c r="E2813" s="1" t="s">
        <v>5678</v>
      </c>
      <c r="F2813" s="1" t="s">
        <v>5679</v>
      </c>
      <c r="G2813" s="1">
        <v>4360.0</v>
      </c>
      <c r="H2813" s="1">
        <v>148.0</v>
      </c>
      <c r="I2813" s="1" t="s">
        <v>16</v>
      </c>
      <c r="J2813" s="1">
        <v>1.0E7</v>
      </c>
      <c r="K2813" s="1">
        <v>2005.0</v>
      </c>
      <c r="L2813" s="1">
        <v>7.0</v>
      </c>
      <c r="O2813" s="3"/>
      <c r="S2813" s="4"/>
    </row>
    <row r="2814" ht="14.25" customHeight="1">
      <c r="A2814" s="1" t="s">
        <v>2991</v>
      </c>
      <c r="B2814" s="1">
        <v>87.0</v>
      </c>
      <c r="C2814" s="1">
        <v>1.1560259E7</v>
      </c>
      <c r="D2814" s="1" t="s">
        <v>699</v>
      </c>
      <c r="E2814" s="1" t="s">
        <v>1868</v>
      </c>
      <c r="F2814" s="1" t="s">
        <v>5680</v>
      </c>
      <c r="G2814" s="1">
        <v>15617.0</v>
      </c>
      <c r="H2814" s="1">
        <v>180.0</v>
      </c>
      <c r="I2814" s="1" t="s">
        <v>16</v>
      </c>
      <c r="J2814" s="1">
        <v>2.2E7</v>
      </c>
      <c r="K2814" s="1">
        <v>2001.0</v>
      </c>
      <c r="L2814" s="1">
        <v>5.8</v>
      </c>
      <c r="O2814" s="3"/>
      <c r="S2814" s="4"/>
    </row>
    <row r="2815" ht="14.25" customHeight="1">
      <c r="A2815" s="1" t="s">
        <v>5342</v>
      </c>
      <c r="B2815" s="1">
        <v>89.0</v>
      </c>
      <c r="C2815" s="1">
        <v>1.0824921E7</v>
      </c>
      <c r="D2815" s="1" t="s">
        <v>828</v>
      </c>
      <c r="E2815" s="1" t="s">
        <v>1407</v>
      </c>
      <c r="F2815" s="1" t="s">
        <v>5681</v>
      </c>
      <c r="G2815" s="1">
        <v>200293.0</v>
      </c>
      <c r="H2815" s="1">
        <v>621.0</v>
      </c>
      <c r="I2815" s="1" t="s">
        <v>16</v>
      </c>
      <c r="J2815" s="1">
        <v>1.0E7</v>
      </c>
      <c r="K2815" s="1">
        <v>1999.0</v>
      </c>
      <c r="L2815" s="1">
        <v>7.8</v>
      </c>
      <c r="O2815" s="3"/>
      <c r="S2815" s="4"/>
    </row>
    <row r="2816" ht="14.25" customHeight="1">
      <c r="A2816" s="1" t="s">
        <v>5682</v>
      </c>
      <c r="B2816" s="1">
        <v>97.0</v>
      </c>
      <c r="C2816" s="1">
        <v>1.0561238E7</v>
      </c>
      <c r="D2816" s="1" t="s">
        <v>5683</v>
      </c>
      <c r="E2816" s="1" t="s">
        <v>1971</v>
      </c>
      <c r="F2816" s="1" t="s">
        <v>5684</v>
      </c>
      <c r="G2816" s="1">
        <v>27265.0</v>
      </c>
      <c r="H2816" s="1">
        <v>321.0</v>
      </c>
      <c r="I2816" s="1" t="s">
        <v>16</v>
      </c>
      <c r="J2816" s="1">
        <v>1.0E7</v>
      </c>
      <c r="K2816" s="1">
        <v>1999.0</v>
      </c>
      <c r="L2816" s="1">
        <v>6.5</v>
      </c>
      <c r="O2816" s="3"/>
      <c r="S2816" s="4"/>
    </row>
    <row r="2817" ht="14.25" customHeight="1">
      <c r="A2817" s="1" t="s">
        <v>111</v>
      </c>
      <c r="B2817" s="1">
        <v>106.0</v>
      </c>
      <c r="C2817" s="1">
        <v>1.4479776E7</v>
      </c>
      <c r="D2817" s="1" t="s">
        <v>5685</v>
      </c>
      <c r="E2817" s="1" t="s">
        <v>23</v>
      </c>
      <c r="F2817" s="1" t="s">
        <v>5686</v>
      </c>
      <c r="G2817" s="1">
        <v>55539.0</v>
      </c>
      <c r="H2817" s="1">
        <v>147.0</v>
      </c>
      <c r="I2817" s="1" t="s">
        <v>16</v>
      </c>
      <c r="J2817" s="1">
        <v>1.0E7</v>
      </c>
      <c r="K2817" s="1">
        <v>2014.0</v>
      </c>
      <c r="L2817" s="1">
        <v>7.0</v>
      </c>
      <c r="O2817" s="3"/>
      <c r="S2817" s="4"/>
    </row>
    <row r="2818" ht="14.25" customHeight="1">
      <c r="A2818" s="1" t="s">
        <v>98</v>
      </c>
      <c r="B2818" s="1">
        <v>100.0</v>
      </c>
      <c r="C2818" s="1">
        <v>9801782.0</v>
      </c>
      <c r="D2818" s="1" t="s">
        <v>2378</v>
      </c>
      <c r="E2818" s="1" t="s">
        <v>206</v>
      </c>
      <c r="F2818" s="1" t="s">
        <v>5687</v>
      </c>
      <c r="G2818" s="1">
        <v>39331.0</v>
      </c>
      <c r="H2818" s="1">
        <v>481.0</v>
      </c>
      <c r="I2818" s="1" t="s">
        <v>16</v>
      </c>
      <c r="J2818" s="1">
        <v>1.0E7</v>
      </c>
      <c r="K2818" s="1">
        <v>1998.0</v>
      </c>
      <c r="L2818" s="1">
        <v>6.3</v>
      </c>
      <c r="O2818" s="3"/>
      <c r="S2818" s="4"/>
    </row>
    <row r="2819" ht="14.25" customHeight="1">
      <c r="A2819" s="1" t="s">
        <v>4730</v>
      </c>
      <c r="B2819" s="1">
        <v>89.0</v>
      </c>
      <c r="C2819" s="1">
        <v>8070311.0</v>
      </c>
      <c r="D2819" s="1" t="s">
        <v>699</v>
      </c>
      <c r="E2819" s="1" t="s">
        <v>1222</v>
      </c>
      <c r="F2819" s="1" t="s">
        <v>5688</v>
      </c>
      <c r="G2819" s="1">
        <v>12706.0</v>
      </c>
      <c r="H2819" s="1">
        <v>75.0</v>
      </c>
      <c r="I2819" s="1" t="s">
        <v>16</v>
      </c>
      <c r="J2819" s="1">
        <v>1.0E7</v>
      </c>
      <c r="K2819" s="1">
        <v>2004.0</v>
      </c>
      <c r="L2819" s="1">
        <v>5.3</v>
      </c>
      <c r="O2819" s="3"/>
      <c r="S2819" s="4"/>
    </row>
    <row r="2820" ht="14.25" customHeight="1">
      <c r="A2820" s="1" t="s">
        <v>5689</v>
      </c>
      <c r="B2820" s="1">
        <v>95.0</v>
      </c>
      <c r="C2820" s="1">
        <v>8460995.0</v>
      </c>
      <c r="D2820" s="1" t="s">
        <v>597</v>
      </c>
      <c r="E2820" s="1" t="s">
        <v>5690</v>
      </c>
      <c r="F2820" s="1" t="s">
        <v>5691</v>
      </c>
      <c r="G2820" s="1">
        <v>35888.0</v>
      </c>
      <c r="H2820" s="1">
        <v>125.0</v>
      </c>
      <c r="I2820" s="1" t="s">
        <v>16</v>
      </c>
      <c r="J2820" s="1">
        <v>1.0E7</v>
      </c>
      <c r="K2820" s="1">
        <v>2010.0</v>
      </c>
      <c r="L2820" s="1">
        <v>5.5</v>
      </c>
      <c r="O2820" s="3"/>
      <c r="S2820" s="4"/>
    </row>
    <row r="2821" ht="14.25" customHeight="1">
      <c r="A2821" s="1" t="s">
        <v>2251</v>
      </c>
      <c r="B2821" s="1">
        <v>97.0</v>
      </c>
      <c r="C2821" s="1">
        <v>8111360.0</v>
      </c>
      <c r="D2821" s="1" t="s">
        <v>901</v>
      </c>
      <c r="E2821" s="1" t="s">
        <v>5692</v>
      </c>
      <c r="F2821" s="1" t="s">
        <v>5693</v>
      </c>
      <c r="G2821" s="1">
        <v>34848.0</v>
      </c>
      <c r="H2821" s="1">
        <v>203.0</v>
      </c>
      <c r="I2821" s="1" t="s">
        <v>16</v>
      </c>
      <c r="J2821" s="1">
        <v>1.0E7</v>
      </c>
      <c r="K2821" s="1">
        <v>2002.0</v>
      </c>
      <c r="L2821" s="1">
        <v>7.4</v>
      </c>
      <c r="O2821" s="3"/>
      <c r="S2821" s="4"/>
    </row>
    <row r="2822" ht="14.25" customHeight="1">
      <c r="A2822" s="1" t="s">
        <v>3444</v>
      </c>
      <c r="B2822" s="1">
        <v>94.0</v>
      </c>
      <c r="C2822" s="1">
        <v>8828771.0</v>
      </c>
      <c r="D2822" s="1" t="s">
        <v>828</v>
      </c>
      <c r="E2822" s="1" t="s">
        <v>115</v>
      </c>
      <c r="F2822" s="1" t="s">
        <v>5694</v>
      </c>
      <c r="G2822" s="1">
        <v>79146.0</v>
      </c>
      <c r="H2822" s="1">
        <v>352.0</v>
      </c>
      <c r="I2822" s="1" t="s">
        <v>16</v>
      </c>
      <c r="J2822" s="1">
        <v>6000000.0</v>
      </c>
      <c r="K2822" s="1">
        <v>2013.0</v>
      </c>
      <c r="L2822" s="1">
        <v>4.3</v>
      </c>
      <c r="O2822" s="3"/>
      <c r="S2822" s="4"/>
    </row>
    <row r="2823" ht="14.25" customHeight="1">
      <c r="A2823" s="1" t="s">
        <v>755</v>
      </c>
      <c r="B2823" s="1">
        <v>103.0</v>
      </c>
      <c r="C2823" s="1">
        <v>6.7631157E7</v>
      </c>
      <c r="D2823" s="1" t="s">
        <v>756</v>
      </c>
      <c r="E2823" s="1" t="s">
        <v>19</v>
      </c>
      <c r="F2823" s="1" t="s">
        <v>757</v>
      </c>
      <c r="G2823" s="1">
        <v>176606.0</v>
      </c>
      <c r="H2823" s="1">
        <v>374.0</v>
      </c>
      <c r="I2823" s="1" t="s">
        <v>16</v>
      </c>
      <c r="J2823" s="1">
        <v>1.0E8</v>
      </c>
      <c r="K2823" s="1">
        <v>2010.0</v>
      </c>
      <c r="L2823" s="1">
        <v>6.0</v>
      </c>
      <c r="O2823" s="3"/>
      <c r="S2823" s="4"/>
    </row>
    <row r="2824" ht="14.25" customHeight="1">
      <c r="A2824" s="1" t="s">
        <v>5695</v>
      </c>
      <c r="B2824" s="1">
        <v>95.0</v>
      </c>
      <c r="C2824" s="1">
        <v>7563670.0</v>
      </c>
      <c r="D2824" s="1" t="s">
        <v>1481</v>
      </c>
      <c r="E2824" s="1" t="s">
        <v>1941</v>
      </c>
      <c r="F2824" s="1" t="s">
        <v>5696</v>
      </c>
      <c r="G2824" s="1">
        <v>21268.0</v>
      </c>
      <c r="H2824" s="1">
        <v>53.0</v>
      </c>
      <c r="I2824" s="1" t="s">
        <v>16</v>
      </c>
      <c r="J2824" s="1">
        <v>1.0E7</v>
      </c>
      <c r="K2824" s="1">
        <v>2008.0</v>
      </c>
      <c r="L2824" s="1">
        <v>5.2</v>
      </c>
      <c r="O2824" s="3"/>
      <c r="S2824" s="4"/>
    </row>
    <row r="2825" ht="14.25" customHeight="1">
      <c r="A2825" s="1" t="s">
        <v>5697</v>
      </c>
      <c r="B2825" s="1">
        <v>101.0</v>
      </c>
      <c r="C2825" s="1">
        <v>6619173.0</v>
      </c>
      <c r="D2825" s="1" t="s">
        <v>5698</v>
      </c>
      <c r="E2825" s="1" t="s">
        <v>1222</v>
      </c>
      <c r="F2825" s="1" t="s">
        <v>5699</v>
      </c>
      <c r="G2825" s="1">
        <v>87203.0</v>
      </c>
      <c r="H2825" s="1">
        <v>221.0</v>
      </c>
      <c r="I2825" s="1" t="s">
        <v>16</v>
      </c>
      <c r="J2825" s="1">
        <v>1.0E7</v>
      </c>
      <c r="K2825" s="1">
        <v>2012.0</v>
      </c>
      <c r="L2825" s="1">
        <v>6.7</v>
      </c>
      <c r="O2825" s="3"/>
      <c r="S2825" s="4"/>
    </row>
    <row r="2826" ht="14.25" customHeight="1">
      <c r="A2826" s="1" t="s">
        <v>5700</v>
      </c>
      <c r="B2826" s="1">
        <v>101.0</v>
      </c>
      <c r="C2826" s="1">
        <v>6712241.0</v>
      </c>
      <c r="D2826" s="1" t="s">
        <v>811</v>
      </c>
      <c r="E2826" s="1" t="s">
        <v>4741</v>
      </c>
      <c r="F2826" s="1" t="s">
        <v>5701</v>
      </c>
      <c r="G2826" s="1">
        <v>782437.0</v>
      </c>
      <c r="H2826" s="1">
        <v>1420.0</v>
      </c>
      <c r="I2826" s="1" t="s">
        <v>16</v>
      </c>
      <c r="J2826" s="1">
        <v>7500000.0</v>
      </c>
      <c r="K2826" s="1">
        <v>1998.0</v>
      </c>
      <c r="L2826" s="1">
        <v>8.6</v>
      </c>
      <c r="O2826" s="3"/>
      <c r="S2826" s="4"/>
    </row>
    <row r="2827" ht="14.25" customHeight="1">
      <c r="A2827" s="1" t="s">
        <v>5702</v>
      </c>
      <c r="B2827" s="1">
        <v>82.0</v>
      </c>
      <c r="C2827" s="1">
        <v>6842058.0</v>
      </c>
      <c r="D2827" s="1" t="s">
        <v>1981</v>
      </c>
      <c r="E2827" s="1" t="s">
        <v>5703</v>
      </c>
      <c r="F2827" s="1" t="s">
        <v>5704</v>
      </c>
      <c r="G2827" s="1">
        <v>36029.0</v>
      </c>
      <c r="H2827" s="1">
        <v>99.0</v>
      </c>
      <c r="I2827" s="1" t="s">
        <v>16</v>
      </c>
      <c r="J2827" s="1">
        <v>1.0E7</v>
      </c>
      <c r="K2827" s="1">
        <v>2012.0</v>
      </c>
      <c r="L2827" s="1">
        <v>6.1</v>
      </c>
      <c r="O2827" s="3"/>
      <c r="S2827" s="4"/>
    </row>
    <row r="2828" ht="14.25" customHeight="1">
      <c r="A2828" s="1" t="s">
        <v>5705</v>
      </c>
      <c r="B2828" s="1">
        <v>74.0</v>
      </c>
      <c r="C2828" s="1">
        <v>6491350.0</v>
      </c>
      <c r="D2828" s="1" t="s">
        <v>3170</v>
      </c>
      <c r="E2828" s="1" t="s">
        <v>578</v>
      </c>
      <c r="F2828" s="1" t="s">
        <v>5706</v>
      </c>
      <c r="G2828" s="1">
        <v>1231.0</v>
      </c>
      <c r="H2828" s="1">
        <v>26.0</v>
      </c>
      <c r="I2828" s="1" t="s">
        <v>16</v>
      </c>
      <c r="J2828" s="1">
        <v>1.0E7</v>
      </c>
      <c r="K2828" s="1">
        <v>2004.0</v>
      </c>
      <c r="L2828" s="1">
        <v>5.8</v>
      </c>
      <c r="O2828" s="3"/>
      <c r="S2828" s="4"/>
    </row>
    <row r="2829" ht="14.25" customHeight="1">
      <c r="A2829" s="1" t="s">
        <v>5707</v>
      </c>
      <c r="B2829" s="1">
        <v>130.0</v>
      </c>
      <c r="C2829" s="1">
        <v>9473382.0</v>
      </c>
      <c r="D2829" s="1" t="s">
        <v>5708</v>
      </c>
      <c r="E2829" s="1" t="s">
        <v>5709</v>
      </c>
      <c r="F2829" s="1" t="s">
        <v>5710</v>
      </c>
      <c r="G2829" s="1">
        <v>26832.0</v>
      </c>
      <c r="H2829" s="1">
        <v>247.0</v>
      </c>
      <c r="I2829" s="1" t="s">
        <v>1189</v>
      </c>
      <c r="J2829" s="1">
        <v>1.0E7</v>
      </c>
      <c r="K2829" s="1">
        <v>1998.0</v>
      </c>
      <c r="L2829" s="1">
        <v>7.7</v>
      </c>
      <c r="O2829" s="3"/>
      <c r="S2829" s="4"/>
    </row>
    <row r="2830" ht="14.25" customHeight="1">
      <c r="A2830" s="1" t="s">
        <v>2339</v>
      </c>
      <c r="B2830" s="1">
        <v>112.0</v>
      </c>
      <c r="C2830" s="1">
        <v>6197866.0</v>
      </c>
      <c r="D2830" s="1" t="s">
        <v>646</v>
      </c>
      <c r="E2830" s="1" t="s">
        <v>5110</v>
      </c>
      <c r="F2830" s="1" t="s">
        <v>5711</v>
      </c>
      <c r="G2830" s="1">
        <v>63733.0</v>
      </c>
      <c r="H2830" s="1">
        <v>414.0</v>
      </c>
      <c r="I2830" s="1" t="s">
        <v>16</v>
      </c>
      <c r="J2830" s="1">
        <v>1.0E7</v>
      </c>
      <c r="K2830" s="1">
        <v>1999.0</v>
      </c>
      <c r="L2830" s="1">
        <v>8.0</v>
      </c>
      <c r="O2830" s="3"/>
      <c r="S2830" s="4"/>
    </row>
    <row r="2831" ht="14.25" customHeight="1">
      <c r="A2831" s="1" t="s">
        <v>5712</v>
      </c>
      <c r="B2831" s="1">
        <v>96.0</v>
      </c>
      <c r="C2831" s="1">
        <v>6044618.0</v>
      </c>
      <c r="D2831" s="1" t="s">
        <v>5713</v>
      </c>
      <c r="E2831" s="1" t="s">
        <v>1953</v>
      </c>
      <c r="F2831" s="1" t="s">
        <v>5714</v>
      </c>
      <c r="G2831" s="1">
        <v>6200.0</v>
      </c>
      <c r="H2831" s="1">
        <v>92.0</v>
      </c>
      <c r="I2831" s="1" t="s">
        <v>16</v>
      </c>
      <c r="J2831" s="1">
        <v>1.0E7</v>
      </c>
      <c r="K2831" s="1">
        <v>2002.0</v>
      </c>
      <c r="L2831" s="1">
        <v>5.6</v>
      </c>
      <c r="O2831" s="3"/>
      <c r="S2831" s="4"/>
    </row>
    <row r="2832" ht="14.25" customHeight="1">
      <c r="A2832" s="1" t="s">
        <v>5715</v>
      </c>
      <c r="B2832" s="1">
        <v>89.0</v>
      </c>
      <c r="C2832" s="1">
        <v>7764027.0</v>
      </c>
      <c r="D2832" s="1" t="s">
        <v>1059</v>
      </c>
      <c r="E2832" s="1" t="s">
        <v>2800</v>
      </c>
      <c r="F2832" s="1" t="s">
        <v>5716</v>
      </c>
      <c r="G2832" s="1">
        <v>38459.0</v>
      </c>
      <c r="H2832" s="1">
        <v>119.0</v>
      </c>
      <c r="I2832" s="1" t="s">
        <v>16</v>
      </c>
      <c r="J2832" s="1">
        <v>1.0E7</v>
      </c>
      <c r="K2832" s="1">
        <v>2013.0</v>
      </c>
      <c r="L2832" s="1">
        <v>6.7</v>
      </c>
      <c r="O2832" s="3"/>
      <c r="S2832" s="4"/>
    </row>
    <row r="2833" ht="14.25" customHeight="1">
      <c r="A2833" s="1" t="s">
        <v>4277</v>
      </c>
      <c r="B2833" s="1">
        <v>121.0</v>
      </c>
      <c r="C2833" s="1">
        <v>2.1569041E7</v>
      </c>
      <c r="D2833" s="1" t="s">
        <v>1391</v>
      </c>
      <c r="E2833" s="1" t="s">
        <v>1989</v>
      </c>
      <c r="F2833" s="1" t="s">
        <v>5717</v>
      </c>
      <c r="G2833" s="1">
        <v>8058.0</v>
      </c>
      <c r="H2833" s="1">
        <v>57.0</v>
      </c>
      <c r="I2833" s="1" t="s">
        <v>16</v>
      </c>
      <c r="J2833" s="1">
        <v>9000000.0</v>
      </c>
      <c r="K2833" s="1">
        <v>2014.0</v>
      </c>
      <c r="L2833" s="1">
        <v>6.6</v>
      </c>
      <c r="O2833" s="3"/>
      <c r="S2833" s="4"/>
    </row>
    <row r="2834" ht="14.25" customHeight="1">
      <c r="A2834" s="1" t="s">
        <v>5718</v>
      </c>
      <c r="B2834" s="1">
        <v>85.0</v>
      </c>
      <c r="C2834" s="1">
        <v>4356743.0</v>
      </c>
      <c r="D2834" s="1" t="s">
        <v>1125</v>
      </c>
      <c r="E2834" s="1" t="s">
        <v>1237</v>
      </c>
      <c r="F2834" s="1" t="s">
        <v>5719</v>
      </c>
      <c r="G2834" s="1">
        <v>3662.0</v>
      </c>
      <c r="H2834" s="1">
        <v>79.0</v>
      </c>
      <c r="I2834" s="1" t="s">
        <v>16</v>
      </c>
      <c r="J2834" s="1">
        <v>1.6E7</v>
      </c>
      <c r="K2834" s="1">
        <v>2001.0</v>
      </c>
      <c r="L2834" s="1">
        <v>4.1</v>
      </c>
      <c r="O2834" s="3"/>
      <c r="S2834" s="4"/>
    </row>
    <row r="2835" ht="14.25" customHeight="1">
      <c r="A2835" s="1" t="s">
        <v>3897</v>
      </c>
      <c r="B2835" s="1">
        <v>120.0</v>
      </c>
      <c r="C2835" s="1">
        <v>5484375.0</v>
      </c>
      <c r="D2835" s="1" t="s">
        <v>5720</v>
      </c>
      <c r="E2835" s="1" t="s">
        <v>143</v>
      </c>
      <c r="F2835" s="1" t="s">
        <v>5721</v>
      </c>
      <c r="G2835" s="1">
        <v>84641.0</v>
      </c>
      <c r="H2835" s="1">
        <v>205.0</v>
      </c>
      <c r="I2835" s="1" t="s">
        <v>16</v>
      </c>
      <c r="J2835" s="1">
        <v>1.0E7</v>
      </c>
      <c r="K2835" s="1">
        <v>2006.0</v>
      </c>
      <c r="L2835" s="1">
        <v>7.3</v>
      </c>
      <c r="O2835" s="3"/>
      <c r="S2835" s="4"/>
    </row>
    <row r="2836" ht="14.25" customHeight="1">
      <c r="A2836" s="1" t="s">
        <v>5722</v>
      </c>
      <c r="B2836" s="1">
        <v>106.0</v>
      </c>
      <c r="C2836" s="1">
        <v>5348317.0</v>
      </c>
      <c r="D2836" s="1" t="s">
        <v>3479</v>
      </c>
      <c r="E2836" s="1" t="s">
        <v>1002</v>
      </c>
      <c r="F2836" s="1" t="s">
        <v>5723</v>
      </c>
      <c r="G2836" s="1">
        <v>20810.0</v>
      </c>
      <c r="H2836" s="1">
        <v>100.0</v>
      </c>
      <c r="I2836" s="1" t="s">
        <v>16</v>
      </c>
      <c r="J2836" s="1">
        <v>1.0E7</v>
      </c>
      <c r="K2836" s="1">
        <v>2015.0</v>
      </c>
      <c r="L2836" s="1">
        <v>7.1</v>
      </c>
      <c r="O2836" s="3"/>
      <c r="S2836" s="4"/>
    </row>
    <row r="2837" ht="14.25" customHeight="1">
      <c r="A2837" s="1" t="s">
        <v>5724</v>
      </c>
      <c r="B2837" s="1">
        <v>83.0</v>
      </c>
      <c r="C2837" s="1">
        <v>4244155.0</v>
      </c>
      <c r="D2837" s="1" t="s">
        <v>1059</v>
      </c>
      <c r="E2837" s="1" t="s">
        <v>260</v>
      </c>
      <c r="F2837" s="1" t="s">
        <v>5725</v>
      </c>
      <c r="G2837" s="1">
        <v>56005.0</v>
      </c>
      <c r="H2837" s="1">
        <v>112.0</v>
      </c>
      <c r="I2837" s="1" t="s">
        <v>16</v>
      </c>
      <c r="J2837" s="1">
        <v>1.0E7</v>
      </c>
      <c r="K2837" s="1">
        <v>2011.0</v>
      </c>
      <c r="L2837" s="1">
        <v>6.5</v>
      </c>
      <c r="O2837" s="3"/>
      <c r="S2837" s="4"/>
    </row>
    <row r="2838" ht="14.25" customHeight="1">
      <c r="A2838" s="1" t="s">
        <v>5726</v>
      </c>
      <c r="B2838" s="1">
        <v>120.0</v>
      </c>
      <c r="C2838" s="1">
        <v>5004648.0</v>
      </c>
      <c r="D2838" s="1" t="s">
        <v>92</v>
      </c>
      <c r="E2838" s="1" t="s">
        <v>5727</v>
      </c>
      <c r="F2838" s="1" t="s">
        <v>5728</v>
      </c>
      <c r="G2838" s="1">
        <v>14031.0</v>
      </c>
      <c r="H2838" s="1">
        <v>114.0</v>
      </c>
      <c r="I2838" s="1" t="s">
        <v>3818</v>
      </c>
      <c r="J2838" s="1">
        <v>1.0E7</v>
      </c>
      <c r="K2838" s="1">
        <v>2009.0</v>
      </c>
      <c r="L2838" s="1">
        <v>7.0</v>
      </c>
      <c r="O2838" s="3"/>
      <c r="S2838" s="4"/>
    </row>
    <row r="2839" ht="14.25" customHeight="1">
      <c r="A2839" s="1" t="s">
        <v>5729</v>
      </c>
      <c r="B2839" s="1">
        <v>111.0</v>
      </c>
      <c r="C2839" s="1">
        <v>3333823.0</v>
      </c>
      <c r="D2839" s="1" t="s">
        <v>2226</v>
      </c>
      <c r="E2839" s="1" t="s">
        <v>5730</v>
      </c>
      <c r="F2839" s="1" t="s">
        <v>5731</v>
      </c>
      <c r="G2839" s="1">
        <v>5612.0</v>
      </c>
      <c r="H2839" s="1">
        <v>122.0</v>
      </c>
      <c r="I2839" s="1" t="s">
        <v>16</v>
      </c>
      <c r="J2839" s="1">
        <v>1.0E7</v>
      </c>
      <c r="K2839" s="1">
        <v>2012.0</v>
      </c>
      <c r="L2839" s="1">
        <v>5.5</v>
      </c>
      <c r="O2839" s="3"/>
      <c r="S2839" s="4"/>
    </row>
    <row r="2840" ht="14.25" customHeight="1">
      <c r="A2840" s="1" t="s">
        <v>5732</v>
      </c>
      <c r="B2840" s="1">
        <v>100.0</v>
      </c>
      <c r="C2840" s="1">
        <v>3275585.0</v>
      </c>
      <c r="D2840" s="1" t="s">
        <v>197</v>
      </c>
      <c r="E2840" s="1" t="s">
        <v>249</v>
      </c>
      <c r="F2840" s="1" t="s">
        <v>5733</v>
      </c>
      <c r="G2840" s="1">
        <v>10735.0</v>
      </c>
      <c r="H2840" s="1">
        <v>88.0</v>
      </c>
      <c r="I2840" s="1" t="s">
        <v>16</v>
      </c>
      <c r="J2840" s="1">
        <v>1.15E7</v>
      </c>
      <c r="K2840" s="1">
        <v>1993.0</v>
      </c>
      <c r="L2840" s="1">
        <v>6.6</v>
      </c>
      <c r="O2840" s="3"/>
      <c r="S2840" s="4"/>
    </row>
    <row r="2841" ht="14.25" customHeight="1">
      <c r="A2841" s="1" t="s">
        <v>639</v>
      </c>
      <c r="B2841" s="1">
        <v>89.0</v>
      </c>
      <c r="C2841" s="1">
        <v>3193102.0</v>
      </c>
      <c r="D2841" s="1" t="s">
        <v>909</v>
      </c>
      <c r="E2841" s="1" t="s">
        <v>5734</v>
      </c>
      <c r="F2841" s="1" t="s">
        <v>5735</v>
      </c>
      <c r="G2841" s="1">
        <v>24412.0</v>
      </c>
      <c r="H2841" s="1">
        <v>240.0</v>
      </c>
      <c r="I2841" s="1" t="s">
        <v>16</v>
      </c>
      <c r="J2841" s="1">
        <v>9000000.0</v>
      </c>
      <c r="K2841" s="1">
        <v>1999.0</v>
      </c>
      <c r="L2841" s="1">
        <v>7.1</v>
      </c>
      <c r="O2841" s="3"/>
      <c r="S2841" s="4"/>
    </row>
    <row r="2842" ht="14.25" customHeight="1">
      <c r="A2842" s="1" t="s">
        <v>3362</v>
      </c>
      <c r="B2842" s="1">
        <v>115.0</v>
      </c>
      <c r="C2842" s="1">
        <v>5.4557348E7</v>
      </c>
      <c r="D2842" s="1" t="s">
        <v>901</v>
      </c>
      <c r="E2842" s="1" t="s">
        <v>951</v>
      </c>
      <c r="F2842" s="1" t="s">
        <v>5736</v>
      </c>
      <c r="G2842" s="1">
        <v>361169.0</v>
      </c>
      <c r="H2842" s="1">
        <v>1624.0</v>
      </c>
      <c r="I2842" s="1" t="s">
        <v>16</v>
      </c>
      <c r="J2842" s="1">
        <v>6500000.0</v>
      </c>
      <c r="K2842" s="1">
        <v>2004.0</v>
      </c>
      <c r="L2842" s="1">
        <v>7.9</v>
      </c>
      <c r="O2842" s="3"/>
      <c r="S2842" s="4"/>
    </row>
    <row r="2843" ht="14.25" customHeight="1">
      <c r="A2843" s="1" t="s">
        <v>5737</v>
      </c>
      <c r="B2843" s="1">
        <v>135.0</v>
      </c>
      <c r="C2843" s="1">
        <v>3041803.0</v>
      </c>
      <c r="D2843" s="1" t="s">
        <v>92</v>
      </c>
      <c r="E2843" s="1" t="s">
        <v>5738</v>
      </c>
      <c r="F2843" s="1" t="s">
        <v>5739</v>
      </c>
      <c r="G2843" s="1">
        <v>6377.0</v>
      </c>
      <c r="H2843" s="1">
        <v>181.0</v>
      </c>
      <c r="I2843" s="1" t="s">
        <v>16</v>
      </c>
      <c r="J2843" s="1">
        <v>1.0E7</v>
      </c>
      <c r="K2843" s="1">
        <v>2000.0</v>
      </c>
      <c r="L2843" s="1">
        <v>7.1</v>
      </c>
      <c r="O2843" s="3"/>
      <c r="S2843" s="4"/>
    </row>
    <row r="2844" ht="14.25" customHeight="1">
      <c r="A2844" s="1" t="s">
        <v>5740</v>
      </c>
      <c r="B2844" s="1">
        <v>92.0</v>
      </c>
      <c r="C2844" s="1">
        <v>3060858.0</v>
      </c>
      <c r="D2844" s="1" t="s">
        <v>392</v>
      </c>
      <c r="E2844" s="1" t="s">
        <v>5741</v>
      </c>
      <c r="F2844" s="1" t="s">
        <v>5742</v>
      </c>
      <c r="G2844" s="1">
        <v>1768.0</v>
      </c>
      <c r="H2844" s="1">
        <v>37.0</v>
      </c>
      <c r="I2844" s="1" t="s">
        <v>16</v>
      </c>
      <c r="J2844" s="1">
        <v>1.0E7</v>
      </c>
      <c r="K2844" s="1">
        <v>1987.0</v>
      </c>
      <c r="L2844" s="1">
        <v>5.6</v>
      </c>
      <c r="O2844" s="3"/>
      <c r="S2844" s="4"/>
    </row>
    <row r="2845" ht="14.25" customHeight="1">
      <c r="A2845" s="1" t="s">
        <v>3745</v>
      </c>
      <c r="B2845" s="1">
        <v>120.0</v>
      </c>
      <c r="C2845" s="1">
        <v>1055654.0</v>
      </c>
      <c r="D2845" s="1" t="s">
        <v>1986</v>
      </c>
      <c r="E2845" s="1" t="s">
        <v>5743</v>
      </c>
      <c r="F2845" s="1" t="s">
        <v>5744</v>
      </c>
      <c r="G2845" s="1">
        <v>20426.0</v>
      </c>
      <c r="H2845" s="1">
        <v>175.0</v>
      </c>
      <c r="I2845" s="1" t="s">
        <v>16</v>
      </c>
      <c r="J2845" s="1">
        <v>1.0E7</v>
      </c>
      <c r="K2845" s="1">
        <v>2006.0</v>
      </c>
      <c r="L2845" s="1">
        <v>7.3</v>
      </c>
      <c r="O2845" s="3"/>
      <c r="S2845" s="4"/>
    </row>
    <row r="2846" ht="14.25" customHeight="1">
      <c r="A2846" s="1" t="s">
        <v>5745</v>
      </c>
      <c r="B2846" s="1">
        <v>97.0</v>
      </c>
      <c r="C2846" s="1">
        <v>2331318.0</v>
      </c>
      <c r="D2846" s="1" t="s">
        <v>828</v>
      </c>
      <c r="E2846" s="1" t="s">
        <v>2313</v>
      </c>
      <c r="F2846" s="1" t="s">
        <v>5746</v>
      </c>
      <c r="G2846" s="1">
        <v>9541.0</v>
      </c>
      <c r="H2846" s="1">
        <v>64.0</v>
      </c>
      <c r="I2846" s="1" t="s">
        <v>16</v>
      </c>
      <c r="J2846" s="1">
        <v>1.0E7</v>
      </c>
      <c r="K2846" s="1">
        <v>2011.0</v>
      </c>
      <c r="L2846" s="1">
        <v>3.3</v>
      </c>
      <c r="O2846" s="3"/>
      <c r="S2846" s="4"/>
    </row>
    <row r="2847" ht="14.25" customHeight="1">
      <c r="A2847" s="1" t="s">
        <v>2048</v>
      </c>
      <c r="B2847" s="1">
        <v>135.0</v>
      </c>
      <c r="C2847" s="1">
        <v>2185266.0</v>
      </c>
      <c r="D2847" s="1" t="s">
        <v>3479</v>
      </c>
      <c r="E2847" s="1" t="s">
        <v>5747</v>
      </c>
      <c r="F2847" s="1" t="s">
        <v>5748</v>
      </c>
      <c r="G2847" s="1">
        <v>8720.0</v>
      </c>
      <c r="H2847" s="1">
        <v>186.0</v>
      </c>
      <c r="I2847" s="1" t="s">
        <v>16</v>
      </c>
      <c r="J2847" s="1">
        <v>1.0E7</v>
      </c>
      <c r="K2847" s="1">
        <v>2000.0</v>
      </c>
      <c r="L2847" s="1">
        <v>6.5</v>
      </c>
      <c r="O2847" s="3"/>
      <c r="S2847" s="4"/>
    </row>
    <row r="2848" ht="14.25" customHeight="1">
      <c r="A2848" s="1" t="s">
        <v>5749</v>
      </c>
      <c r="B2848" s="1">
        <v>93.0</v>
      </c>
      <c r="C2848" s="1">
        <v>2.6583369E7</v>
      </c>
      <c r="D2848" s="1" t="s">
        <v>1239</v>
      </c>
      <c r="E2848" s="1" t="s">
        <v>5750</v>
      </c>
      <c r="F2848" s="1" t="s">
        <v>5751</v>
      </c>
      <c r="G2848" s="1">
        <v>20837.0</v>
      </c>
      <c r="H2848" s="1">
        <v>127.0</v>
      </c>
      <c r="I2848" s="1" t="s">
        <v>16</v>
      </c>
      <c r="J2848" s="1">
        <v>1.0E7</v>
      </c>
      <c r="K2848" s="1">
        <v>2016.0</v>
      </c>
      <c r="L2848" s="1">
        <v>4.8</v>
      </c>
      <c r="O2848" s="3"/>
      <c r="S2848" s="4"/>
    </row>
    <row r="2849" ht="14.25" customHeight="1">
      <c r="A2849" s="1" t="s">
        <v>5752</v>
      </c>
      <c r="B2849" s="1">
        <v>118.0</v>
      </c>
      <c r="C2849" s="1">
        <v>800000.0</v>
      </c>
      <c r="D2849" s="1" t="s">
        <v>5113</v>
      </c>
      <c r="E2849" s="1" t="s">
        <v>1392</v>
      </c>
      <c r="F2849" s="1" t="s">
        <v>5753</v>
      </c>
      <c r="G2849" s="1">
        <v>892.0</v>
      </c>
      <c r="H2849" s="1">
        <v>21.0</v>
      </c>
      <c r="I2849" s="1" t="s">
        <v>16</v>
      </c>
      <c r="J2849" s="1">
        <v>1.4E7</v>
      </c>
      <c r="K2849" s="1">
        <v>1981.0</v>
      </c>
      <c r="L2849" s="1">
        <v>5.2</v>
      </c>
      <c r="O2849" s="3"/>
      <c r="S2849" s="4"/>
    </row>
    <row r="2850" ht="14.25" customHeight="1">
      <c r="A2850" s="1" t="s">
        <v>5754</v>
      </c>
      <c r="B2850" s="1">
        <v>97.0</v>
      </c>
      <c r="C2850" s="1">
        <v>7574066.0</v>
      </c>
      <c r="D2850" s="1" t="s">
        <v>1059</v>
      </c>
      <c r="E2850" s="1" t="s">
        <v>90</v>
      </c>
      <c r="F2850" s="1" t="s">
        <v>5755</v>
      </c>
      <c r="G2850" s="1">
        <v>30325.0</v>
      </c>
      <c r="H2850" s="1">
        <v>96.0</v>
      </c>
      <c r="I2850" s="1" t="s">
        <v>16</v>
      </c>
      <c r="J2850" s="1">
        <v>1.0E7</v>
      </c>
      <c r="K2850" s="1">
        <v>2014.0</v>
      </c>
      <c r="L2850" s="1">
        <v>6.3</v>
      </c>
      <c r="O2850" s="3"/>
      <c r="S2850" s="4"/>
    </row>
    <row r="2851" ht="14.25" customHeight="1">
      <c r="A2851" s="1" t="s">
        <v>85</v>
      </c>
      <c r="B2851" s="1">
        <v>98.0</v>
      </c>
      <c r="C2851" s="1">
        <v>1754319.0</v>
      </c>
      <c r="D2851" s="1" t="s">
        <v>92</v>
      </c>
      <c r="E2851" s="1" t="s">
        <v>2329</v>
      </c>
      <c r="F2851" s="1" t="s">
        <v>5756</v>
      </c>
      <c r="G2851" s="1">
        <v>13174.0</v>
      </c>
      <c r="H2851" s="1">
        <v>81.0</v>
      </c>
      <c r="I2851" s="1" t="s">
        <v>16</v>
      </c>
      <c r="J2851" s="1">
        <v>1.0E7</v>
      </c>
      <c r="K2851" s="1">
        <v>2011.0</v>
      </c>
      <c r="L2851" s="1">
        <v>7.2</v>
      </c>
      <c r="O2851" s="3"/>
      <c r="S2851" s="4"/>
    </row>
    <row r="2852" ht="14.25" customHeight="1">
      <c r="A2852" s="1" t="s">
        <v>2170</v>
      </c>
      <c r="B2852" s="1">
        <v>98.0</v>
      </c>
      <c r="C2852" s="1">
        <v>1641788.0</v>
      </c>
      <c r="D2852" s="1" t="s">
        <v>806</v>
      </c>
      <c r="E2852" s="1" t="s">
        <v>5757</v>
      </c>
      <c r="F2852" s="1" t="s">
        <v>5758</v>
      </c>
      <c r="G2852" s="1">
        <v>30096.0</v>
      </c>
      <c r="H2852" s="1">
        <v>213.0</v>
      </c>
      <c r="I2852" s="1" t="s">
        <v>16</v>
      </c>
      <c r="J2852" s="1">
        <v>8000000.0</v>
      </c>
      <c r="K2852" s="1">
        <v>2002.0</v>
      </c>
      <c r="L2852" s="1">
        <v>6.8</v>
      </c>
      <c r="O2852" s="3"/>
      <c r="S2852" s="4"/>
    </row>
    <row r="2853" ht="14.25" customHeight="1">
      <c r="A2853" s="1" t="s">
        <v>5759</v>
      </c>
      <c r="B2853" s="1">
        <v>101.0</v>
      </c>
      <c r="C2853" s="1">
        <v>1631839.0</v>
      </c>
      <c r="D2853" s="1" t="s">
        <v>1737</v>
      </c>
      <c r="E2853" s="1" t="s">
        <v>100</v>
      </c>
      <c r="F2853" s="1" t="s">
        <v>5760</v>
      </c>
      <c r="G2853" s="1">
        <v>5936.0</v>
      </c>
      <c r="H2853" s="1">
        <v>91.0</v>
      </c>
      <c r="I2853" s="1" t="s">
        <v>16</v>
      </c>
      <c r="J2853" s="1">
        <v>1.0E7</v>
      </c>
      <c r="K2853" s="1">
        <v>2000.0</v>
      </c>
      <c r="L2853" s="1">
        <v>5.7</v>
      </c>
      <c r="O2853" s="3"/>
      <c r="S2853" s="4"/>
    </row>
    <row r="2854" ht="14.25" customHeight="1">
      <c r="A2854" s="1" t="s">
        <v>3944</v>
      </c>
      <c r="B2854" s="1">
        <v>132.0</v>
      </c>
      <c r="C2854" s="1">
        <v>1309849.0</v>
      </c>
      <c r="D2854" s="1" t="s">
        <v>92</v>
      </c>
      <c r="E2854" s="1" t="s">
        <v>165</v>
      </c>
      <c r="F2854" s="1" t="s">
        <v>5761</v>
      </c>
      <c r="G2854" s="1">
        <v>9395.0</v>
      </c>
      <c r="H2854" s="1">
        <v>103.0</v>
      </c>
      <c r="I2854" s="1" t="s">
        <v>16</v>
      </c>
      <c r="J2854" s="1">
        <v>1.0E7</v>
      </c>
      <c r="K2854" s="1">
        <v>2002.0</v>
      </c>
      <c r="L2854" s="1">
        <v>7.2</v>
      </c>
      <c r="O2854" s="3"/>
      <c r="S2854" s="4"/>
    </row>
    <row r="2855" ht="14.25" customHeight="1">
      <c r="A2855" s="1" t="s">
        <v>3182</v>
      </c>
      <c r="B2855" s="1">
        <v>106.0</v>
      </c>
      <c r="C2855" s="1">
        <v>1939441.0</v>
      </c>
      <c r="D2855" s="1" t="s">
        <v>716</v>
      </c>
      <c r="E2855" s="1" t="s">
        <v>459</v>
      </c>
      <c r="F2855" s="1" t="s">
        <v>5762</v>
      </c>
      <c r="G2855" s="1">
        <v>55567.0</v>
      </c>
      <c r="H2855" s="1">
        <v>144.0</v>
      </c>
      <c r="I2855" s="1" t="s">
        <v>16</v>
      </c>
      <c r="J2855" s="1">
        <v>1.0E7</v>
      </c>
      <c r="K2855" s="1">
        <v>2012.0</v>
      </c>
      <c r="L2855" s="1">
        <v>6.9</v>
      </c>
      <c r="O2855" s="3"/>
      <c r="S2855" s="4"/>
    </row>
    <row r="2856" ht="14.25" customHeight="1">
      <c r="A2856" s="1" t="s">
        <v>5239</v>
      </c>
      <c r="B2856" s="1">
        <v>87.0</v>
      </c>
      <c r="C2856" s="1">
        <v>1276984.0</v>
      </c>
      <c r="D2856" s="1" t="s">
        <v>2378</v>
      </c>
      <c r="E2856" s="1" t="s">
        <v>3180</v>
      </c>
      <c r="F2856" s="1" t="s">
        <v>5763</v>
      </c>
      <c r="G2856" s="1">
        <v>11403.0</v>
      </c>
      <c r="H2856" s="1">
        <v>150.0</v>
      </c>
      <c r="I2856" s="1" t="s">
        <v>16</v>
      </c>
      <c r="J2856" s="1">
        <v>1.0E7</v>
      </c>
      <c r="K2856" s="1">
        <v>2000.0</v>
      </c>
      <c r="L2856" s="1">
        <v>6.2</v>
      </c>
      <c r="O2856" s="3"/>
      <c r="S2856" s="4"/>
    </row>
    <row r="2857" ht="14.25" customHeight="1">
      <c r="A2857" s="1" t="s">
        <v>1914</v>
      </c>
      <c r="B2857" s="1">
        <v>98.0</v>
      </c>
      <c r="C2857" s="1">
        <v>1987762.0</v>
      </c>
      <c r="D2857" s="1" t="s">
        <v>2126</v>
      </c>
      <c r="E2857" s="1" t="s">
        <v>285</v>
      </c>
      <c r="F2857" s="1" t="s">
        <v>5764</v>
      </c>
      <c r="G2857" s="1">
        <v>59297.0</v>
      </c>
      <c r="H2857" s="1">
        <v>216.0</v>
      </c>
      <c r="I2857" s="1" t="s">
        <v>16</v>
      </c>
      <c r="J2857" s="1">
        <v>1.1E7</v>
      </c>
      <c r="K2857" s="1">
        <v>2011.0</v>
      </c>
      <c r="L2857" s="1">
        <v>6.7</v>
      </c>
      <c r="O2857" s="3"/>
      <c r="S2857" s="4"/>
    </row>
    <row r="2858" ht="14.25" customHeight="1">
      <c r="A2858" s="1" t="s">
        <v>5765</v>
      </c>
      <c r="B2858" s="1">
        <v>96.0</v>
      </c>
      <c r="C2858" s="1">
        <v>1474508.0</v>
      </c>
      <c r="D2858" s="1" t="s">
        <v>1059</v>
      </c>
      <c r="E2858" s="1" t="s">
        <v>573</v>
      </c>
      <c r="F2858" s="1" t="s">
        <v>5766</v>
      </c>
      <c r="G2858" s="1">
        <v>33473.0</v>
      </c>
      <c r="H2858" s="1">
        <v>88.0</v>
      </c>
      <c r="I2858" s="1" t="s">
        <v>16</v>
      </c>
      <c r="J2858" s="1">
        <v>5000000.0</v>
      </c>
      <c r="K2858" s="1">
        <v>2009.0</v>
      </c>
      <c r="L2858" s="1">
        <v>6.5</v>
      </c>
      <c r="O2858" s="3"/>
      <c r="S2858" s="4"/>
    </row>
    <row r="2859" ht="14.25" customHeight="1">
      <c r="A2859" s="1" t="s">
        <v>5767</v>
      </c>
      <c r="B2859" s="1">
        <v>104.0</v>
      </c>
      <c r="C2859" s="1">
        <v>1011054.0</v>
      </c>
      <c r="D2859" s="1" t="s">
        <v>901</v>
      </c>
      <c r="E2859" s="1" t="s">
        <v>390</v>
      </c>
      <c r="F2859" s="1" t="s">
        <v>5768</v>
      </c>
      <c r="G2859" s="1">
        <v>10585.0</v>
      </c>
      <c r="H2859" s="1">
        <v>83.0</v>
      </c>
      <c r="I2859" s="1" t="s">
        <v>16</v>
      </c>
      <c r="J2859" s="1">
        <v>1.0E7</v>
      </c>
      <c r="K2859" s="1">
        <v>2003.0</v>
      </c>
      <c r="L2859" s="1">
        <v>7.2</v>
      </c>
      <c r="O2859" s="3"/>
      <c r="S2859" s="4"/>
    </row>
    <row r="2860" ht="14.25" customHeight="1">
      <c r="A2860" s="1" t="s">
        <v>5769</v>
      </c>
      <c r="B2860" s="1">
        <v>93.0</v>
      </c>
      <c r="C2860" s="1">
        <v>900926.0</v>
      </c>
      <c r="D2860" s="1" t="s">
        <v>828</v>
      </c>
      <c r="E2860" s="1" t="s">
        <v>1462</v>
      </c>
      <c r="F2860" s="1" t="s">
        <v>5770</v>
      </c>
      <c r="G2860" s="1">
        <v>9517.0</v>
      </c>
      <c r="H2860" s="1">
        <v>46.0</v>
      </c>
      <c r="I2860" s="1" t="s">
        <v>16</v>
      </c>
      <c r="J2860" s="1">
        <v>1.0E7</v>
      </c>
      <c r="K2860" s="1">
        <v>2007.0</v>
      </c>
      <c r="L2860" s="1">
        <v>5.3</v>
      </c>
      <c r="O2860" s="3"/>
      <c r="S2860" s="4"/>
    </row>
    <row r="2861" ht="14.25" customHeight="1">
      <c r="A2861" s="1" t="s">
        <v>2781</v>
      </c>
      <c r="B2861" s="1">
        <v>95.0</v>
      </c>
      <c r="C2861" s="1">
        <v>866778.0</v>
      </c>
      <c r="D2861" s="1" t="s">
        <v>92</v>
      </c>
      <c r="E2861" s="1" t="s">
        <v>603</v>
      </c>
      <c r="F2861" s="1" t="s">
        <v>5771</v>
      </c>
      <c r="G2861" s="1">
        <v>44208.0</v>
      </c>
      <c r="H2861" s="1">
        <v>117.0</v>
      </c>
      <c r="I2861" s="1" t="s">
        <v>16</v>
      </c>
      <c r="J2861" s="1">
        <v>1.0E7</v>
      </c>
      <c r="K2861" s="1">
        <v>2007.0</v>
      </c>
      <c r="L2861" s="1">
        <v>6.7</v>
      </c>
      <c r="O2861" s="3"/>
      <c r="S2861" s="4"/>
    </row>
    <row r="2862" ht="14.25" customHeight="1">
      <c r="A2862" s="1" t="s">
        <v>538</v>
      </c>
      <c r="B2862" s="1">
        <v>89.0</v>
      </c>
      <c r="C2862" s="1">
        <v>598645.0</v>
      </c>
      <c r="D2862" s="1" t="s">
        <v>699</v>
      </c>
      <c r="E2862" s="1" t="s">
        <v>1157</v>
      </c>
      <c r="F2862" s="1" t="s">
        <v>5772</v>
      </c>
      <c r="G2862" s="1">
        <v>13145.0</v>
      </c>
      <c r="H2862" s="1">
        <v>215.0</v>
      </c>
      <c r="I2862" s="1" t="s">
        <v>16</v>
      </c>
      <c r="J2862" s="1">
        <v>1.0E7</v>
      </c>
      <c r="K2862" s="1">
        <v>2002.0</v>
      </c>
      <c r="L2862" s="1">
        <v>3.6</v>
      </c>
      <c r="O2862" s="3"/>
      <c r="S2862" s="4"/>
    </row>
    <row r="2863" ht="14.25" customHeight="1">
      <c r="A2863" s="1" t="s">
        <v>5773</v>
      </c>
      <c r="B2863" s="1">
        <v>107.0</v>
      </c>
      <c r="C2863" s="1">
        <v>578527.0</v>
      </c>
      <c r="D2863" s="1" t="s">
        <v>719</v>
      </c>
      <c r="E2863" s="1" t="s">
        <v>5774</v>
      </c>
      <c r="F2863" s="1" t="s">
        <v>5775</v>
      </c>
      <c r="G2863" s="1">
        <v>20008.0</v>
      </c>
      <c r="H2863" s="1">
        <v>112.0</v>
      </c>
      <c r="I2863" s="1" t="s">
        <v>16</v>
      </c>
      <c r="J2863" s="1">
        <v>1.0E7</v>
      </c>
      <c r="K2863" s="1">
        <v>2008.0</v>
      </c>
      <c r="L2863" s="1">
        <v>5.7</v>
      </c>
      <c r="O2863" s="3"/>
      <c r="S2863" s="4"/>
    </row>
    <row r="2864" ht="14.25" customHeight="1">
      <c r="A2864" s="1" t="s">
        <v>4291</v>
      </c>
      <c r="B2864" s="1">
        <v>85.0</v>
      </c>
      <c r="C2864" s="1">
        <v>488872.0</v>
      </c>
      <c r="D2864" s="1" t="s">
        <v>1317</v>
      </c>
      <c r="E2864" s="1" t="s">
        <v>5776</v>
      </c>
      <c r="F2864" s="1" t="s">
        <v>5777</v>
      </c>
      <c r="G2864" s="1">
        <v>56923.0</v>
      </c>
      <c r="H2864" s="1">
        <v>243.0</v>
      </c>
      <c r="I2864" s="1" t="s">
        <v>2884</v>
      </c>
      <c r="J2864" s="1">
        <v>1.0E7</v>
      </c>
      <c r="K2864" s="1">
        <v>2001.0</v>
      </c>
      <c r="L2864" s="1">
        <v>7.3</v>
      </c>
      <c r="O2864" s="3"/>
      <c r="S2864" s="4"/>
    </row>
    <row r="2865" ht="14.25" customHeight="1">
      <c r="A2865" s="1" t="s">
        <v>5778</v>
      </c>
      <c r="B2865" s="1">
        <v>93.0</v>
      </c>
      <c r="C2865" s="1">
        <v>365734.0</v>
      </c>
      <c r="D2865" s="1" t="s">
        <v>1391</v>
      </c>
      <c r="E2865" s="1" t="s">
        <v>5778</v>
      </c>
      <c r="F2865" s="1" t="s">
        <v>5779</v>
      </c>
      <c r="G2865" s="1">
        <v>11487.0</v>
      </c>
      <c r="H2865" s="1">
        <v>226.0</v>
      </c>
      <c r="I2865" s="1" t="s">
        <v>16</v>
      </c>
      <c r="J2865" s="1">
        <v>1.0E7</v>
      </c>
      <c r="K2865" s="1">
        <v>2003.0</v>
      </c>
      <c r="L2865" s="1">
        <v>5.0</v>
      </c>
      <c r="O2865" s="3"/>
      <c r="S2865" s="4"/>
    </row>
    <row r="2866" ht="14.25" customHeight="1">
      <c r="A2866" s="1" t="s">
        <v>5780</v>
      </c>
      <c r="B2866" s="1">
        <v>101.0</v>
      </c>
      <c r="C2866" s="1">
        <v>231417.0</v>
      </c>
      <c r="D2866" s="1" t="s">
        <v>2378</v>
      </c>
      <c r="E2866" s="1" t="s">
        <v>5781</v>
      </c>
      <c r="F2866" s="1" t="s">
        <v>5782</v>
      </c>
      <c r="G2866" s="1">
        <v>1649.0</v>
      </c>
      <c r="H2866" s="1">
        <v>21.0</v>
      </c>
      <c r="I2866" s="1" t="s">
        <v>1189</v>
      </c>
      <c r="J2866" s="1">
        <v>6.0E7</v>
      </c>
      <c r="K2866" s="1">
        <v>1997.0</v>
      </c>
      <c r="L2866" s="1">
        <v>6.6</v>
      </c>
      <c r="O2866" s="3"/>
      <c r="S2866" s="4"/>
    </row>
    <row r="2867" ht="14.25" customHeight="1">
      <c r="A2867" s="1" t="s">
        <v>5783</v>
      </c>
      <c r="B2867" s="1">
        <v>103.0</v>
      </c>
      <c r="C2867" s="1">
        <v>3093491.0</v>
      </c>
      <c r="D2867" s="1" t="s">
        <v>646</v>
      </c>
      <c r="E2867" s="1" t="s">
        <v>5784</v>
      </c>
      <c r="F2867" s="1" t="s">
        <v>5785</v>
      </c>
      <c r="G2867" s="1">
        <v>8307.0</v>
      </c>
      <c r="H2867" s="1">
        <v>37.0</v>
      </c>
      <c r="I2867" s="1" t="s">
        <v>16</v>
      </c>
      <c r="J2867" s="1">
        <v>5000000.0</v>
      </c>
      <c r="K2867" s="1">
        <v>2014.0</v>
      </c>
      <c r="L2867" s="1">
        <v>6.6</v>
      </c>
      <c r="O2867" s="3"/>
      <c r="S2867" s="4"/>
    </row>
    <row r="2868" ht="14.25" customHeight="1">
      <c r="A2868" s="1" t="s">
        <v>5786</v>
      </c>
      <c r="B2868" s="1">
        <v>111.0</v>
      </c>
      <c r="C2868" s="1">
        <v>228524.0</v>
      </c>
      <c r="D2868" s="1" t="s">
        <v>1059</v>
      </c>
      <c r="E2868" s="1" t="s">
        <v>5787</v>
      </c>
      <c r="F2868" s="1" t="s">
        <v>5788</v>
      </c>
      <c r="G2868" s="1">
        <v>8708.0</v>
      </c>
      <c r="H2868" s="1">
        <v>56.0</v>
      </c>
      <c r="I2868" s="1" t="s">
        <v>16</v>
      </c>
      <c r="J2868" s="1">
        <v>4000000.0</v>
      </c>
      <c r="K2868" s="1">
        <v>2004.0</v>
      </c>
      <c r="L2868" s="1">
        <v>7.3</v>
      </c>
      <c r="O2868" s="3"/>
      <c r="S2868" s="4"/>
    </row>
    <row r="2869" ht="14.25" customHeight="1">
      <c r="A2869" s="1" t="s">
        <v>5789</v>
      </c>
      <c r="B2869" s="1">
        <v>86.0</v>
      </c>
      <c r="C2869" s="1">
        <v>226792.0</v>
      </c>
      <c r="D2869" s="1" t="s">
        <v>5790</v>
      </c>
      <c r="E2869" s="1" t="s">
        <v>3922</v>
      </c>
      <c r="F2869" s="1" t="s">
        <v>5791</v>
      </c>
      <c r="G2869" s="1">
        <v>3080.0</v>
      </c>
      <c r="H2869" s="1">
        <v>44.0</v>
      </c>
      <c r="I2869" s="1" t="s">
        <v>16</v>
      </c>
      <c r="J2869" s="1">
        <v>1.0E7</v>
      </c>
      <c r="K2869" s="1">
        <v>2001.0</v>
      </c>
      <c r="L2869" s="1">
        <v>6.2</v>
      </c>
      <c r="O2869" s="3"/>
      <c r="S2869" s="4"/>
    </row>
    <row r="2870" ht="14.25" customHeight="1">
      <c r="A2870" s="1" t="s">
        <v>5792</v>
      </c>
      <c r="B2870" s="1">
        <v>90.0</v>
      </c>
      <c r="C2870" s="1">
        <v>136432.0</v>
      </c>
      <c r="D2870" s="1" t="s">
        <v>4899</v>
      </c>
      <c r="E2870" s="1" t="s">
        <v>5793</v>
      </c>
      <c r="F2870" s="1" t="s">
        <v>5794</v>
      </c>
      <c r="G2870" s="1">
        <v>31890.0</v>
      </c>
      <c r="H2870" s="1">
        <v>194.0</v>
      </c>
      <c r="I2870" s="1" t="s">
        <v>16</v>
      </c>
      <c r="J2870" s="1">
        <v>5000000.0</v>
      </c>
      <c r="K2870" s="1">
        <v>2006.0</v>
      </c>
      <c r="L2870" s="1">
        <v>6.6</v>
      </c>
      <c r="O2870" s="3"/>
      <c r="S2870" s="4"/>
    </row>
    <row r="2871" ht="14.25" customHeight="1">
      <c r="A2871" s="1" t="s">
        <v>5414</v>
      </c>
      <c r="B2871" s="1">
        <v>82.0</v>
      </c>
      <c r="C2871" s="1">
        <v>131617.0</v>
      </c>
      <c r="D2871" s="1" t="s">
        <v>1654</v>
      </c>
      <c r="E2871" s="1" t="s">
        <v>134</v>
      </c>
      <c r="F2871" s="1" t="s">
        <v>5795</v>
      </c>
      <c r="G2871" s="1">
        <v>9971.0</v>
      </c>
      <c r="H2871" s="1">
        <v>119.0</v>
      </c>
      <c r="I2871" s="1" t="s">
        <v>16</v>
      </c>
      <c r="J2871" s="1">
        <v>1.0E7</v>
      </c>
      <c r="K2871" s="1">
        <v>2005.0</v>
      </c>
      <c r="L2871" s="1">
        <v>6.3</v>
      </c>
      <c r="O2871" s="3"/>
      <c r="S2871" s="4"/>
    </row>
    <row r="2872" ht="14.25" customHeight="1">
      <c r="A2872" s="1" t="s">
        <v>5796</v>
      </c>
      <c r="B2872" s="1">
        <v>83.0</v>
      </c>
      <c r="C2872" s="1">
        <v>126247.0</v>
      </c>
      <c r="D2872" s="1" t="s">
        <v>427</v>
      </c>
      <c r="E2872" s="1" t="s">
        <v>87</v>
      </c>
      <c r="F2872" s="1" t="s">
        <v>5797</v>
      </c>
      <c r="G2872" s="1">
        <v>24958.0</v>
      </c>
      <c r="H2872" s="1">
        <v>103.0</v>
      </c>
      <c r="I2872" s="1" t="s">
        <v>16</v>
      </c>
      <c r="J2872" s="1">
        <v>6200000.0</v>
      </c>
      <c r="K2872" s="1">
        <v>1994.0</v>
      </c>
      <c r="L2872" s="1">
        <v>3.3</v>
      </c>
      <c r="O2872" s="3"/>
      <c r="S2872" s="4"/>
    </row>
    <row r="2873" ht="14.25" customHeight="1">
      <c r="A2873" s="1" t="s">
        <v>5798</v>
      </c>
      <c r="B2873" s="1">
        <v>125.0</v>
      </c>
      <c r="C2873" s="1">
        <v>169379.0</v>
      </c>
      <c r="D2873" s="1" t="s">
        <v>824</v>
      </c>
      <c r="E2873" s="1" t="s">
        <v>5799</v>
      </c>
      <c r="F2873" s="1" t="s">
        <v>5800</v>
      </c>
      <c r="G2873" s="1">
        <v>683.0</v>
      </c>
      <c r="H2873" s="1">
        <v>3.0</v>
      </c>
      <c r="I2873" s="1" t="s">
        <v>1144</v>
      </c>
      <c r="J2873" s="1">
        <v>1.0E7</v>
      </c>
      <c r="K2873" s="1">
        <v>2013.0</v>
      </c>
      <c r="L2873" s="1">
        <v>6.2</v>
      </c>
      <c r="O2873" s="3"/>
      <c r="S2873" s="4"/>
    </row>
    <row r="2874" ht="14.25" customHeight="1">
      <c r="A2874" s="1" t="s">
        <v>5801</v>
      </c>
      <c r="B2874" s="1">
        <v>86.0</v>
      </c>
      <c r="C2874" s="1">
        <v>15447.0</v>
      </c>
      <c r="D2874" s="1" t="s">
        <v>828</v>
      </c>
      <c r="E2874" s="1" t="s">
        <v>1870</v>
      </c>
      <c r="F2874" s="1" t="s">
        <v>5802</v>
      </c>
      <c r="G2874" s="1">
        <v>2971.0</v>
      </c>
      <c r="H2874" s="1">
        <v>85.0</v>
      </c>
      <c r="I2874" s="1" t="s">
        <v>16</v>
      </c>
      <c r="J2874" s="1">
        <v>1.0E7</v>
      </c>
      <c r="K2874" s="1">
        <v>1997.0</v>
      </c>
      <c r="L2874" s="1">
        <v>3.5</v>
      </c>
      <c r="O2874" s="3"/>
      <c r="S2874" s="4"/>
    </row>
    <row r="2875" ht="14.25" customHeight="1">
      <c r="A2875" s="1" t="s">
        <v>5803</v>
      </c>
      <c r="B2875" s="1">
        <v>91.0</v>
      </c>
      <c r="C2875" s="1">
        <v>19348.0</v>
      </c>
      <c r="D2875" s="1" t="s">
        <v>1059</v>
      </c>
      <c r="E2875" s="1" t="s">
        <v>130</v>
      </c>
      <c r="F2875" s="1" t="s">
        <v>5804</v>
      </c>
      <c r="G2875" s="1">
        <v>2941.0</v>
      </c>
      <c r="H2875" s="1">
        <v>11.0</v>
      </c>
      <c r="I2875" s="1" t="s">
        <v>16</v>
      </c>
      <c r="J2875" s="1">
        <v>1.0E7</v>
      </c>
      <c r="K2875" s="1">
        <v>2009.0</v>
      </c>
      <c r="L2875" s="1">
        <v>5.5</v>
      </c>
      <c r="O2875" s="3"/>
      <c r="S2875" s="4"/>
    </row>
    <row r="2876" ht="14.25" customHeight="1">
      <c r="A2876" s="1" t="s">
        <v>5805</v>
      </c>
      <c r="B2876" s="1">
        <v>90.0</v>
      </c>
      <c r="C2876" s="1">
        <v>100503.0</v>
      </c>
      <c r="D2876" s="1" t="s">
        <v>699</v>
      </c>
      <c r="E2876" s="1" t="s">
        <v>5806</v>
      </c>
      <c r="F2876" s="1" t="s">
        <v>5807</v>
      </c>
      <c r="G2876" s="1">
        <v>7759.0</v>
      </c>
      <c r="H2876" s="1">
        <v>20.0</v>
      </c>
      <c r="I2876" s="1" t="s">
        <v>16</v>
      </c>
      <c r="J2876" s="1">
        <v>8000000.0</v>
      </c>
      <c r="K2876" s="1">
        <v>2009.0</v>
      </c>
      <c r="L2876" s="1">
        <v>5.9</v>
      </c>
      <c r="O2876" s="3"/>
      <c r="S2876" s="4"/>
    </row>
    <row r="2877" ht="14.25" customHeight="1">
      <c r="A2877" s="1" t="s">
        <v>5808</v>
      </c>
      <c r="B2877" s="1">
        <v>90.0</v>
      </c>
      <c r="C2877" s="1">
        <v>92900.0</v>
      </c>
      <c r="D2877" s="1" t="s">
        <v>1059</v>
      </c>
      <c r="E2877" s="1" t="s">
        <v>5809</v>
      </c>
      <c r="F2877" s="1" t="s">
        <v>5810</v>
      </c>
      <c r="G2877" s="1">
        <v>3662.0</v>
      </c>
      <c r="H2877" s="1">
        <v>23.0</v>
      </c>
      <c r="I2877" s="1" t="s">
        <v>16</v>
      </c>
      <c r="J2877" s="1">
        <v>5000000.0</v>
      </c>
      <c r="K2877" s="1">
        <v>2009.0</v>
      </c>
      <c r="L2877" s="1">
        <v>4.7</v>
      </c>
      <c r="O2877" s="3"/>
      <c r="S2877" s="4"/>
    </row>
    <row r="2878" ht="14.25" customHeight="1">
      <c r="A2878" s="1" t="s">
        <v>5811</v>
      </c>
      <c r="B2878" s="1">
        <v>93.0</v>
      </c>
      <c r="C2878" s="1">
        <v>5561.0</v>
      </c>
      <c r="D2878" s="1" t="s">
        <v>699</v>
      </c>
      <c r="E2878" s="1" t="s">
        <v>5812</v>
      </c>
      <c r="F2878" s="1" t="s">
        <v>5813</v>
      </c>
      <c r="G2878" s="1">
        <v>4995.0</v>
      </c>
      <c r="H2878" s="1">
        <v>34.0</v>
      </c>
      <c r="I2878" s="1" t="s">
        <v>16</v>
      </c>
      <c r="J2878" s="1">
        <v>1.0E7</v>
      </c>
      <c r="K2878" s="1">
        <v>2007.0</v>
      </c>
      <c r="L2878" s="1">
        <v>3.9</v>
      </c>
      <c r="O2878" s="3"/>
      <c r="S2878" s="4"/>
    </row>
    <row r="2879" ht="14.25" customHeight="1">
      <c r="A2879" s="1" t="s">
        <v>5814</v>
      </c>
      <c r="B2879" s="1">
        <v>104.0</v>
      </c>
      <c r="C2879" s="1">
        <v>3607.0</v>
      </c>
      <c r="D2879" s="1" t="s">
        <v>938</v>
      </c>
      <c r="E2879" s="1" t="s">
        <v>5815</v>
      </c>
      <c r="F2879" s="1" t="s">
        <v>5816</v>
      </c>
      <c r="G2879" s="1">
        <v>22753.0</v>
      </c>
      <c r="H2879" s="1">
        <v>94.0</v>
      </c>
      <c r="I2879" s="1" t="s">
        <v>16</v>
      </c>
      <c r="J2879" s="1">
        <v>1.0E7</v>
      </c>
      <c r="K2879" s="1">
        <v>2008.0</v>
      </c>
      <c r="L2879" s="1">
        <v>6.1</v>
      </c>
      <c r="O2879" s="3"/>
      <c r="S2879" s="4"/>
    </row>
    <row r="2880" ht="14.25" customHeight="1">
      <c r="A2880" s="1" t="s">
        <v>5817</v>
      </c>
      <c r="B2880" s="1">
        <v>85.0</v>
      </c>
      <c r="C2880" s="1">
        <v>70527.0</v>
      </c>
      <c r="D2880" s="1" t="s">
        <v>1059</v>
      </c>
      <c r="E2880" s="1" t="s">
        <v>1662</v>
      </c>
      <c r="F2880" s="1" t="s">
        <v>5818</v>
      </c>
      <c r="G2880" s="1">
        <v>7690.0</v>
      </c>
      <c r="H2880" s="1">
        <v>68.0</v>
      </c>
      <c r="I2880" s="1" t="s">
        <v>16</v>
      </c>
      <c r="J2880" s="1">
        <v>6500000.0</v>
      </c>
      <c r="K2880" s="1">
        <v>2004.0</v>
      </c>
      <c r="L2880" s="1">
        <v>6.7</v>
      </c>
      <c r="O2880" s="3"/>
      <c r="S2880" s="4"/>
    </row>
    <row r="2881" ht="14.25" customHeight="1">
      <c r="A2881" s="1" t="s">
        <v>5819</v>
      </c>
      <c r="B2881" s="1">
        <v>81.0</v>
      </c>
      <c r="C2881" s="1">
        <v>11835.0</v>
      </c>
      <c r="D2881" s="1" t="s">
        <v>593</v>
      </c>
      <c r="E2881" s="1" t="s">
        <v>5820</v>
      </c>
      <c r="F2881" s="1" t="s">
        <v>5821</v>
      </c>
      <c r="G2881" s="1">
        <v>1920.0</v>
      </c>
      <c r="H2881" s="1">
        <v>7.0</v>
      </c>
      <c r="I2881" s="1" t="s">
        <v>5822</v>
      </c>
      <c r="J2881" s="1">
        <v>1.0E7</v>
      </c>
      <c r="K2881" s="1">
        <v>2013.0</v>
      </c>
      <c r="L2881" s="1">
        <v>6.9</v>
      </c>
      <c r="O2881" s="3"/>
      <c r="S2881" s="4"/>
    </row>
    <row r="2882" ht="14.25" customHeight="1">
      <c r="A2882" s="1" t="s">
        <v>3404</v>
      </c>
      <c r="B2882" s="1">
        <v>135.0</v>
      </c>
      <c r="C2882" s="1">
        <v>128486.0</v>
      </c>
      <c r="D2882" s="1" t="s">
        <v>1889</v>
      </c>
      <c r="E2882" s="1" t="s">
        <v>5823</v>
      </c>
      <c r="F2882" s="1" t="s">
        <v>5824</v>
      </c>
      <c r="G2882" s="1">
        <v>26156.0</v>
      </c>
      <c r="H2882" s="1">
        <v>74.0</v>
      </c>
      <c r="I2882" s="1" t="s">
        <v>5316</v>
      </c>
      <c r="J2882" s="1">
        <v>1.0E7</v>
      </c>
      <c r="K2882" s="1">
        <v>2008.0</v>
      </c>
      <c r="L2882" s="1">
        <v>7.3</v>
      </c>
      <c r="O2882" s="3"/>
      <c r="S2882" s="4"/>
    </row>
    <row r="2883" ht="14.25" customHeight="1">
      <c r="A2883" s="1" t="s">
        <v>5825</v>
      </c>
      <c r="B2883" s="1">
        <v>144.0</v>
      </c>
      <c r="C2883" s="1">
        <v>2483955.0</v>
      </c>
      <c r="D2883" s="1" t="s">
        <v>92</v>
      </c>
      <c r="E2883" s="1" t="s">
        <v>5826</v>
      </c>
      <c r="F2883" s="1" t="s">
        <v>5827</v>
      </c>
      <c r="G2883" s="1">
        <v>8369.0</v>
      </c>
      <c r="H2883" s="1">
        <v>165.0</v>
      </c>
      <c r="I2883" s="1" t="s">
        <v>16</v>
      </c>
      <c r="J2883" s="1">
        <v>9600000.0</v>
      </c>
      <c r="K2883" s="1">
        <v>2005.0</v>
      </c>
      <c r="L2883" s="1">
        <v>6.7</v>
      </c>
      <c r="O2883" s="3"/>
      <c r="S2883" s="4"/>
    </row>
    <row r="2884" ht="14.25" customHeight="1">
      <c r="A2884" s="1" t="s">
        <v>1319</v>
      </c>
      <c r="B2884" s="1">
        <v>98.0</v>
      </c>
      <c r="C2884" s="1">
        <v>5.7176582E7</v>
      </c>
      <c r="D2884" s="1" t="s">
        <v>828</v>
      </c>
      <c r="E2884" s="1" t="s">
        <v>2428</v>
      </c>
      <c r="F2884" s="1" t="s">
        <v>5828</v>
      </c>
      <c r="G2884" s="1">
        <v>27492.0</v>
      </c>
      <c r="H2884" s="1">
        <v>84.0</v>
      </c>
      <c r="I2884" s="1" t="s">
        <v>16</v>
      </c>
      <c r="J2884" s="1">
        <v>9500000.0</v>
      </c>
      <c r="K2884" s="1">
        <v>2000.0</v>
      </c>
      <c r="L2884" s="1">
        <v>6.1</v>
      </c>
      <c r="O2884" s="3"/>
      <c r="S2884" s="4"/>
    </row>
    <row r="2885" ht="14.25" customHeight="1">
      <c r="A2885" s="1" t="s">
        <v>3187</v>
      </c>
      <c r="B2885" s="1">
        <v>117.0</v>
      </c>
      <c r="C2885" s="1">
        <v>4.31E7</v>
      </c>
      <c r="D2885" s="1" t="s">
        <v>22</v>
      </c>
      <c r="E2885" s="1" t="s">
        <v>3952</v>
      </c>
      <c r="F2885" s="1" t="s">
        <v>5829</v>
      </c>
      <c r="G2885" s="1">
        <v>75280.0</v>
      </c>
      <c r="H2885" s="1">
        <v>267.0</v>
      </c>
      <c r="I2885" s="1" t="s">
        <v>16</v>
      </c>
      <c r="J2885" s="1">
        <v>9500000.0</v>
      </c>
      <c r="K2885" s="1">
        <v>1967.0</v>
      </c>
      <c r="L2885" s="1">
        <v>6.9</v>
      </c>
      <c r="O2885" s="3"/>
      <c r="S2885" s="4"/>
    </row>
    <row r="2886" ht="14.25" customHeight="1">
      <c r="A2886" s="1" t="s">
        <v>4619</v>
      </c>
      <c r="B2886" s="1">
        <v>127.0</v>
      </c>
      <c r="C2886" s="1">
        <v>225377.0</v>
      </c>
      <c r="D2886" s="1" t="s">
        <v>92</v>
      </c>
      <c r="E2886" s="1" t="s">
        <v>5781</v>
      </c>
      <c r="F2886" s="1" t="s">
        <v>5830</v>
      </c>
      <c r="G2886" s="1">
        <v>70382.0</v>
      </c>
      <c r="H2886" s="1">
        <v>190.0</v>
      </c>
      <c r="I2886" s="1" t="s">
        <v>1189</v>
      </c>
      <c r="J2886" s="1">
        <v>8900000.0</v>
      </c>
      <c r="K2886" s="1">
        <v>2012.0</v>
      </c>
      <c r="L2886" s="1">
        <v>7.9</v>
      </c>
      <c r="O2886" s="3"/>
      <c r="S2886" s="4"/>
    </row>
    <row r="2887" ht="14.25" customHeight="1">
      <c r="A2887" s="1" t="s">
        <v>5831</v>
      </c>
      <c r="B2887" s="1">
        <v>98.0</v>
      </c>
      <c r="C2887" s="1">
        <v>1.4114488E7</v>
      </c>
      <c r="D2887" s="1" t="s">
        <v>2657</v>
      </c>
      <c r="E2887" s="1" t="s">
        <v>2816</v>
      </c>
      <c r="F2887" s="1" t="s">
        <v>5832</v>
      </c>
      <c r="G2887" s="1">
        <v>13190.0</v>
      </c>
      <c r="H2887" s="1">
        <v>114.0</v>
      </c>
      <c r="I2887" s="1" t="s">
        <v>16</v>
      </c>
      <c r="J2887" s="1">
        <v>1.05E7</v>
      </c>
      <c r="K2887" s="1">
        <v>1988.0</v>
      </c>
      <c r="L2887" s="1">
        <v>4.5</v>
      </c>
      <c r="O2887" s="3"/>
      <c r="S2887" s="4"/>
    </row>
    <row r="2888" ht="14.25" customHeight="1">
      <c r="A2888" s="1" t="s">
        <v>5833</v>
      </c>
      <c r="B2888" s="1">
        <v>197.0</v>
      </c>
      <c r="C2888" s="1">
        <v>4.63E7</v>
      </c>
      <c r="D2888" s="1" t="s">
        <v>572</v>
      </c>
      <c r="E2888" s="1" t="s">
        <v>2268</v>
      </c>
      <c r="F2888" s="1" t="s">
        <v>5834</v>
      </c>
      <c r="G2888" s="1">
        <v>29323.0</v>
      </c>
      <c r="H2888" s="1">
        <v>344.0</v>
      </c>
      <c r="I2888" s="1" t="s">
        <v>16</v>
      </c>
      <c r="J2888" s="1">
        <v>9400000.0</v>
      </c>
      <c r="K2888" s="1">
        <v>1963.0</v>
      </c>
      <c r="L2888" s="1">
        <v>7.6</v>
      </c>
      <c r="O2888" s="3"/>
      <c r="S2888" s="4"/>
    </row>
    <row r="2889" ht="14.25" customHeight="1">
      <c r="A2889" s="1" t="s">
        <v>2095</v>
      </c>
      <c r="B2889" s="1">
        <v>104.0</v>
      </c>
      <c r="C2889" s="1">
        <v>2600000.0</v>
      </c>
      <c r="D2889" s="1" t="s">
        <v>1384</v>
      </c>
      <c r="E2889" s="1" t="s">
        <v>96</v>
      </c>
      <c r="F2889" s="1" t="s">
        <v>5835</v>
      </c>
      <c r="G2889" s="1">
        <v>11612.0</v>
      </c>
      <c r="H2889" s="1">
        <v>88.0</v>
      </c>
      <c r="I2889" s="1" t="s">
        <v>16</v>
      </c>
      <c r="J2889" s="1">
        <v>6000000.0</v>
      </c>
      <c r="K2889" s="1">
        <v>1995.0</v>
      </c>
      <c r="L2889" s="1">
        <v>7.5</v>
      </c>
      <c r="O2889" s="3"/>
      <c r="S2889" s="4"/>
    </row>
    <row r="2890" ht="14.25" customHeight="1">
      <c r="A2890" s="1" t="s">
        <v>5836</v>
      </c>
      <c r="B2890" s="1">
        <v>90.0</v>
      </c>
      <c r="C2890" s="1">
        <v>1602466.0</v>
      </c>
      <c r="D2890" s="1" t="s">
        <v>5837</v>
      </c>
      <c r="E2890" s="1" t="s">
        <v>5838</v>
      </c>
      <c r="F2890" s="1" t="s">
        <v>5839</v>
      </c>
      <c r="G2890" s="1">
        <v>9673.0</v>
      </c>
      <c r="H2890" s="1">
        <v>106.0</v>
      </c>
      <c r="I2890" s="1" t="s">
        <v>16</v>
      </c>
      <c r="J2890" s="1">
        <v>6.0E8</v>
      </c>
      <c r="K2890" s="1">
        <v>2010.0</v>
      </c>
      <c r="L2890" s="1">
        <v>6.0</v>
      </c>
      <c r="O2890" s="3"/>
      <c r="S2890" s="4"/>
    </row>
    <row r="2891" ht="14.25" customHeight="1">
      <c r="A2891" s="1" t="s">
        <v>5080</v>
      </c>
      <c r="B2891" s="1">
        <v>130.0</v>
      </c>
      <c r="C2891" s="1">
        <v>3029870.0</v>
      </c>
      <c r="D2891" s="1" t="s">
        <v>770</v>
      </c>
      <c r="E2891" s="1" t="s">
        <v>3866</v>
      </c>
      <c r="F2891" s="1" t="s">
        <v>5840</v>
      </c>
      <c r="G2891" s="1">
        <v>128729.0</v>
      </c>
      <c r="H2891" s="1">
        <v>551.0</v>
      </c>
      <c r="I2891" s="1" t="s">
        <v>16</v>
      </c>
      <c r="J2891" s="1">
        <v>7400000.0</v>
      </c>
      <c r="K2891" s="1">
        <v>2011.0</v>
      </c>
      <c r="L2891" s="1">
        <v>7.1</v>
      </c>
      <c r="O2891" s="3"/>
      <c r="S2891" s="4"/>
    </row>
    <row r="2892" ht="14.25" customHeight="1">
      <c r="A2892" s="1" t="s">
        <v>5841</v>
      </c>
      <c r="B2892" s="1">
        <v>176.0</v>
      </c>
      <c r="C2892" s="1">
        <v>3047539.0</v>
      </c>
      <c r="D2892" s="1" t="s">
        <v>92</v>
      </c>
      <c r="E2892" s="1" t="s">
        <v>5553</v>
      </c>
      <c r="F2892" s="1" t="s">
        <v>5842</v>
      </c>
      <c r="G2892" s="1">
        <v>42296.0</v>
      </c>
      <c r="H2892" s="1">
        <v>286.0</v>
      </c>
      <c r="I2892" s="1" t="s">
        <v>5555</v>
      </c>
      <c r="J2892" s="1">
        <v>7217600.0</v>
      </c>
      <c r="K2892" s="1">
        <v>2012.0</v>
      </c>
      <c r="L2892" s="1">
        <v>6.9</v>
      </c>
      <c r="O2892" s="3"/>
      <c r="S2892" s="4"/>
    </row>
    <row r="2893" ht="14.25" customHeight="1">
      <c r="A2893" s="1" t="s">
        <v>80</v>
      </c>
      <c r="B2893" s="1">
        <v>116.0</v>
      </c>
      <c r="C2893" s="1">
        <v>7.89E7</v>
      </c>
      <c r="D2893" s="1" t="s">
        <v>3966</v>
      </c>
      <c r="E2893" s="1" t="s">
        <v>2816</v>
      </c>
      <c r="F2893" s="1" t="s">
        <v>5843</v>
      </c>
      <c r="G2893" s="1">
        <v>563827.0</v>
      </c>
      <c r="H2893" s="1">
        <v>1110.0</v>
      </c>
      <c r="I2893" s="1" t="s">
        <v>16</v>
      </c>
      <c r="J2893" s="1">
        <v>1.1E7</v>
      </c>
      <c r="K2893" s="1">
        <v>1979.0</v>
      </c>
      <c r="L2893" s="1">
        <v>8.5</v>
      </c>
      <c r="O2893" s="3"/>
      <c r="S2893" s="4"/>
    </row>
    <row r="2894" ht="14.25" customHeight="1">
      <c r="A2894" s="1" t="s">
        <v>2944</v>
      </c>
      <c r="B2894" s="1">
        <v>88.0</v>
      </c>
      <c r="C2894" s="1">
        <v>3.0859E7</v>
      </c>
      <c r="D2894" s="1" t="s">
        <v>2657</v>
      </c>
      <c r="E2894" s="1" t="s">
        <v>4209</v>
      </c>
      <c r="F2894" s="1" t="s">
        <v>5844</v>
      </c>
      <c r="G2894" s="1">
        <v>96410.0</v>
      </c>
      <c r="H2894" s="1">
        <v>826.0</v>
      </c>
      <c r="I2894" s="1" t="s">
        <v>16</v>
      </c>
      <c r="J2894" s="1">
        <v>83532.0</v>
      </c>
      <c r="K2894" s="1">
        <v>1974.0</v>
      </c>
      <c r="L2894" s="1">
        <v>7.5</v>
      </c>
      <c r="O2894" s="3"/>
      <c r="S2894" s="4"/>
    </row>
    <row r="2895" ht="14.25" customHeight="1">
      <c r="A2895" s="1" t="s">
        <v>5845</v>
      </c>
      <c r="B2895" s="1">
        <v>106.0</v>
      </c>
      <c r="C2895" s="1">
        <v>3571735.0</v>
      </c>
      <c r="D2895" s="1" t="s">
        <v>1749</v>
      </c>
      <c r="E2895" s="1" t="s">
        <v>1050</v>
      </c>
      <c r="F2895" s="1" t="s">
        <v>5846</v>
      </c>
      <c r="G2895" s="1">
        <v>39260.0</v>
      </c>
      <c r="H2895" s="1">
        <v>129.0</v>
      </c>
      <c r="I2895" s="1" t="s">
        <v>16</v>
      </c>
      <c r="J2895" s="1">
        <v>1.0E7</v>
      </c>
      <c r="K2895" s="1">
        <v>2010.0</v>
      </c>
      <c r="L2895" s="1">
        <v>6.6</v>
      </c>
      <c r="O2895" s="3"/>
      <c r="S2895" s="4"/>
    </row>
    <row r="2896" ht="14.25" customHeight="1">
      <c r="A2896" s="1" t="s">
        <v>2786</v>
      </c>
      <c r="B2896" s="1">
        <v>181.0</v>
      </c>
      <c r="C2896" s="1">
        <v>5.0E7</v>
      </c>
      <c r="D2896" s="1" t="s">
        <v>4654</v>
      </c>
      <c r="E2896" s="1" t="s">
        <v>5847</v>
      </c>
      <c r="F2896" s="1" t="s">
        <v>5848</v>
      </c>
      <c r="G2896" s="1">
        <v>29839.0</v>
      </c>
      <c r="H2896" s="1">
        <v>150.0</v>
      </c>
      <c r="I2896" s="1" t="s">
        <v>16</v>
      </c>
      <c r="J2896" s="1">
        <v>9000000.0</v>
      </c>
      <c r="K2896" s="1">
        <v>1971.0</v>
      </c>
      <c r="L2896" s="1">
        <v>8.0</v>
      </c>
      <c r="O2896" s="3"/>
      <c r="S2896" s="4"/>
    </row>
    <row r="2897" ht="14.25" customHeight="1">
      <c r="A2897" s="1" t="s">
        <v>5849</v>
      </c>
      <c r="B2897" s="1">
        <v>130.0</v>
      </c>
      <c r="C2897" s="1">
        <v>6.36E7</v>
      </c>
      <c r="D2897" s="1" t="s">
        <v>22</v>
      </c>
      <c r="E2897" s="1" t="s">
        <v>3188</v>
      </c>
      <c r="F2897" s="1" t="s">
        <v>5850</v>
      </c>
      <c r="G2897" s="1">
        <v>82073.0</v>
      </c>
      <c r="H2897" s="1">
        <v>275.0</v>
      </c>
      <c r="I2897" s="1" t="s">
        <v>16</v>
      </c>
      <c r="J2897" s="1">
        <v>9000000.0</v>
      </c>
      <c r="K2897" s="1">
        <v>1965.0</v>
      </c>
      <c r="L2897" s="1">
        <v>7.0</v>
      </c>
      <c r="O2897" s="3"/>
      <c r="S2897" s="4"/>
    </row>
    <row r="2898" ht="14.25" customHeight="1">
      <c r="A2898" s="1" t="s">
        <v>1258</v>
      </c>
      <c r="B2898" s="1">
        <v>123.0</v>
      </c>
      <c r="C2898" s="1">
        <v>3.6049108E7</v>
      </c>
      <c r="D2898" s="1" t="s">
        <v>2311</v>
      </c>
      <c r="E2898" s="1" t="s">
        <v>272</v>
      </c>
      <c r="F2898" s="1" t="s">
        <v>5851</v>
      </c>
      <c r="G2898" s="1">
        <v>10139.0</v>
      </c>
      <c r="H2898" s="1">
        <v>70.0</v>
      </c>
      <c r="I2898" s="1" t="s">
        <v>16</v>
      </c>
      <c r="J2898" s="1">
        <v>9000000.0</v>
      </c>
      <c r="K2898" s="1">
        <v>1996.0</v>
      </c>
      <c r="L2898" s="1">
        <v>6.8</v>
      </c>
      <c r="O2898" s="3"/>
      <c r="S2898" s="4"/>
    </row>
    <row r="2899" ht="14.25" customHeight="1">
      <c r="A2899" s="1" t="s">
        <v>3550</v>
      </c>
      <c r="B2899" s="1">
        <v>120.0</v>
      </c>
      <c r="C2899" s="1">
        <v>3.4074895E7</v>
      </c>
      <c r="D2899" s="1" t="s">
        <v>1059</v>
      </c>
      <c r="E2899" s="1" t="s">
        <v>3646</v>
      </c>
      <c r="F2899" s="1" t="s">
        <v>5852</v>
      </c>
      <c r="G2899" s="1">
        <v>6525.0</v>
      </c>
      <c r="H2899" s="1">
        <v>79.0</v>
      </c>
      <c r="I2899" s="1" t="s">
        <v>16</v>
      </c>
      <c r="J2899" s="1">
        <v>9000000.0</v>
      </c>
      <c r="K2899" s="1">
        <v>1999.0</v>
      </c>
      <c r="L2899" s="1">
        <v>6.7</v>
      </c>
      <c r="O2899" s="3"/>
      <c r="S2899" s="4"/>
    </row>
    <row r="2900" ht="14.25" customHeight="1">
      <c r="A2900" s="1" t="s">
        <v>5124</v>
      </c>
      <c r="B2900" s="1">
        <v>87.0</v>
      </c>
      <c r="C2900" s="1">
        <v>3.3244684E7</v>
      </c>
      <c r="D2900" s="1" t="s">
        <v>2945</v>
      </c>
      <c r="E2900" s="1" t="s">
        <v>5853</v>
      </c>
      <c r="F2900" s="1" t="s">
        <v>5854</v>
      </c>
      <c r="G2900" s="1">
        <v>62038.0</v>
      </c>
      <c r="H2900" s="1">
        <v>281.0</v>
      </c>
      <c r="I2900" s="1" t="s">
        <v>16</v>
      </c>
      <c r="J2900" s="1">
        <v>9000000.0</v>
      </c>
      <c r="K2900" s="1">
        <v>1988.0</v>
      </c>
      <c r="L2900" s="1">
        <v>6.5</v>
      </c>
      <c r="O2900" s="3"/>
      <c r="S2900" s="4"/>
    </row>
    <row r="2901" ht="14.25" customHeight="1">
      <c r="A2901" s="1" t="s">
        <v>5855</v>
      </c>
      <c r="B2901" s="1">
        <v>123.0</v>
      </c>
      <c r="C2901" s="1">
        <v>2.4530513E7</v>
      </c>
      <c r="D2901" s="1" t="s">
        <v>1186</v>
      </c>
      <c r="E2901" s="1" t="s">
        <v>5855</v>
      </c>
      <c r="F2901" s="1" t="s">
        <v>5856</v>
      </c>
      <c r="G2901" s="1">
        <v>66610.0</v>
      </c>
      <c r="H2901" s="1">
        <v>429.0</v>
      </c>
      <c r="I2901" s="1" t="s">
        <v>16</v>
      </c>
      <c r="J2901" s="1">
        <v>9000000.0</v>
      </c>
      <c r="K2901" s="1">
        <v>2007.0</v>
      </c>
      <c r="L2901" s="1">
        <v>8.0</v>
      </c>
      <c r="O2901" s="3"/>
      <c r="S2901" s="4"/>
    </row>
    <row r="2902" ht="14.25" customHeight="1">
      <c r="A2902" s="1" t="s">
        <v>5580</v>
      </c>
      <c r="B2902" s="1">
        <v>103.0</v>
      </c>
      <c r="C2902" s="1">
        <v>7.151923E7</v>
      </c>
      <c r="D2902" s="1" t="s">
        <v>934</v>
      </c>
      <c r="E2902" s="1" t="s">
        <v>5857</v>
      </c>
      <c r="F2902" s="1" t="s">
        <v>5858</v>
      </c>
      <c r="G2902" s="1">
        <v>92364.0</v>
      </c>
      <c r="H2902" s="1">
        <v>244.0</v>
      </c>
      <c r="I2902" s="1" t="s">
        <v>16</v>
      </c>
      <c r="J2902" s="1">
        <v>9000000.0</v>
      </c>
      <c r="K2902" s="1">
        <v>2014.0</v>
      </c>
      <c r="L2902" s="1">
        <v>6.5</v>
      </c>
      <c r="O2902" s="3"/>
      <c r="S2902" s="4"/>
    </row>
    <row r="2903" ht="14.25" customHeight="1">
      <c r="A2903" s="1" t="s">
        <v>5859</v>
      </c>
      <c r="B2903" s="1">
        <v>91.0</v>
      </c>
      <c r="C2903" s="1">
        <v>2.003531E7</v>
      </c>
      <c r="D2903" s="1" t="s">
        <v>593</v>
      </c>
      <c r="E2903" s="1" t="s">
        <v>798</v>
      </c>
      <c r="F2903" s="1" t="s">
        <v>5860</v>
      </c>
      <c r="G2903" s="1">
        <v>12324.0</v>
      </c>
      <c r="H2903" s="1">
        <v>173.0</v>
      </c>
      <c r="I2903" s="1" t="s">
        <v>16</v>
      </c>
      <c r="J2903" s="1">
        <v>9000000.0</v>
      </c>
      <c r="K2903" s="1">
        <v>2000.0</v>
      </c>
      <c r="L2903" s="1">
        <v>4.9</v>
      </c>
      <c r="O2903" s="3"/>
      <c r="S2903" s="4"/>
    </row>
    <row r="2904" ht="14.25" customHeight="1">
      <c r="A2904" s="1" t="s">
        <v>5184</v>
      </c>
      <c r="B2904" s="1">
        <v>88.0</v>
      </c>
      <c r="C2904" s="1">
        <v>1.8225165E7</v>
      </c>
      <c r="D2904" s="1" t="s">
        <v>1720</v>
      </c>
      <c r="E2904" s="1" t="s">
        <v>2772</v>
      </c>
      <c r="F2904" s="1" t="s">
        <v>5861</v>
      </c>
      <c r="G2904" s="1">
        <v>155262.0</v>
      </c>
      <c r="H2904" s="1">
        <v>316.0</v>
      </c>
      <c r="I2904" s="1" t="s">
        <v>16</v>
      </c>
      <c r="J2904" s="1">
        <v>9000000.0</v>
      </c>
      <c r="K2904" s="1">
        <v>2004.0</v>
      </c>
      <c r="L2904" s="1">
        <v>7.1</v>
      </c>
      <c r="O2904" s="3"/>
      <c r="S2904" s="4"/>
    </row>
    <row r="2905" ht="14.25" customHeight="1">
      <c r="A2905" s="1" t="s">
        <v>1773</v>
      </c>
      <c r="B2905" s="1">
        <v>126.0</v>
      </c>
      <c r="C2905" s="1">
        <v>1.7804273E7</v>
      </c>
      <c r="D2905" s="1" t="s">
        <v>1654</v>
      </c>
      <c r="E2905" s="1" t="s">
        <v>130</v>
      </c>
      <c r="F2905" s="1" t="s">
        <v>5862</v>
      </c>
      <c r="G2905" s="1">
        <v>20449.0</v>
      </c>
      <c r="H2905" s="1">
        <v>370.0</v>
      </c>
      <c r="I2905" s="1" t="s">
        <v>16</v>
      </c>
      <c r="J2905" s="1">
        <v>2.0E7</v>
      </c>
      <c r="K2905" s="1">
        <v>2000.0</v>
      </c>
      <c r="L2905" s="1">
        <v>7.0</v>
      </c>
      <c r="O2905" s="3"/>
      <c r="S2905" s="4"/>
    </row>
    <row r="2906" ht="14.25" customHeight="1">
      <c r="A2906" s="1" t="s">
        <v>5863</v>
      </c>
      <c r="B2906" s="1">
        <v>120.0</v>
      </c>
      <c r="C2906" s="1">
        <v>1.6938179E7</v>
      </c>
      <c r="D2906" s="1" t="s">
        <v>901</v>
      </c>
      <c r="E2906" s="1" t="s">
        <v>584</v>
      </c>
      <c r="F2906" s="1" t="s">
        <v>5864</v>
      </c>
      <c r="G2906" s="1">
        <v>41313.0</v>
      </c>
      <c r="H2906" s="1">
        <v>246.0</v>
      </c>
      <c r="I2906" s="1" t="s">
        <v>16</v>
      </c>
      <c r="J2906" s="1">
        <v>8000000.0</v>
      </c>
      <c r="K2906" s="1">
        <v>2000.0</v>
      </c>
      <c r="L2906" s="1">
        <v>7.0</v>
      </c>
      <c r="O2906" s="3"/>
      <c r="S2906" s="4"/>
    </row>
    <row r="2907" ht="14.25" customHeight="1">
      <c r="A2907" s="1" t="s">
        <v>4373</v>
      </c>
      <c r="B2907" s="1">
        <v>94.0</v>
      </c>
      <c r="C2907" s="1">
        <v>1.6235293E7</v>
      </c>
      <c r="D2907" s="1" t="s">
        <v>2551</v>
      </c>
      <c r="E2907" s="1" t="s">
        <v>2648</v>
      </c>
      <c r="F2907" s="1" t="s">
        <v>5865</v>
      </c>
      <c r="G2907" s="1">
        <v>19918.0</v>
      </c>
      <c r="H2907" s="1">
        <v>278.0</v>
      </c>
      <c r="I2907" s="1" t="s">
        <v>16</v>
      </c>
      <c r="J2907" s="1">
        <v>9000000.0</v>
      </c>
      <c r="K2907" s="1">
        <v>2006.0</v>
      </c>
      <c r="L2907" s="1">
        <v>4.5</v>
      </c>
      <c r="O2907" s="3"/>
      <c r="S2907" s="4"/>
    </row>
    <row r="2908" ht="14.25" customHeight="1">
      <c r="A2908" s="1" t="s">
        <v>364</v>
      </c>
      <c r="B2908" s="1">
        <v>137.0</v>
      </c>
      <c r="C2908" s="1">
        <v>1.0161099E7</v>
      </c>
      <c r="D2908" s="1" t="s">
        <v>5866</v>
      </c>
      <c r="E2908" s="1" t="s">
        <v>5867</v>
      </c>
      <c r="F2908" s="1" t="s">
        <v>5868</v>
      </c>
      <c r="G2908" s="1">
        <v>23441.0</v>
      </c>
      <c r="H2908" s="1">
        <v>108.0</v>
      </c>
      <c r="I2908" s="1" t="s">
        <v>16</v>
      </c>
      <c r="J2908" s="1">
        <v>9000000.0</v>
      </c>
      <c r="K2908" s="1">
        <v>1989.0</v>
      </c>
      <c r="L2908" s="1">
        <v>7.7</v>
      </c>
      <c r="O2908" s="3"/>
      <c r="S2908" s="4"/>
    </row>
    <row r="2909" ht="14.25" customHeight="1">
      <c r="A2909" s="1" t="s">
        <v>377</v>
      </c>
      <c r="B2909" s="1">
        <v>119.0</v>
      </c>
      <c r="C2909" s="1">
        <v>6047856.0</v>
      </c>
      <c r="D2909" s="1" t="s">
        <v>197</v>
      </c>
      <c r="E2909" s="1" t="s">
        <v>5869</v>
      </c>
      <c r="F2909" s="1" t="s">
        <v>5870</v>
      </c>
      <c r="G2909" s="1">
        <v>27536.0</v>
      </c>
      <c r="H2909" s="1">
        <v>327.0</v>
      </c>
      <c r="I2909" s="1" t="s">
        <v>16</v>
      </c>
      <c r="J2909" s="1">
        <v>8500000.0</v>
      </c>
      <c r="K2909" s="1">
        <v>2000.0</v>
      </c>
      <c r="L2909" s="1">
        <v>6.7</v>
      </c>
      <c r="O2909" s="3"/>
      <c r="S2909" s="4"/>
    </row>
    <row r="2910" ht="14.25" customHeight="1">
      <c r="A2910" s="1" t="s">
        <v>2417</v>
      </c>
      <c r="B2910" s="1">
        <v>99.0</v>
      </c>
      <c r="C2910" s="1">
        <v>4681503.0</v>
      </c>
      <c r="D2910" s="1" t="s">
        <v>1059</v>
      </c>
      <c r="E2910" s="1" t="s">
        <v>4931</v>
      </c>
      <c r="F2910" s="1" t="s">
        <v>5871</v>
      </c>
      <c r="G2910" s="1">
        <v>29058.0</v>
      </c>
      <c r="H2910" s="1">
        <v>238.0</v>
      </c>
      <c r="I2910" s="1" t="s">
        <v>16</v>
      </c>
      <c r="J2910" s="1">
        <v>9000000.0</v>
      </c>
      <c r="K2910" s="1">
        <v>2002.0</v>
      </c>
      <c r="L2910" s="1">
        <v>7.0</v>
      </c>
      <c r="O2910" s="3"/>
      <c r="S2910" s="4"/>
    </row>
    <row r="2911" ht="14.25" customHeight="1">
      <c r="A2911" s="1" t="s">
        <v>5872</v>
      </c>
      <c r="B2911" s="1">
        <v>79.0</v>
      </c>
      <c r="C2911" s="1">
        <v>4350774.0</v>
      </c>
      <c r="D2911" s="1" t="s">
        <v>828</v>
      </c>
      <c r="E2911" s="1" t="s">
        <v>206</v>
      </c>
      <c r="F2911" s="1" t="s">
        <v>5873</v>
      </c>
      <c r="G2911" s="1">
        <v>10476.0</v>
      </c>
      <c r="H2911" s="1">
        <v>52.0</v>
      </c>
      <c r="I2911" s="1" t="s">
        <v>16</v>
      </c>
      <c r="J2911" s="1">
        <v>8000000.0</v>
      </c>
      <c r="K2911" s="1">
        <v>1994.0</v>
      </c>
      <c r="L2911" s="1">
        <v>6.5</v>
      </c>
      <c r="O2911" s="3"/>
      <c r="S2911" s="4"/>
    </row>
    <row r="2912" ht="14.25" customHeight="1">
      <c r="A2912" s="1" t="s">
        <v>5140</v>
      </c>
      <c r="B2912" s="1">
        <v>95.0</v>
      </c>
      <c r="C2912" s="1">
        <v>2955039.0</v>
      </c>
      <c r="D2912" s="1" t="s">
        <v>681</v>
      </c>
      <c r="E2912" s="1" t="s">
        <v>2623</v>
      </c>
      <c r="F2912" s="1" t="s">
        <v>5874</v>
      </c>
      <c r="G2912" s="1">
        <v>3624.0</v>
      </c>
      <c r="H2912" s="1">
        <v>27.0</v>
      </c>
      <c r="I2912" s="1" t="s">
        <v>16</v>
      </c>
      <c r="J2912" s="1">
        <v>9000000.0</v>
      </c>
      <c r="K2912" s="1">
        <v>2007.0</v>
      </c>
      <c r="L2912" s="1">
        <v>6.2</v>
      </c>
      <c r="O2912" s="3"/>
      <c r="S2912" s="4"/>
    </row>
    <row r="2913" ht="14.25" customHeight="1">
      <c r="A2913" s="1" t="s">
        <v>4572</v>
      </c>
      <c r="B2913" s="1">
        <v>103.0</v>
      </c>
      <c r="C2913" s="1">
        <v>1530535.0</v>
      </c>
      <c r="D2913" s="1" t="s">
        <v>593</v>
      </c>
      <c r="E2913" s="1" t="s">
        <v>4185</v>
      </c>
      <c r="F2913" s="1" t="s">
        <v>5875</v>
      </c>
      <c r="G2913" s="1">
        <v>7833.0</v>
      </c>
      <c r="H2913" s="1">
        <v>63.0</v>
      </c>
      <c r="I2913" s="1" t="s">
        <v>16</v>
      </c>
      <c r="J2913" s="1">
        <v>9000000.0</v>
      </c>
      <c r="K2913" s="1">
        <v>2005.0</v>
      </c>
      <c r="L2913" s="1">
        <v>5.7</v>
      </c>
      <c r="O2913" s="3"/>
      <c r="S2913" s="4"/>
    </row>
    <row r="2914" ht="14.25" customHeight="1">
      <c r="A2914" s="1" t="s">
        <v>4237</v>
      </c>
      <c r="B2914" s="1">
        <v>92.0</v>
      </c>
      <c r="C2914" s="1">
        <v>4881867.0</v>
      </c>
      <c r="D2914" s="1" t="s">
        <v>3022</v>
      </c>
      <c r="E2914" s="1" t="s">
        <v>1216</v>
      </c>
      <c r="F2914" s="1" t="s">
        <v>5876</v>
      </c>
      <c r="G2914" s="1">
        <v>15200.0</v>
      </c>
      <c r="H2914" s="1">
        <v>76.0</v>
      </c>
      <c r="I2914" s="1" t="s">
        <v>16</v>
      </c>
      <c r="J2914" s="1">
        <v>9000000.0</v>
      </c>
      <c r="K2914" s="1">
        <v>2008.0</v>
      </c>
      <c r="L2914" s="1">
        <v>6.4</v>
      </c>
      <c r="O2914" s="3"/>
      <c r="S2914" s="4"/>
    </row>
    <row r="2915" ht="14.25" customHeight="1">
      <c r="A2915" s="1" t="s">
        <v>4563</v>
      </c>
      <c r="B2915" s="1">
        <v>84.0</v>
      </c>
      <c r="C2915" s="1">
        <v>1.1860839E7</v>
      </c>
      <c r="D2915" s="1" t="s">
        <v>1651</v>
      </c>
      <c r="E2915" s="1" t="s">
        <v>1432</v>
      </c>
      <c r="F2915" s="1" t="s">
        <v>5877</v>
      </c>
      <c r="G2915" s="1">
        <v>5156.0</v>
      </c>
      <c r="H2915" s="1">
        <v>21.0</v>
      </c>
      <c r="I2915" s="1" t="s">
        <v>16</v>
      </c>
      <c r="J2915" s="1">
        <v>9000000.0</v>
      </c>
      <c r="K2915" s="1">
        <v>2011.0</v>
      </c>
      <c r="L2915" s="1">
        <v>5.4</v>
      </c>
      <c r="O2915" s="3"/>
      <c r="S2915" s="4"/>
    </row>
    <row r="2916" ht="14.25" customHeight="1">
      <c r="A2916" s="1" t="s">
        <v>5878</v>
      </c>
      <c r="B2916" s="1">
        <v>300.0</v>
      </c>
      <c r="C2916" s="1">
        <v>454255.0</v>
      </c>
      <c r="D2916" s="1" t="s">
        <v>464</v>
      </c>
      <c r="E2916" s="1" t="s">
        <v>5879</v>
      </c>
      <c r="F2916" s="1" t="s">
        <v>5880</v>
      </c>
      <c r="G2916" s="1">
        <v>1666.0</v>
      </c>
      <c r="H2916" s="1">
        <v>47.0</v>
      </c>
      <c r="I2916" s="1" t="s">
        <v>5059</v>
      </c>
      <c r="J2916" s="1">
        <v>4.0E8</v>
      </c>
      <c r="K2916" s="1">
        <v>2001.0</v>
      </c>
      <c r="L2916" s="1">
        <v>6.6</v>
      </c>
      <c r="O2916" s="3"/>
      <c r="S2916" s="4"/>
    </row>
    <row r="2917" ht="14.25" customHeight="1">
      <c r="A2917" s="1" t="s">
        <v>5881</v>
      </c>
      <c r="B2917" s="1">
        <v>120.0</v>
      </c>
      <c r="C2917" s="1">
        <v>349618.0</v>
      </c>
      <c r="D2917" s="1" t="s">
        <v>2551</v>
      </c>
      <c r="E2917" s="1" t="s">
        <v>4160</v>
      </c>
      <c r="F2917" s="1" t="s">
        <v>5882</v>
      </c>
      <c r="G2917" s="1">
        <v>4302.0</v>
      </c>
      <c r="H2917" s="1">
        <v>45.0</v>
      </c>
      <c r="I2917" s="1" t="s">
        <v>16</v>
      </c>
      <c r="J2917" s="1">
        <v>9000000.0</v>
      </c>
      <c r="K2917" s="1">
        <v>1990.0</v>
      </c>
      <c r="L2917" s="1">
        <v>6.1</v>
      </c>
      <c r="O2917" s="3"/>
      <c r="S2917" s="4"/>
    </row>
    <row r="2918" ht="14.25" customHeight="1">
      <c r="A2918" s="1" t="s">
        <v>4377</v>
      </c>
      <c r="B2918" s="1">
        <v>121.0</v>
      </c>
      <c r="C2918" s="1">
        <v>112935.0</v>
      </c>
      <c r="D2918" s="1" t="s">
        <v>1391</v>
      </c>
      <c r="E2918" s="1" t="s">
        <v>5152</v>
      </c>
      <c r="F2918" s="1" t="s">
        <v>5883</v>
      </c>
      <c r="G2918" s="1">
        <v>8161.0</v>
      </c>
      <c r="H2918" s="1">
        <v>94.0</v>
      </c>
      <c r="I2918" s="1" t="s">
        <v>16</v>
      </c>
      <c r="J2918" s="1">
        <v>9000000.0</v>
      </c>
      <c r="K2918" s="1">
        <v>2002.0</v>
      </c>
      <c r="L2918" s="1">
        <v>7.6</v>
      </c>
      <c r="O2918" s="3"/>
      <c r="S2918" s="4"/>
    </row>
    <row r="2919" ht="14.25" customHeight="1">
      <c r="A2919" s="1" t="s">
        <v>5884</v>
      </c>
      <c r="B2919" s="1">
        <v>97.0</v>
      </c>
      <c r="C2919" s="1">
        <v>883887.0</v>
      </c>
      <c r="D2919" s="1" t="s">
        <v>1391</v>
      </c>
      <c r="E2919" s="1" t="s">
        <v>5885</v>
      </c>
      <c r="F2919" s="1" t="s">
        <v>5886</v>
      </c>
      <c r="G2919" s="1">
        <v>1201.0</v>
      </c>
      <c r="H2919" s="1">
        <v>14.0</v>
      </c>
      <c r="I2919" s="1" t="s">
        <v>16</v>
      </c>
      <c r="J2919" s="1">
        <v>9000000.0</v>
      </c>
      <c r="K2919" s="1">
        <v>2009.0</v>
      </c>
      <c r="L2919" s="1">
        <v>6.2</v>
      </c>
      <c r="O2919" s="3"/>
      <c r="S2919" s="4"/>
    </row>
    <row r="2920" ht="14.25" customHeight="1">
      <c r="A2920" s="1" t="s">
        <v>5013</v>
      </c>
      <c r="B2920" s="1">
        <v>86.0</v>
      </c>
      <c r="C2920" s="1">
        <v>13751.0</v>
      </c>
      <c r="D2920" s="1" t="s">
        <v>2844</v>
      </c>
      <c r="E2920" s="1" t="s">
        <v>5887</v>
      </c>
      <c r="F2920" s="1" t="s">
        <v>5888</v>
      </c>
      <c r="G2920" s="1">
        <v>813.0</v>
      </c>
      <c r="H2920" s="1">
        <v>6.0</v>
      </c>
      <c r="I2920" s="1" t="s">
        <v>16</v>
      </c>
      <c r="J2920" s="1">
        <v>1.14E7</v>
      </c>
      <c r="K2920" s="1">
        <v>2006.0</v>
      </c>
      <c r="L2920" s="1">
        <v>6.6</v>
      </c>
      <c r="O2920" s="3"/>
      <c r="S2920" s="4"/>
    </row>
    <row r="2921" ht="14.25" customHeight="1">
      <c r="A2921" s="1" t="s">
        <v>5889</v>
      </c>
      <c r="B2921" s="1">
        <v>45.0</v>
      </c>
      <c r="C2921" s="1">
        <v>145109.0</v>
      </c>
      <c r="D2921" s="1" t="s">
        <v>920</v>
      </c>
      <c r="E2921" s="1" t="s">
        <v>5890</v>
      </c>
      <c r="F2921" s="1" t="s">
        <v>5891</v>
      </c>
      <c r="G2921" s="1">
        <v>14247.0</v>
      </c>
      <c r="H2921" s="1">
        <v>44.0</v>
      </c>
      <c r="I2921" s="1" t="s">
        <v>5892</v>
      </c>
      <c r="J2921" s="1">
        <v>4.5E7</v>
      </c>
      <c r="K2921" s="1">
        <v>2008.0</v>
      </c>
      <c r="L2921" s="1">
        <v>7.3</v>
      </c>
      <c r="O2921" s="3"/>
      <c r="S2921" s="4"/>
    </row>
    <row r="2922" ht="14.25" customHeight="1">
      <c r="A2922" s="1" t="s">
        <v>5893</v>
      </c>
      <c r="B2922" s="1">
        <v>97.0</v>
      </c>
      <c r="C2922" s="1">
        <v>1046166.0</v>
      </c>
      <c r="D2922" s="1" t="s">
        <v>4674</v>
      </c>
      <c r="E2922" s="1" t="s">
        <v>2456</v>
      </c>
      <c r="F2922" s="1" t="s">
        <v>5894</v>
      </c>
      <c r="G2922" s="1">
        <v>2599.0</v>
      </c>
      <c r="H2922" s="1">
        <v>45.0</v>
      </c>
      <c r="I2922" s="1" t="s">
        <v>16</v>
      </c>
      <c r="J2922" s="1">
        <v>9000000.0</v>
      </c>
      <c r="K2922" s="1">
        <v>2005.0</v>
      </c>
      <c r="L2922" s="1">
        <v>4.2</v>
      </c>
      <c r="O2922" s="3"/>
      <c r="S2922" s="4"/>
    </row>
    <row r="2923" ht="14.25" customHeight="1">
      <c r="A2923" s="1" t="s">
        <v>5895</v>
      </c>
      <c r="B2923" s="1">
        <v>93.0</v>
      </c>
      <c r="C2923" s="1">
        <v>1.74635E8</v>
      </c>
      <c r="D2923" s="1" t="s">
        <v>1720</v>
      </c>
      <c r="E2923" s="1" t="s">
        <v>3652</v>
      </c>
      <c r="F2923" s="1" t="s">
        <v>5896</v>
      </c>
      <c r="G2923" s="1">
        <v>74743.0</v>
      </c>
      <c r="H2923" s="1">
        <v>93.0</v>
      </c>
      <c r="I2923" s="1" t="s">
        <v>16</v>
      </c>
      <c r="J2923" s="1">
        <v>8800000.0</v>
      </c>
      <c r="K2923" s="1">
        <v>1986.0</v>
      </c>
      <c r="L2923" s="1">
        <v>6.5</v>
      </c>
      <c r="O2923" s="3"/>
      <c r="S2923" s="4"/>
    </row>
    <row r="2924" ht="14.25" customHeight="1">
      <c r="A2924" s="1" t="s">
        <v>5897</v>
      </c>
      <c r="B2924" s="1">
        <v>84.0</v>
      </c>
      <c r="C2924" s="1">
        <v>1.4373825E7</v>
      </c>
      <c r="D2924" s="1" t="s">
        <v>938</v>
      </c>
      <c r="E2924" s="1" t="s">
        <v>5898</v>
      </c>
      <c r="F2924" s="1" t="s">
        <v>5899</v>
      </c>
      <c r="G2924" s="1">
        <v>63216.0</v>
      </c>
      <c r="H2924" s="1">
        <v>196.0</v>
      </c>
      <c r="I2924" s="1" t="s">
        <v>16</v>
      </c>
      <c r="J2924" s="1">
        <v>8600000.0</v>
      </c>
      <c r="K2924" s="1">
        <v>2007.0</v>
      </c>
      <c r="L2924" s="1">
        <v>6.5</v>
      </c>
      <c r="O2924" s="3"/>
      <c r="S2924" s="4"/>
    </row>
    <row r="2925" ht="14.25" customHeight="1">
      <c r="A2925" s="1" t="s">
        <v>5900</v>
      </c>
      <c r="B2925" s="1">
        <v>96.0</v>
      </c>
      <c r="C2925" s="1">
        <v>162.0</v>
      </c>
      <c r="D2925" s="1" t="s">
        <v>146</v>
      </c>
      <c r="E2925" s="1" t="s">
        <v>2561</v>
      </c>
      <c r="F2925" s="1" t="s">
        <v>5901</v>
      </c>
      <c r="G2925" s="1">
        <v>5228.0</v>
      </c>
      <c r="H2925" s="1">
        <v>38.0</v>
      </c>
      <c r="I2925" s="1" t="s">
        <v>16</v>
      </c>
      <c r="J2925" s="1">
        <v>9000000.0</v>
      </c>
      <c r="K2925" s="1">
        <v>2014.0</v>
      </c>
      <c r="L2925" s="1">
        <v>5.7</v>
      </c>
      <c r="O2925" s="3"/>
      <c r="S2925" s="4"/>
    </row>
    <row r="2926" ht="14.25" customHeight="1">
      <c r="A2926" s="1" t="s">
        <v>1976</v>
      </c>
      <c r="B2926" s="1">
        <v>112.0</v>
      </c>
      <c r="C2926" s="1">
        <v>3.9462438E7</v>
      </c>
      <c r="D2926" s="1" t="s">
        <v>3098</v>
      </c>
      <c r="E2926" s="1" t="s">
        <v>130</v>
      </c>
      <c r="F2926" s="1" t="s">
        <v>5902</v>
      </c>
      <c r="G2926" s="1">
        <v>67760.0</v>
      </c>
      <c r="H2926" s="1">
        <v>226.0</v>
      </c>
      <c r="I2926" s="1" t="s">
        <v>16</v>
      </c>
      <c r="J2926" s="1">
        <v>7000000.0</v>
      </c>
      <c r="K2926" s="1">
        <v>2009.0</v>
      </c>
      <c r="L2926" s="1">
        <v>7.3</v>
      </c>
      <c r="O2926" s="3"/>
      <c r="S2926" s="4"/>
    </row>
    <row r="2927" ht="14.25" customHeight="1">
      <c r="A2927" s="1" t="s">
        <v>5903</v>
      </c>
      <c r="B2927" s="1">
        <v>125.0</v>
      </c>
      <c r="C2927" s="1">
        <v>2.92E7</v>
      </c>
      <c r="D2927" s="1" t="s">
        <v>3098</v>
      </c>
      <c r="E2927" s="1" t="s">
        <v>5904</v>
      </c>
      <c r="F2927" s="1" t="s">
        <v>5905</v>
      </c>
      <c r="G2927" s="1">
        <v>6142.0</v>
      </c>
      <c r="H2927" s="1">
        <v>52.0</v>
      </c>
      <c r="I2927" s="1" t="s">
        <v>16</v>
      </c>
      <c r="J2927" s="1">
        <v>8500000.0</v>
      </c>
      <c r="K2927" s="1">
        <v>1979.0</v>
      </c>
      <c r="L2927" s="1">
        <v>6.9</v>
      </c>
      <c r="O2927" s="3"/>
      <c r="S2927" s="4"/>
    </row>
    <row r="2928" ht="14.25" customHeight="1">
      <c r="A2928" s="1" t="s">
        <v>5906</v>
      </c>
      <c r="B2928" s="1">
        <v>96.0</v>
      </c>
      <c r="C2928" s="1">
        <v>2.1564616E7</v>
      </c>
      <c r="D2928" s="1" t="s">
        <v>828</v>
      </c>
      <c r="E2928" s="1" t="s">
        <v>705</v>
      </c>
      <c r="F2928" s="1" t="s">
        <v>5907</v>
      </c>
      <c r="G2928" s="1">
        <v>7098.0</v>
      </c>
      <c r="H2928" s="1">
        <v>41.0</v>
      </c>
      <c r="I2928" s="1" t="s">
        <v>16</v>
      </c>
      <c r="J2928" s="1">
        <v>8500000.0</v>
      </c>
      <c r="K2928" s="1">
        <v>2013.0</v>
      </c>
      <c r="L2928" s="1">
        <v>5.0</v>
      </c>
      <c r="O2928" s="3"/>
      <c r="S2928" s="4"/>
    </row>
    <row r="2929" ht="14.25" customHeight="1">
      <c r="A2929" s="1" t="s">
        <v>3242</v>
      </c>
      <c r="B2929" s="1">
        <v>103.0</v>
      </c>
      <c r="C2929" s="1">
        <v>1.4879556E7</v>
      </c>
      <c r="D2929" s="1" t="s">
        <v>1059</v>
      </c>
      <c r="E2929" s="1" t="s">
        <v>383</v>
      </c>
      <c r="F2929" s="1" t="s">
        <v>5908</v>
      </c>
      <c r="G2929" s="1">
        <v>73640.0</v>
      </c>
      <c r="H2929" s="1">
        <v>441.0</v>
      </c>
      <c r="I2929" s="1" t="s">
        <v>16</v>
      </c>
      <c r="J2929" s="1">
        <v>8000000.0</v>
      </c>
      <c r="K2929" s="1">
        <v>1999.0</v>
      </c>
      <c r="L2929" s="1">
        <v>7.3</v>
      </c>
      <c r="O2929" s="3"/>
      <c r="S2929" s="4"/>
    </row>
    <row r="2930" ht="14.25" customHeight="1">
      <c r="A2930" s="1" t="s">
        <v>5909</v>
      </c>
      <c r="B2930" s="1">
        <v>101.0</v>
      </c>
      <c r="C2930" s="1">
        <v>3.4017854E7</v>
      </c>
      <c r="D2930" s="1" t="s">
        <v>828</v>
      </c>
      <c r="E2930" s="1" t="s">
        <v>918</v>
      </c>
      <c r="F2930" s="1" t="s">
        <v>5910</v>
      </c>
      <c r="G2930" s="1">
        <v>51326.0</v>
      </c>
      <c r="H2930" s="1">
        <v>116.0</v>
      </c>
      <c r="I2930" s="1" t="s">
        <v>16</v>
      </c>
      <c r="J2930" s="1">
        <v>8500000.0</v>
      </c>
      <c r="K2930" s="1">
        <v>2015.0</v>
      </c>
      <c r="L2930" s="1">
        <v>6.5</v>
      </c>
      <c r="O2930" s="3"/>
      <c r="S2930" s="4"/>
    </row>
    <row r="2931" ht="14.25" customHeight="1">
      <c r="A2931" s="1" t="s">
        <v>5911</v>
      </c>
      <c r="B2931" s="1">
        <v>104.0</v>
      </c>
      <c r="C2931" s="1">
        <v>4273372.0</v>
      </c>
      <c r="D2931" s="1" t="s">
        <v>3098</v>
      </c>
      <c r="E2931" s="1" t="s">
        <v>5912</v>
      </c>
      <c r="F2931" s="1" t="s">
        <v>5913</v>
      </c>
      <c r="G2931" s="1">
        <v>19412.0</v>
      </c>
      <c r="H2931" s="1">
        <v>308.0</v>
      </c>
      <c r="I2931" s="1" t="s">
        <v>16</v>
      </c>
      <c r="J2931" s="1">
        <v>2.2E7</v>
      </c>
      <c r="K2931" s="1">
        <v>2001.0</v>
      </c>
      <c r="L2931" s="1">
        <v>2.1</v>
      </c>
      <c r="O2931" s="3"/>
      <c r="S2931" s="4"/>
    </row>
    <row r="2932" ht="14.25" customHeight="1">
      <c r="A2932" s="1" t="s">
        <v>5425</v>
      </c>
      <c r="B2932" s="1">
        <v>119.0</v>
      </c>
      <c r="C2932" s="1">
        <v>4440055.0</v>
      </c>
      <c r="D2932" s="1" t="s">
        <v>2521</v>
      </c>
      <c r="E2932" s="1" t="s">
        <v>773</v>
      </c>
      <c r="F2932" s="1" t="s">
        <v>5914</v>
      </c>
      <c r="G2932" s="1">
        <v>21360.0</v>
      </c>
      <c r="H2932" s="1">
        <v>110.0</v>
      </c>
      <c r="I2932" s="1" t="s">
        <v>16</v>
      </c>
      <c r="J2932" s="1">
        <v>8500000.0</v>
      </c>
      <c r="K2932" s="1">
        <v>2009.0</v>
      </c>
      <c r="L2932" s="1">
        <v>7.0</v>
      </c>
      <c r="O2932" s="3"/>
      <c r="S2932" s="4"/>
    </row>
    <row r="2933" ht="14.25" customHeight="1">
      <c r="A2933" s="1" t="s">
        <v>5552</v>
      </c>
      <c r="B2933" s="1">
        <v>128.0</v>
      </c>
      <c r="C2933" s="1">
        <v>4018695.0</v>
      </c>
      <c r="D2933" s="1" t="s">
        <v>761</v>
      </c>
      <c r="E2933" s="1" t="s">
        <v>5553</v>
      </c>
      <c r="F2933" s="1" t="s">
        <v>5915</v>
      </c>
      <c r="G2933" s="1">
        <v>69759.0</v>
      </c>
      <c r="H2933" s="1">
        <v>235.0</v>
      </c>
      <c r="I2933" s="1" t="s">
        <v>5555</v>
      </c>
      <c r="J2933" s="1">
        <v>1.2E7</v>
      </c>
      <c r="K2933" s="1">
        <v>2010.0</v>
      </c>
      <c r="L2933" s="1">
        <v>8.0</v>
      </c>
      <c r="O2933" s="3"/>
      <c r="S2933" s="4"/>
    </row>
    <row r="2934" ht="14.25" customHeight="1">
      <c r="A2934" s="1" t="s">
        <v>4392</v>
      </c>
      <c r="B2934" s="1">
        <v>106.0</v>
      </c>
      <c r="C2934" s="1">
        <v>6262942.0</v>
      </c>
      <c r="D2934" s="1" t="s">
        <v>433</v>
      </c>
      <c r="E2934" s="1" t="s">
        <v>1640</v>
      </c>
      <c r="F2934" s="1" t="s">
        <v>5916</v>
      </c>
      <c r="G2934" s="1">
        <v>59545.0</v>
      </c>
      <c r="H2934" s="1">
        <v>312.0</v>
      </c>
      <c r="I2934" s="1" t="s">
        <v>16</v>
      </c>
      <c r="J2934" s="1">
        <v>9000000.0</v>
      </c>
      <c r="K2934" s="1">
        <v>2013.0</v>
      </c>
      <c r="L2934" s="1">
        <v>6.9</v>
      </c>
      <c r="O2934" s="3"/>
      <c r="S2934" s="4"/>
    </row>
    <row r="2935" ht="14.25" customHeight="1">
      <c r="A2935" s="1" t="s">
        <v>5917</v>
      </c>
      <c r="B2935" s="1">
        <v>126.0</v>
      </c>
      <c r="C2935" s="1">
        <v>1997807.0</v>
      </c>
      <c r="D2935" s="1" t="s">
        <v>761</v>
      </c>
      <c r="E2935" s="1" t="s">
        <v>5918</v>
      </c>
      <c r="F2935" s="1" t="s">
        <v>5919</v>
      </c>
      <c r="G2935" s="1">
        <v>5158.0</v>
      </c>
      <c r="H2935" s="1">
        <v>140.0</v>
      </c>
      <c r="I2935" s="1" t="s">
        <v>16</v>
      </c>
      <c r="J2935" s="1">
        <v>8000000.0</v>
      </c>
      <c r="K2935" s="1">
        <v>1999.0</v>
      </c>
      <c r="L2935" s="1">
        <v>7.1</v>
      </c>
      <c r="O2935" s="3"/>
      <c r="S2935" s="4"/>
    </row>
    <row r="2936" ht="14.25" customHeight="1">
      <c r="A2936" s="1" t="s">
        <v>2479</v>
      </c>
      <c r="B2936" s="1">
        <v>126.0</v>
      </c>
      <c r="C2936" s="1">
        <v>9.08E7</v>
      </c>
      <c r="D2936" s="1" t="s">
        <v>2480</v>
      </c>
      <c r="E2936" s="1" t="s">
        <v>2481</v>
      </c>
      <c r="F2936" s="1" t="s">
        <v>2482</v>
      </c>
      <c r="G2936" s="1">
        <v>126916.0</v>
      </c>
      <c r="H2936" s="1">
        <v>235.0</v>
      </c>
      <c r="I2936" s="1" t="s">
        <v>16</v>
      </c>
      <c r="J2936" s="1">
        <v>8000000.0</v>
      </c>
      <c r="K2936" s="1">
        <v>1984.0</v>
      </c>
      <c r="L2936" s="1">
        <v>7.2</v>
      </c>
      <c r="O2936" s="3"/>
      <c r="S2936" s="4"/>
    </row>
    <row r="2937" ht="14.25" customHeight="1">
      <c r="A2937" s="1" t="s">
        <v>5575</v>
      </c>
      <c r="B2937" s="1">
        <v>150.0</v>
      </c>
      <c r="C2937" s="1">
        <v>140244.0</v>
      </c>
      <c r="D2937" s="1" t="s">
        <v>5920</v>
      </c>
      <c r="E2937" s="1" t="s">
        <v>2351</v>
      </c>
      <c r="F2937" s="1" t="s">
        <v>5921</v>
      </c>
      <c r="G2937" s="1">
        <v>20419.0</v>
      </c>
      <c r="H2937" s="1">
        <v>259.0</v>
      </c>
      <c r="I2937" s="1" t="s">
        <v>16</v>
      </c>
      <c r="J2937" s="1">
        <v>8500000.0</v>
      </c>
      <c r="K2937" s="1">
        <v>2008.0</v>
      </c>
      <c r="L2937" s="1">
        <v>6.7</v>
      </c>
      <c r="O2937" s="3"/>
      <c r="S2937" s="4"/>
    </row>
    <row r="2938" ht="14.25" customHeight="1">
      <c r="A2938" s="1" t="s">
        <v>734</v>
      </c>
      <c r="B2938" s="1">
        <v>178.0</v>
      </c>
      <c r="C2938" s="1">
        <v>1.0793E8</v>
      </c>
      <c r="D2938" s="1" t="s">
        <v>811</v>
      </c>
      <c r="E2938" s="1" t="s">
        <v>415</v>
      </c>
      <c r="F2938" s="1" t="s">
        <v>5922</v>
      </c>
      <c r="G2938" s="1">
        <v>1324680.0</v>
      </c>
      <c r="H2938" s="1">
        <v>2195.0</v>
      </c>
      <c r="I2938" s="1" t="s">
        <v>16</v>
      </c>
      <c r="J2938" s="1">
        <v>8000000.0</v>
      </c>
      <c r="K2938" s="1">
        <v>1994.0</v>
      </c>
      <c r="L2938" s="1">
        <v>8.9</v>
      </c>
      <c r="O2938" s="3"/>
      <c r="S2938" s="4"/>
    </row>
    <row r="2939" ht="14.25" customHeight="1">
      <c r="A2939" s="1" t="s">
        <v>5923</v>
      </c>
      <c r="B2939" s="1">
        <v>117.0</v>
      </c>
      <c r="C2939" s="1">
        <v>3.2279955E7</v>
      </c>
      <c r="D2939" s="1" t="s">
        <v>901</v>
      </c>
      <c r="E2939" s="1" t="s">
        <v>162</v>
      </c>
      <c r="F2939" s="1" t="s">
        <v>5924</v>
      </c>
      <c r="G2939" s="1">
        <v>293304.0</v>
      </c>
      <c r="H2939" s="1">
        <v>552.0</v>
      </c>
      <c r="I2939" s="1" t="s">
        <v>16</v>
      </c>
      <c r="J2939" s="1">
        <v>8500000.0</v>
      </c>
      <c r="K2939" s="1">
        <v>2014.0</v>
      </c>
      <c r="L2939" s="1">
        <v>7.9</v>
      </c>
      <c r="O2939" s="3"/>
      <c r="S2939" s="4"/>
    </row>
    <row r="2940" ht="14.25" customHeight="1">
      <c r="A2940" s="1" t="s">
        <v>1996</v>
      </c>
      <c r="B2940" s="1">
        <v>119.0</v>
      </c>
      <c r="C2940" s="1">
        <v>4992159.0</v>
      </c>
      <c r="D2940" s="1" t="s">
        <v>4899</v>
      </c>
      <c r="E2940" s="1" t="s">
        <v>4765</v>
      </c>
      <c r="F2940" s="1" t="s">
        <v>5925</v>
      </c>
      <c r="G2940" s="1">
        <v>23823.0</v>
      </c>
      <c r="H2940" s="1">
        <v>201.0</v>
      </c>
      <c r="I2940" s="1" t="s">
        <v>16</v>
      </c>
      <c r="J2940" s="1">
        <v>8550000.0</v>
      </c>
      <c r="K2940" s="1">
        <v>2004.0</v>
      </c>
      <c r="L2940" s="1">
        <v>5.6</v>
      </c>
      <c r="O2940" s="3"/>
      <c r="S2940" s="4"/>
    </row>
    <row r="2941" ht="14.25" customHeight="1">
      <c r="A2941" s="1" t="s">
        <v>2897</v>
      </c>
      <c r="B2941" s="1">
        <v>174.0</v>
      </c>
      <c r="C2941" s="1">
        <v>1.63214286E8</v>
      </c>
      <c r="D2941" s="1" t="s">
        <v>5926</v>
      </c>
      <c r="E2941" s="1" t="s">
        <v>5927</v>
      </c>
      <c r="F2941" s="1" t="s">
        <v>5928</v>
      </c>
      <c r="G2941" s="1">
        <v>148172.0</v>
      </c>
      <c r="H2941" s="1">
        <v>406.0</v>
      </c>
      <c r="I2941" s="1" t="s">
        <v>16</v>
      </c>
      <c r="J2941" s="1">
        <v>8200000.0</v>
      </c>
      <c r="K2941" s="1">
        <v>1965.0</v>
      </c>
      <c r="L2941" s="1">
        <v>8.0</v>
      </c>
      <c r="O2941" s="3"/>
      <c r="S2941" s="4"/>
    </row>
    <row r="2942" ht="14.25" customHeight="1">
      <c r="A2942" s="1" t="s">
        <v>361</v>
      </c>
      <c r="B2942" s="1">
        <v>111.0</v>
      </c>
      <c r="C2942" s="1">
        <v>6.98E7</v>
      </c>
      <c r="D2942" s="1" t="s">
        <v>1481</v>
      </c>
      <c r="E2942" s="1" t="s">
        <v>140</v>
      </c>
      <c r="F2942" s="1" t="s">
        <v>5929</v>
      </c>
      <c r="G2942" s="1">
        <v>54723.0</v>
      </c>
      <c r="H2942" s="1">
        <v>99.0</v>
      </c>
      <c r="I2942" s="1" t="s">
        <v>16</v>
      </c>
      <c r="J2942" s="1">
        <v>8000000.0</v>
      </c>
      <c r="K2942" s="1">
        <v>1984.0</v>
      </c>
      <c r="L2942" s="1">
        <v>6.2</v>
      </c>
      <c r="O2942" s="3"/>
      <c r="S2942" s="4"/>
    </row>
    <row r="2943" ht="14.25" customHeight="1">
      <c r="A2943" s="1" t="s">
        <v>5930</v>
      </c>
      <c r="B2943" s="1">
        <v>101.0</v>
      </c>
      <c r="C2943" s="1">
        <v>5.9889948E7</v>
      </c>
      <c r="D2943" s="1" t="s">
        <v>1059</v>
      </c>
      <c r="E2943" s="1" t="s">
        <v>1222</v>
      </c>
      <c r="F2943" s="1" t="s">
        <v>5931</v>
      </c>
      <c r="G2943" s="1">
        <v>355810.0</v>
      </c>
      <c r="H2943" s="1">
        <v>889.0</v>
      </c>
      <c r="I2943" s="1" t="s">
        <v>16</v>
      </c>
      <c r="J2943" s="1">
        <v>8000000.0</v>
      </c>
      <c r="K2943" s="1">
        <v>2006.0</v>
      </c>
      <c r="L2943" s="1">
        <v>7.9</v>
      </c>
      <c r="O2943" s="3"/>
      <c r="S2943" s="4"/>
    </row>
    <row r="2944" ht="14.25" customHeight="1">
      <c r="A2944" s="1" t="s">
        <v>1580</v>
      </c>
      <c r="B2944" s="1">
        <v>89.0</v>
      </c>
      <c r="C2944" s="1">
        <v>5.2287414E7</v>
      </c>
      <c r="D2944" s="1" t="s">
        <v>2805</v>
      </c>
      <c r="E2944" s="1" t="s">
        <v>5932</v>
      </c>
      <c r="F2944" s="1" t="s">
        <v>5933</v>
      </c>
      <c r="G2944" s="1">
        <v>271794.0</v>
      </c>
      <c r="H2944" s="1">
        <v>584.0</v>
      </c>
      <c r="I2944" s="1" t="s">
        <v>16</v>
      </c>
      <c r="J2944" s="1">
        <v>8000000.0</v>
      </c>
      <c r="K2944" s="1">
        <v>1986.0</v>
      </c>
      <c r="L2944" s="1">
        <v>8.1</v>
      </c>
      <c r="O2944" s="3"/>
      <c r="S2944" s="4"/>
    </row>
    <row r="2945" ht="14.25" customHeight="1">
      <c r="A2945" s="1" t="s">
        <v>2132</v>
      </c>
      <c r="B2945" s="1">
        <v>113.0</v>
      </c>
      <c r="C2945" s="1">
        <v>4.5063889E7</v>
      </c>
      <c r="D2945" s="1" t="s">
        <v>1486</v>
      </c>
      <c r="E2945" s="1" t="s">
        <v>5934</v>
      </c>
      <c r="F2945" s="1" t="s">
        <v>5935</v>
      </c>
      <c r="G2945" s="1">
        <v>297250.0</v>
      </c>
      <c r="H2945" s="1">
        <v>1441.0</v>
      </c>
      <c r="I2945" s="1" t="s">
        <v>16</v>
      </c>
      <c r="J2945" s="1">
        <v>8000000.0</v>
      </c>
      <c r="K2945" s="1">
        <v>2002.0</v>
      </c>
      <c r="L2945" s="1">
        <v>7.6</v>
      </c>
      <c r="O2945" s="3"/>
      <c r="S2945" s="4"/>
    </row>
    <row r="2946" ht="14.25" customHeight="1">
      <c r="A2946" s="1" t="s">
        <v>5936</v>
      </c>
      <c r="B2946" s="1">
        <v>95.0</v>
      </c>
      <c r="C2946" s="1">
        <v>4.0066497E7</v>
      </c>
      <c r="D2946" s="1" t="s">
        <v>2466</v>
      </c>
      <c r="E2946" s="1" t="s">
        <v>5937</v>
      </c>
      <c r="F2946" s="1" t="s">
        <v>5938</v>
      </c>
      <c r="G2946" s="1">
        <v>23671.0</v>
      </c>
      <c r="H2946" s="1">
        <v>247.0</v>
      </c>
      <c r="I2946" s="1" t="s">
        <v>16</v>
      </c>
      <c r="J2946" s="1">
        <v>8000000.0</v>
      </c>
      <c r="K2946" s="1">
        <v>2004.0</v>
      </c>
      <c r="L2946" s="1">
        <v>3.5</v>
      </c>
      <c r="O2946" s="3"/>
      <c r="S2946" s="4"/>
    </row>
    <row r="2947" ht="14.25" customHeight="1">
      <c r="A2947" s="1" t="s">
        <v>5939</v>
      </c>
      <c r="B2947" s="1">
        <v>112.0</v>
      </c>
      <c r="C2947" s="1">
        <v>3.65E7</v>
      </c>
      <c r="D2947" s="1" t="s">
        <v>716</v>
      </c>
      <c r="E2947" s="1" t="s">
        <v>1506</v>
      </c>
      <c r="F2947" s="1" t="s">
        <v>5940</v>
      </c>
      <c r="G2947" s="1">
        <v>87090.0</v>
      </c>
      <c r="H2947" s="1">
        <v>142.0</v>
      </c>
      <c r="I2947" s="1" t="s">
        <v>16</v>
      </c>
      <c r="J2947" s="1">
        <v>8000000.0</v>
      </c>
      <c r="K2947" s="1">
        <v>1979.0</v>
      </c>
      <c r="L2947" s="1">
        <v>7.6</v>
      </c>
      <c r="O2947" s="3"/>
      <c r="S2947" s="4"/>
    </row>
    <row r="2948" ht="14.25" customHeight="1">
      <c r="A2948" s="1" t="s">
        <v>5115</v>
      </c>
      <c r="B2948" s="1">
        <v>109.0</v>
      </c>
      <c r="C2948" s="1">
        <v>2.7362712E7</v>
      </c>
      <c r="D2948" s="1" t="s">
        <v>2304</v>
      </c>
      <c r="E2948" s="1" t="s">
        <v>5585</v>
      </c>
      <c r="F2948" s="1" t="s">
        <v>5941</v>
      </c>
      <c r="G2948" s="1">
        <v>5971.0</v>
      </c>
      <c r="H2948" s="1">
        <v>60.0</v>
      </c>
      <c r="I2948" s="1" t="s">
        <v>16</v>
      </c>
      <c r="J2948" s="1">
        <v>8000000.0</v>
      </c>
      <c r="K2948" s="1">
        <v>2002.0</v>
      </c>
      <c r="L2948" s="1">
        <v>6.5</v>
      </c>
      <c r="O2948" s="3"/>
      <c r="S2948" s="4"/>
    </row>
    <row r="2949" ht="14.25" customHeight="1">
      <c r="A2949" s="1" t="s">
        <v>5942</v>
      </c>
      <c r="B2949" s="1">
        <v>108.0</v>
      </c>
      <c r="C2949" s="1">
        <v>3.4746109E7</v>
      </c>
      <c r="D2949" s="1" t="s">
        <v>5943</v>
      </c>
      <c r="E2949" s="1" t="s">
        <v>3305</v>
      </c>
      <c r="F2949" s="1" t="s">
        <v>5944</v>
      </c>
      <c r="G2949" s="1">
        <v>3122.0</v>
      </c>
      <c r="H2949" s="1">
        <v>14.0</v>
      </c>
      <c r="I2949" s="1" t="s">
        <v>16</v>
      </c>
      <c r="J2949" s="1">
        <v>8000000.0</v>
      </c>
      <c r="K2949" s="1">
        <v>1996.0</v>
      </c>
      <c r="L2949" s="1">
        <v>5.6</v>
      </c>
      <c r="O2949" s="3"/>
      <c r="S2949" s="4"/>
    </row>
    <row r="2950" ht="14.25" customHeight="1">
      <c r="A2950" s="1" t="s">
        <v>3245</v>
      </c>
      <c r="B2950" s="1">
        <v>100.0</v>
      </c>
      <c r="C2950" s="1">
        <v>3.4963967E7</v>
      </c>
      <c r="D2950" s="1" t="s">
        <v>593</v>
      </c>
      <c r="E2950" s="1" t="s">
        <v>232</v>
      </c>
      <c r="F2950" s="1" t="s">
        <v>5945</v>
      </c>
      <c r="G2950" s="1">
        <v>270441.0</v>
      </c>
      <c r="H2950" s="1">
        <v>378.0</v>
      </c>
      <c r="I2950" s="1" t="s">
        <v>16</v>
      </c>
      <c r="J2950" s="1">
        <v>8000000.0</v>
      </c>
      <c r="K2950" s="1">
        <v>2011.0</v>
      </c>
      <c r="L2950" s="1">
        <v>7.7</v>
      </c>
      <c r="O2950" s="3"/>
      <c r="S2950" s="4"/>
    </row>
    <row r="2951" ht="14.25" customHeight="1">
      <c r="A2951" s="1" t="s">
        <v>5946</v>
      </c>
      <c r="B2951" s="1">
        <v>90.0</v>
      </c>
      <c r="C2951" s="1">
        <v>2.5926543E7</v>
      </c>
      <c r="D2951" s="1" t="s">
        <v>1239</v>
      </c>
      <c r="E2951" s="1" t="s">
        <v>5947</v>
      </c>
      <c r="F2951" s="1" t="s">
        <v>5948</v>
      </c>
      <c r="G2951" s="1">
        <v>26609.0</v>
      </c>
      <c r="H2951" s="1">
        <v>148.0</v>
      </c>
      <c r="I2951" s="1" t="s">
        <v>16</v>
      </c>
      <c r="J2951" s="1">
        <v>8000000.0</v>
      </c>
      <c r="K2951" s="1">
        <v>2008.0</v>
      </c>
      <c r="L2951" s="1">
        <v>5.2</v>
      </c>
      <c r="O2951" s="3"/>
      <c r="S2951" s="4"/>
    </row>
    <row r="2952" ht="14.25" customHeight="1">
      <c r="A2952" s="1" t="s">
        <v>5949</v>
      </c>
      <c r="B2952" s="1">
        <v>94.0</v>
      </c>
      <c r="C2952" s="1">
        <v>2.6049082E7</v>
      </c>
      <c r="D2952" s="1" t="s">
        <v>699</v>
      </c>
      <c r="E2952" s="1" t="s">
        <v>5950</v>
      </c>
      <c r="F2952" s="1" t="s">
        <v>5951</v>
      </c>
      <c r="G2952" s="1">
        <v>76791.0</v>
      </c>
      <c r="H2952" s="1">
        <v>100.0</v>
      </c>
      <c r="I2952" s="1" t="s">
        <v>16</v>
      </c>
      <c r="J2952" s="1">
        <v>8000000.0</v>
      </c>
      <c r="K2952" s="1">
        <v>2014.0</v>
      </c>
      <c r="L2952" s="1">
        <v>6.1</v>
      </c>
      <c r="O2952" s="3"/>
      <c r="S2952" s="4"/>
    </row>
    <row r="2953" ht="14.25" customHeight="1">
      <c r="A2953" s="1" t="s">
        <v>364</v>
      </c>
      <c r="B2953" s="1">
        <v>111.0</v>
      </c>
      <c r="C2953" s="1">
        <v>2.2551E7</v>
      </c>
      <c r="D2953" s="1" t="s">
        <v>593</v>
      </c>
      <c r="E2953" s="1" t="s">
        <v>252</v>
      </c>
      <c r="F2953" s="1" t="s">
        <v>5952</v>
      </c>
      <c r="G2953" s="1">
        <v>37269.0</v>
      </c>
      <c r="H2953" s="1">
        <v>165.0</v>
      </c>
      <c r="I2953" s="1" t="s">
        <v>16</v>
      </c>
      <c r="J2953" s="1">
        <v>8000000.0</v>
      </c>
      <c r="K2953" s="1">
        <v>1993.0</v>
      </c>
      <c r="L2953" s="1">
        <v>7.4</v>
      </c>
      <c r="O2953" s="3"/>
      <c r="S2953" s="4"/>
    </row>
    <row r="2954" ht="14.25" customHeight="1">
      <c r="A2954" s="1" t="s">
        <v>5953</v>
      </c>
      <c r="B2954" s="1">
        <v>142.0</v>
      </c>
      <c r="C2954" s="1">
        <v>2.28E7</v>
      </c>
      <c r="D2954" s="1" t="s">
        <v>22</v>
      </c>
      <c r="E2954" s="1" t="s">
        <v>5954</v>
      </c>
      <c r="F2954" s="1" t="s">
        <v>5955</v>
      </c>
      <c r="G2954" s="1">
        <v>59941.0</v>
      </c>
      <c r="H2954" s="1">
        <v>452.0</v>
      </c>
      <c r="I2954" s="1" t="s">
        <v>16</v>
      </c>
      <c r="J2954" s="1">
        <v>7000000.0</v>
      </c>
      <c r="K2954" s="1">
        <v>1969.0</v>
      </c>
      <c r="L2954" s="1">
        <v>6.8</v>
      </c>
      <c r="O2954" s="3"/>
      <c r="S2954" s="4"/>
    </row>
    <row r="2955" ht="14.25" customHeight="1">
      <c r="A2955" s="1" t="s">
        <v>2511</v>
      </c>
      <c r="B2955" s="1">
        <v>107.0</v>
      </c>
      <c r="C2955" s="1">
        <v>1.8090181E7</v>
      </c>
      <c r="D2955" s="1" t="s">
        <v>1103</v>
      </c>
      <c r="E2955" s="1" t="s">
        <v>5478</v>
      </c>
      <c r="F2955" s="1" t="s">
        <v>5956</v>
      </c>
      <c r="G2955" s="1">
        <v>38191.0</v>
      </c>
      <c r="H2955" s="1">
        <v>271.0</v>
      </c>
      <c r="I2955" s="1" t="s">
        <v>16</v>
      </c>
      <c r="J2955" s="1">
        <v>8000000.0</v>
      </c>
      <c r="K2955" s="1">
        <v>1994.0</v>
      </c>
      <c r="L2955" s="1">
        <v>6.4</v>
      </c>
      <c r="O2955" s="3"/>
      <c r="S2955" s="4"/>
    </row>
    <row r="2956" ht="14.25" customHeight="1">
      <c r="A2956" s="1" t="s">
        <v>2355</v>
      </c>
      <c r="B2956" s="1">
        <v>91.0</v>
      </c>
      <c r="C2956" s="1">
        <v>1.7843379E7</v>
      </c>
      <c r="D2956" s="1" t="s">
        <v>593</v>
      </c>
      <c r="E2956" s="1" t="s">
        <v>5957</v>
      </c>
      <c r="F2956" s="1" t="s">
        <v>5958</v>
      </c>
      <c r="G2956" s="1">
        <v>14904.0</v>
      </c>
      <c r="H2956" s="1">
        <v>147.0</v>
      </c>
      <c r="I2956" s="1" t="s">
        <v>16</v>
      </c>
      <c r="J2956" s="1">
        <v>8000000.0</v>
      </c>
      <c r="K2956" s="1">
        <v>1999.0</v>
      </c>
      <c r="L2956" s="1">
        <v>5.7</v>
      </c>
      <c r="O2956" s="3"/>
      <c r="S2956" s="4"/>
    </row>
    <row r="2957" ht="14.25" customHeight="1">
      <c r="A2957" s="1" t="s">
        <v>5352</v>
      </c>
      <c r="B2957" s="1">
        <v>82.0</v>
      </c>
      <c r="C2957" s="1">
        <v>1.727898E7</v>
      </c>
      <c r="D2957" s="1" t="s">
        <v>427</v>
      </c>
      <c r="E2957" s="1" t="s">
        <v>3734</v>
      </c>
      <c r="F2957" s="1" t="s">
        <v>5959</v>
      </c>
      <c r="G2957" s="1">
        <v>48225.0</v>
      </c>
      <c r="H2957" s="1">
        <v>164.0</v>
      </c>
      <c r="I2957" s="1" t="s">
        <v>16</v>
      </c>
      <c r="J2957" s="1">
        <v>8000000.0</v>
      </c>
      <c r="K2957" s="1">
        <v>1998.0</v>
      </c>
      <c r="L2957" s="1">
        <v>6.7</v>
      </c>
      <c r="O2957" s="3"/>
      <c r="S2957" s="4"/>
    </row>
    <row r="2958" ht="14.25" customHeight="1">
      <c r="A2958" s="1" t="s">
        <v>5960</v>
      </c>
      <c r="B2958" s="1">
        <v>97.0</v>
      </c>
      <c r="C2958" s="1">
        <v>1.6699684E7</v>
      </c>
      <c r="D2958" s="1" t="s">
        <v>699</v>
      </c>
      <c r="E2958" s="1" t="s">
        <v>35</v>
      </c>
      <c r="F2958" s="1" t="s">
        <v>5961</v>
      </c>
      <c r="G2958" s="1">
        <v>17461.0</v>
      </c>
      <c r="H2958" s="1">
        <v>78.0</v>
      </c>
      <c r="I2958" s="1" t="s">
        <v>16</v>
      </c>
      <c r="J2958" s="1">
        <v>8000000.0</v>
      </c>
      <c r="K2958" s="1">
        <v>2009.0</v>
      </c>
      <c r="L2958" s="1">
        <v>5.6</v>
      </c>
      <c r="O2958" s="3"/>
      <c r="S2958" s="4"/>
    </row>
    <row r="2959" ht="14.25" customHeight="1">
      <c r="A2959" s="1" t="s">
        <v>2090</v>
      </c>
      <c r="B2959" s="1">
        <v>128.0</v>
      </c>
      <c r="C2959" s="1">
        <v>5.0815288E7</v>
      </c>
      <c r="D2959" s="1" t="s">
        <v>1654</v>
      </c>
      <c r="E2959" s="1" t="s">
        <v>486</v>
      </c>
      <c r="F2959" s="1" t="s">
        <v>2091</v>
      </c>
      <c r="G2959" s="1">
        <v>109191.0</v>
      </c>
      <c r="H2959" s="1">
        <v>625.0</v>
      </c>
      <c r="I2959" s="1" t="s">
        <v>16</v>
      </c>
      <c r="J2959" s="1">
        <v>5.0E7</v>
      </c>
      <c r="K2959" s="1">
        <v>2005.0</v>
      </c>
      <c r="L2959" s="1">
        <v>7.0</v>
      </c>
      <c r="O2959" s="3"/>
      <c r="S2959" s="4"/>
    </row>
    <row r="2960" ht="14.25" customHeight="1">
      <c r="A2960" s="1" t="s">
        <v>5962</v>
      </c>
      <c r="B2960" s="1">
        <v>102.0</v>
      </c>
      <c r="C2960" s="1">
        <v>1.5047419E7</v>
      </c>
      <c r="D2960" s="1" t="s">
        <v>811</v>
      </c>
      <c r="E2960" s="1" t="s">
        <v>143</v>
      </c>
      <c r="F2960" s="1" t="s">
        <v>5963</v>
      </c>
      <c r="G2960" s="1">
        <v>357275.0</v>
      </c>
      <c r="H2960" s="1">
        <v>1061.0</v>
      </c>
      <c r="I2960" s="1" t="s">
        <v>16</v>
      </c>
      <c r="J2960" s="1">
        <v>7000000.0</v>
      </c>
      <c r="K2960" s="1">
        <v>2000.0</v>
      </c>
      <c r="L2960" s="1">
        <v>7.6</v>
      </c>
      <c r="O2960" s="3"/>
      <c r="S2960" s="4"/>
    </row>
    <row r="2961" ht="14.25" customHeight="1">
      <c r="A2961" s="1" t="s">
        <v>3508</v>
      </c>
      <c r="B2961" s="1">
        <v>93.0</v>
      </c>
      <c r="C2961" s="1">
        <v>1.4015786E7</v>
      </c>
      <c r="D2961" s="1" t="s">
        <v>92</v>
      </c>
      <c r="E2961" s="1" t="s">
        <v>162</v>
      </c>
      <c r="F2961" s="1" t="s">
        <v>5964</v>
      </c>
      <c r="G2961" s="1">
        <v>37952.0</v>
      </c>
      <c r="H2961" s="1">
        <v>298.0</v>
      </c>
      <c r="I2961" s="1" t="s">
        <v>16</v>
      </c>
      <c r="J2961" s="1">
        <v>5000000.0</v>
      </c>
      <c r="K2961" s="1">
        <v>2002.0</v>
      </c>
      <c r="L2961" s="1">
        <v>6.5</v>
      </c>
      <c r="O2961" s="3"/>
      <c r="S2961" s="4"/>
    </row>
    <row r="2962" ht="14.25" customHeight="1">
      <c r="A2962" s="1" t="s">
        <v>5965</v>
      </c>
      <c r="B2962" s="1">
        <v>138.0</v>
      </c>
      <c r="C2962" s="1">
        <v>1.0269307E7</v>
      </c>
      <c r="D2962" s="1" t="s">
        <v>146</v>
      </c>
      <c r="E2962" s="1" t="s">
        <v>1953</v>
      </c>
      <c r="F2962" s="1" t="s">
        <v>5966</v>
      </c>
      <c r="G2962" s="1">
        <v>53251.0</v>
      </c>
      <c r="H2962" s="1">
        <v>188.0</v>
      </c>
      <c r="I2962" s="1" t="s">
        <v>16</v>
      </c>
      <c r="J2962" s="1">
        <v>8000000.0</v>
      </c>
      <c r="K2962" s="1">
        <v>2009.0</v>
      </c>
      <c r="L2962" s="1">
        <v>6.3</v>
      </c>
      <c r="O2962" s="3"/>
      <c r="S2962" s="4"/>
    </row>
    <row r="2963" ht="14.25" customHeight="1">
      <c r="A2963" s="1" t="s">
        <v>5967</v>
      </c>
      <c r="B2963" s="1">
        <v>93.0</v>
      </c>
      <c r="C2963" s="1">
        <v>1.7536788E7</v>
      </c>
      <c r="D2963" s="1" t="s">
        <v>593</v>
      </c>
      <c r="E2963" s="1" t="s">
        <v>5968</v>
      </c>
      <c r="F2963" s="1" t="s">
        <v>5969</v>
      </c>
      <c r="G2963" s="1">
        <v>49240.0</v>
      </c>
      <c r="H2963" s="1">
        <v>142.0</v>
      </c>
      <c r="I2963" s="1" t="s">
        <v>16</v>
      </c>
      <c r="J2963" s="1">
        <v>8000000.0</v>
      </c>
      <c r="K2963" s="1">
        <v>2013.0</v>
      </c>
      <c r="L2963" s="1">
        <v>7.1</v>
      </c>
      <c r="O2963" s="3"/>
      <c r="S2963" s="4"/>
    </row>
    <row r="2964" ht="14.25" customHeight="1">
      <c r="A2964" s="1" t="s">
        <v>1519</v>
      </c>
      <c r="B2964" s="1">
        <v>92.0</v>
      </c>
      <c r="C2964" s="1">
        <v>5.8401464E7</v>
      </c>
      <c r="D2964" s="1" t="s">
        <v>699</v>
      </c>
      <c r="E2964" s="1" t="s">
        <v>78</v>
      </c>
      <c r="F2964" s="1" t="s">
        <v>5970</v>
      </c>
      <c r="G2964" s="1">
        <v>276746.0</v>
      </c>
      <c r="H2964" s="1">
        <v>264.0</v>
      </c>
      <c r="I2964" s="1" t="s">
        <v>16</v>
      </c>
      <c r="J2964" s="1">
        <v>8000000.0</v>
      </c>
      <c r="K2964" s="1">
        <v>2010.0</v>
      </c>
      <c r="L2964" s="1">
        <v>7.1</v>
      </c>
      <c r="O2964" s="3"/>
      <c r="S2964" s="4"/>
    </row>
    <row r="2965" ht="14.25" customHeight="1">
      <c r="A2965" s="1" t="s">
        <v>3586</v>
      </c>
      <c r="B2965" s="1">
        <v>92.0</v>
      </c>
      <c r="C2965" s="1">
        <v>8279017.0</v>
      </c>
      <c r="D2965" s="1" t="s">
        <v>5971</v>
      </c>
      <c r="E2965" s="1" t="s">
        <v>5067</v>
      </c>
      <c r="F2965" s="1" t="s">
        <v>5972</v>
      </c>
      <c r="G2965" s="1">
        <v>34191.0</v>
      </c>
      <c r="H2965" s="1">
        <v>339.0</v>
      </c>
      <c r="I2965" s="1" t="s">
        <v>16</v>
      </c>
      <c r="J2965" s="1">
        <v>8000000.0</v>
      </c>
      <c r="K2965" s="1">
        <v>2000.0</v>
      </c>
      <c r="L2965" s="1">
        <v>6.9</v>
      </c>
      <c r="O2965" s="3"/>
      <c r="S2965" s="4"/>
    </row>
    <row r="2966" ht="14.25" customHeight="1">
      <c r="A2966" s="1" t="s">
        <v>4730</v>
      </c>
      <c r="B2966" s="1">
        <v>104.0</v>
      </c>
      <c r="C2966" s="1">
        <v>1.0106233E7</v>
      </c>
      <c r="D2966" s="1" t="s">
        <v>1059</v>
      </c>
      <c r="E2966" s="1" t="s">
        <v>5973</v>
      </c>
      <c r="F2966" s="1" t="s">
        <v>5974</v>
      </c>
      <c r="G2966" s="1">
        <v>12702.0</v>
      </c>
      <c r="H2966" s="1">
        <v>32.0</v>
      </c>
      <c r="I2966" s="1" t="s">
        <v>16</v>
      </c>
      <c r="J2966" s="1">
        <v>8000000.0</v>
      </c>
      <c r="K2966" s="1">
        <v>2011.0</v>
      </c>
      <c r="L2966" s="1">
        <v>5.4</v>
      </c>
      <c r="O2966" s="3"/>
      <c r="S2966" s="4"/>
    </row>
    <row r="2967" ht="14.25" customHeight="1">
      <c r="A2967" s="1" t="s">
        <v>4273</v>
      </c>
      <c r="B2967" s="1">
        <v>89.0</v>
      </c>
      <c r="C2967" s="1">
        <v>4692814.0</v>
      </c>
      <c r="D2967" s="1" t="s">
        <v>828</v>
      </c>
      <c r="E2967" s="1" t="s">
        <v>4821</v>
      </c>
      <c r="F2967" s="1" t="s">
        <v>5975</v>
      </c>
      <c r="G2967" s="1">
        <v>2870.0</v>
      </c>
      <c r="H2967" s="1">
        <v>34.0</v>
      </c>
      <c r="I2967" s="1" t="s">
        <v>16</v>
      </c>
      <c r="J2967" s="1">
        <v>8000000.0</v>
      </c>
      <c r="K2967" s="1">
        <v>1999.0</v>
      </c>
      <c r="L2967" s="1">
        <v>5.1</v>
      </c>
      <c r="O2967" s="3"/>
      <c r="S2967" s="4"/>
    </row>
    <row r="2968" ht="14.25" customHeight="1">
      <c r="A2968" s="1" t="s">
        <v>5976</v>
      </c>
      <c r="B2968" s="1">
        <v>92.0</v>
      </c>
      <c r="C2968" s="1">
        <v>5018450.0</v>
      </c>
      <c r="D2968" s="1" t="s">
        <v>1481</v>
      </c>
      <c r="E2968" s="1" t="s">
        <v>3646</v>
      </c>
      <c r="F2968" s="1" t="s">
        <v>5977</v>
      </c>
      <c r="G2968" s="1">
        <v>8546.0</v>
      </c>
      <c r="H2968" s="1">
        <v>86.0</v>
      </c>
      <c r="I2968" s="1" t="s">
        <v>16</v>
      </c>
      <c r="J2968" s="1">
        <v>8000000.0</v>
      </c>
      <c r="K2968" s="1">
        <v>2000.0</v>
      </c>
      <c r="L2968" s="1">
        <v>5.3</v>
      </c>
      <c r="O2968" s="3"/>
      <c r="S2968" s="4"/>
    </row>
    <row r="2969" ht="14.25" customHeight="1">
      <c r="A2969" s="1" t="s">
        <v>5978</v>
      </c>
      <c r="B2969" s="1">
        <v>90.0</v>
      </c>
      <c r="C2969" s="1">
        <v>3442820.0</v>
      </c>
      <c r="D2969" s="1" t="s">
        <v>5979</v>
      </c>
      <c r="E2969" s="1" t="s">
        <v>2743</v>
      </c>
      <c r="F2969" s="1" t="s">
        <v>5980</v>
      </c>
      <c r="G2969" s="1">
        <v>31489.0</v>
      </c>
      <c r="H2969" s="1">
        <v>140.0</v>
      </c>
      <c r="I2969" s="1" t="s">
        <v>16</v>
      </c>
      <c r="J2969" s="1">
        <v>8000000.0</v>
      </c>
      <c r="K2969" s="1">
        <v>2015.0</v>
      </c>
      <c r="L2969" s="1">
        <v>7.3</v>
      </c>
      <c r="O2969" s="3"/>
      <c r="S2969" s="4"/>
    </row>
    <row r="2970" ht="14.25" customHeight="1">
      <c r="A2970" s="1" t="s">
        <v>4377</v>
      </c>
      <c r="B2970" s="1">
        <v>129.0</v>
      </c>
      <c r="C2970" s="1">
        <v>3205244.0</v>
      </c>
      <c r="D2970" s="1" t="s">
        <v>1059</v>
      </c>
      <c r="E2970" s="1" t="s">
        <v>194</v>
      </c>
      <c r="F2970" s="1" t="s">
        <v>5981</v>
      </c>
      <c r="G2970" s="1">
        <v>23629.0</v>
      </c>
      <c r="H2970" s="1">
        <v>141.0</v>
      </c>
      <c r="I2970" s="1" t="s">
        <v>16</v>
      </c>
      <c r="J2970" s="1">
        <v>1.0E7</v>
      </c>
      <c r="K2970" s="1">
        <v>2010.0</v>
      </c>
      <c r="L2970" s="1">
        <v>7.3</v>
      </c>
      <c r="O2970" s="3"/>
      <c r="S2970" s="4"/>
    </row>
    <row r="2971" ht="14.25" customHeight="1">
      <c r="A2971" s="1" t="s">
        <v>5982</v>
      </c>
      <c r="B2971" s="1">
        <v>111.0</v>
      </c>
      <c r="C2971" s="1">
        <v>3076425.0</v>
      </c>
      <c r="D2971" s="1" t="s">
        <v>5983</v>
      </c>
      <c r="E2971" s="1" t="s">
        <v>2651</v>
      </c>
      <c r="F2971" s="1" t="s">
        <v>5984</v>
      </c>
      <c r="G2971" s="1">
        <v>23660.0</v>
      </c>
      <c r="H2971" s="1">
        <v>162.0</v>
      </c>
      <c r="I2971" s="1" t="s">
        <v>1189</v>
      </c>
      <c r="J2971" s="1">
        <v>8000000.0</v>
      </c>
      <c r="K2971" s="1">
        <v>2002.0</v>
      </c>
      <c r="L2971" s="1">
        <v>7.1</v>
      </c>
      <c r="O2971" s="3"/>
      <c r="S2971" s="4"/>
    </row>
    <row r="2972" ht="14.25" customHeight="1">
      <c r="A2972" s="1" t="s">
        <v>4957</v>
      </c>
      <c r="B2972" s="1">
        <v>79.0</v>
      </c>
      <c r="C2972" s="1">
        <v>2275557.0</v>
      </c>
      <c r="D2972" s="1" t="s">
        <v>180</v>
      </c>
      <c r="E2972" s="1" t="s">
        <v>710</v>
      </c>
      <c r="F2972" s="1" t="s">
        <v>5985</v>
      </c>
      <c r="G2972" s="1">
        <v>12561.0</v>
      </c>
      <c r="H2972" s="1">
        <v>102.0</v>
      </c>
      <c r="I2972" s="1" t="s">
        <v>16</v>
      </c>
      <c r="J2972" s="1">
        <v>8000000.0</v>
      </c>
      <c r="K2972" s="1">
        <v>1991.0</v>
      </c>
      <c r="L2972" s="1">
        <v>6.0</v>
      </c>
      <c r="O2972" s="3"/>
      <c r="S2972" s="4"/>
    </row>
    <row r="2973" ht="14.25" customHeight="1">
      <c r="A2973" s="1" t="s">
        <v>2001</v>
      </c>
      <c r="B2973" s="1">
        <v>104.0</v>
      </c>
      <c r="C2973" s="1">
        <v>1789892.0</v>
      </c>
      <c r="D2973" s="1" t="s">
        <v>427</v>
      </c>
      <c r="E2973" s="1" t="s">
        <v>338</v>
      </c>
      <c r="F2973" s="1" t="s">
        <v>5986</v>
      </c>
      <c r="G2973" s="1">
        <v>9494.0</v>
      </c>
      <c r="H2973" s="1">
        <v>109.0</v>
      </c>
      <c r="I2973" s="1" t="s">
        <v>16</v>
      </c>
      <c r="J2973" s="1">
        <v>8000000.0</v>
      </c>
      <c r="K2973" s="1">
        <v>1998.0</v>
      </c>
      <c r="L2973" s="1">
        <v>6.6</v>
      </c>
      <c r="O2973" s="3"/>
      <c r="S2973" s="4"/>
    </row>
    <row r="2974" ht="14.25" customHeight="1">
      <c r="A2974" s="1" t="s">
        <v>5987</v>
      </c>
      <c r="B2974" s="1">
        <v>101.0</v>
      </c>
      <c r="C2974" s="1">
        <v>6350058.0</v>
      </c>
      <c r="D2974" s="1" t="s">
        <v>593</v>
      </c>
      <c r="E2974" s="1" t="s">
        <v>3500</v>
      </c>
      <c r="F2974" s="1" t="s">
        <v>5988</v>
      </c>
      <c r="G2974" s="1">
        <v>106098.0</v>
      </c>
      <c r="H2974" s="1">
        <v>150.0</v>
      </c>
      <c r="I2974" s="1" t="s">
        <v>16</v>
      </c>
      <c r="J2974" s="1">
        <v>8000000.0</v>
      </c>
      <c r="K2974" s="1">
        <v>2010.0</v>
      </c>
      <c r="L2974" s="1">
        <v>7.2</v>
      </c>
      <c r="O2974" s="3"/>
      <c r="S2974" s="4"/>
    </row>
    <row r="2975" ht="14.25" customHeight="1">
      <c r="A2975" s="1" t="s">
        <v>3785</v>
      </c>
      <c r="B2975" s="1">
        <v>113.0</v>
      </c>
      <c r="C2975" s="1">
        <v>1094798.0</v>
      </c>
      <c r="D2975" s="1" t="s">
        <v>1252</v>
      </c>
      <c r="E2975" s="1" t="s">
        <v>1009</v>
      </c>
      <c r="F2975" s="1" t="s">
        <v>5989</v>
      </c>
      <c r="G2975" s="1">
        <v>11158.0</v>
      </c>
      <c r="H2975" s="1">
        <v>73.0</v>
      </c>
      <c r="I2975" s="1" t="s">
        <v>16</v>
      </c>
      <c r="J2975" s="1">
        <v>7200000.0</v>
      </c>
      <c r="K2975" s="1">
        <v>2010.0</v>
      </c>
      <c r="L2975" s="1">
        <v>7.2</v>
      </c>
      <c r="O2975" s="3"/>
      <c r="S2975" s="4"/>
    </row>
    <row r="2976" ht="14.25" customHeight="1">
      <c r="A2976" s="1" t="s">
        <v>4482</v>
      </c>
      <c r="B2976" s="1">
        <v>92.0</v>
      </c>
      <c r="C2976" s="1">
        <v>1071240.0</v>
      </c>
      <c r="D2976" s="1" t="s">
        <v>646</v>
      </c>
      <c r="E2976" s="1" t="s">
        <v>1475</v>
      </c>
      <c r="F2976" s="1" t="s">
        <v>5990</v>
      </c>
      <c r="G2976" s="1">
        <v>3571.0</v>
      </c>
      <c r="H2976" s="1">
        <v>34.0</v>
      </c>
      <c r="I2976" s="1" t="s">
        <v>16</v>
      </c>
      <c r="J2976" s="1">
        <v>8000000.0</v>
      </c>
      <c r="K2976" s="1">
        <v>2007.0</v>
      </c>
      <c r="L2976" s="1">
        <v>6.9</v>
      </c>
      <c r="O2976" s="3"/>
      <c r="S2976" s="4"/>
    </row>
    <row r="2977" ht="14.25" customHeight="1">
      <c r="A2977" s="1" t="s">
        <v>5991</v>
      </c>
      <c r="B2977" s="1">
        <v>106.0</v>
      </c>
      <c r="C2977" s="1">
        <v>532190.0</v>
      </c>
      <c r="D2977" s="1" t="s">
        <v>2766</v>
      </c>
      <c r="E2977" s="1" t="s">
        <v>4258</v>
      </c>
      <c r="F2977" s="1" t="s">
        <v>5992</v>
      </c>
      <c r="G2977" s="1">
        <v>5673.0</v>
      </c>
      <c r="H2977" s="1">
        <v>37.0</v>
      </c>
      <c r="I2977" s="1" t="s">
        <v>16</v>
      </c>
      <c r="J2977" s="1">
        <v>8000000.0</v>
      </c>
      <c r="K2977" s="1">
        <v>1997.0</v>
      </c>
      <c r="L2977" s="1">
        <v>6.8</v>
      </c>
      <c r="O2977" s="3"/>
      <c r="S2977" s="4"/>
    </row>
    <row r="2978" ht="14.25" customHeight="1">
      <c r="A2978" s="1" t="s">
        <v>5993</v>
      </c>
      <c r="B2978" s="1">
        <v>75.0</v>
      </c>
      <c r="C2978" s="1">
        <v>686383.0</v>
      </c>
      <c r="D2978" s="1" t="s">
        <v>270</v>
      </c>
      <c r="E2978" s="1" t="s">
        <v>5994</v>
      </c>
      <c r="F2978" s="1" t="s">
        <v>5995</v>
      </c>
      <c r="G2978" s="1">
        <v>22811.0</v>
      </c>
      <c r="H2978" s="1">
        <v>71.0</v>
      </c>
      <c r="I2978" s="1" t="s">
        <v>16</v>
      </c>
      <c r="J2978" s="1">
        <v>6500000.0</v>
      </c>
      <c r="K2978" s="1">
        <v>2009.0</v>
      </c>
      <c r="L2978" s="1">
        <v>7.7</v>
      </c>
      <c r="O2978" s="3"/>
      <c r="S2978" s="4"/>
    </row>
    <row r="2979" ht="14.25" customHeight="1">
      <c r="A2979" s="1" t="s">
        <v>5996</v>
      </c>
      <c r="B2979" s="1">
        <v>104.0</v>
      </c>
      <c r="C2979" s="1">
        <v>1.6168741E7</v>
      </c>
      <c r="D2979" s="1" t="s">
        <v>2466</v>
      </c>
      <c r="E2979" s="1" t="s">
        <v>648</v>
      </c>
      <c r="F2979" s="1" t="s">
        <v>5997</v>
      </c>
      <c r="G2979" s="1">
        <v>99430.0</v>
      </c>
      <c r="H2979" s="1">
        <v>182.0</v>
      </c>
      <c r="I2979" s="1" t="s">
        <v>16</v>
      </c>
      <c r="J2979" s="1">
        <v>8000000.0</v>
      </c>
      <c r="K2979" s="1">
        <v>2013.0</v>
      </c>
      <c r="L2979" s="1">
        <v>7.4</v>
      </c>
      <c r="O2979" s="3"/>
      <c r="S2979" s="4"/>
    </row>
    <row r="2980" ht="14.25" customHeight="1">
      <c r="A2980" s="1" t="s">
        <v>5998</v>
      </c>
      <c r="B2980" s="1">
        <v>108.0</v>
      </c>
      <c r="C2980" s="1">
        <v>568695.0</v>
      </c>
      <c r="D2980" s="1" t="s">
        <v>3495</v>
      </c>
      <c r="E2980" s="1" t="s">
        <v>4093</v>
      </c>
      <c r="F2980" s="1" t="s">
        <v>5999</v>
      </c>
      <c r="G2980" s="1">
        <v>16617.0</v>
      </c>
      <c r="H2980" s="1">
        <v>110.0</v>
      </c>
      <c r="I2980" s="1" t="s">
        <v>16</v>
      </c>
      <c r="J2980" s="1">
        <v>8000000.0</v>
      </c>
      <c r="K2980" s="1">
        <v>2005.0</v>
      </c>
      <c r="L2980" s="1">
        <v>6.5</v>
      </c>
      <c r="O2980" s="3"/>
      <c r="S2980" s="4"/>
    </row>
    <row r="2981" ht="14.25" customHeight="1">
      <c r="A2981" s="1" t="s">
        <v>6000</v>
      </c>
      <c r="B2981" s="1">
        <v>99.0</v>
      </c>
      <c r="C2981" s="1">
        <v>398420.0</v>
      </c>
      <c r="D2981" s="1" t="s">
        <v>811</v>
      </c>
      <c r="E2981" s="1" t="s">
        <v>2498</v>
      </c>
      <c r="F2981" s="1" t="s">
        <v>6001</v>
      </c>
      <c r="G2981" s="1">
        <v>5049.0</v>
      </c>
      <c r="H2981" s="1">
        <v>48.0</v>
      </c>
      <c r="I2981" s="1" t="s">
        <v>16</v>
      </c>
      <c r="J2981" s="1">
        <v>8000000.0</v>
      </c>
      <c r="K2981" s="1">
        <v>2007.0</v>
      </c>
      <c r="L2981" s="1">
        <v>6.4</v>
      </c>
      <c r="O2981" s="3"/>
      <c r="S2981" s="4"/>
    </row>
    <row r="2982" ht="14.25" customHeight="1">
      <c r="A2982" s="1" t="s">
        <v>6002</v>
      </c>
      <c r="B2982" s="1">
        <v>109.0</v>
      </c>
      <c r="C2982" s="1">
        <v>336456.0</v>
      </c>
      <c r="D2982" s="1" t="s">
        <v>6003</v>
      </c>
      <c r="E2982" s="1" t="s">
        <v>96</v>
      </c>
      <c r="F2982" s="1" t="s">
        <v>6004</v>
      </c>
      <c r="G2982" s="1">
        <v>7116.0</v>
      </c>
      <c r="H2982" s="1">
        <v>79.0</v>
      </c>
      <c r="I2982" s="1" t="s">
        <v>16</v>
      </c>
      <c r="J2982" s="1">
        <v>8000000.0</v>
      </c>
      <c r="K2982" s="1">
        <v>2003.0</v>
      </c>
      <c r="L2982" s="1">
        <v>5.6</v>
      </c>
      <c r="O2982" s="3"/>
      <c r="S2982" s="4"/>
    </row>
    <row r="2983" ht="14.25" customHeight="1">
      <c r="A2983" s="1" t="s">
        <v>6005</v>
      </c>
      <c r="B2983" s="1">
        <v>93.0</v>
      </c>
      <c r="C2983" s="1">
        <v>298110.0</v>
      </c>
      <c r="D2983" s="1" t="s">
        <v>5430</v>
      </c>
      <c r="E2983" s="1" t="s">
        <v>6006</v>
      </c>
      <c r="F2983" s="1" t="s">
        <v>6007</v>
      </c>
      <c r="G2983" s="1">
        <v>25055.0</v>
      </c>
      <c r="H2983" s="1">
        <v>98.0</v>
      </c>
      <c r="I2983" s="1" t="s">
        <v>16</v>
      </c>
      <c r="J2983" s="1">
        <v>8000000.0</v>
      </c>
      <c r="K2983" s="1">
        <v>2006.0</v>
      </c>
      <c r="L2983" s="1">
        <v>6.8</v>
      </c>
      <c r="O2983" s="3"/>
      <c r="S2983" s="4"/>
    </row>
    <row r="2984" ht="14.25" customHeight="1">
      <c r="A2984" s="1" t="s">
        <v>6008</v>
      </c>
      <c r="B2984" s="1">
        <v>99.0</v>
      </c>
      <c r="C2984" s="1">
        <v>127144.0</v>
      </c>
      <c r="D2984" s="1" t="s">
        <v>593</v>
      </c>
      <c r="E2984" s="1" t="s">
        <v>783</v>
      </c>
      <c r="F2984" s="1" t="s">
        <v>6009</v>
      </c>
      <c r="G2984" s="1">
        <v>5159.0</v>
      </c>
      <c r="H2984" s="1">
        <v>27.0</v>
      </c>
      <c r="I2984" s="1" t="s">
        <v>16</v>
      </c>
      <c r="J2984" s="1">
        <v>8000000.0</v>
      </c>
      <c r="K2984" s="1">
        <v>2005.0</v>
      </c>
      <c r="L2984" s="1">
        <v>5.5</v>
      </c>
      <c r="O2984" s="3"/>
      <c r="S2984" s="4"/>
    </row>
    <row r="2985" ht="14.25" customHeight="1">
      <c r="A2985" s="1" t="s">
        <v>2775</v>
      </c>
      <c r="B2985" s="1">
        <v>98.0</v>
      </c>
      <c r="C2985" s="1">
        <v>117190.0</v>
      </c>
      <c r="D2985" s="1" t="s">
        <v>728</v>
      </c>
      <c r="E2985" s="1" t="s">
        <v>6010</v>
      </c>
      <c r="F2985" s="1" t="s">
        <v>6011</v>
      </c>
      <c r="G2985" s="1">
        <v>29994.0</v>
      </c>
      <c r="H2985" s="1">
        <v>86.0</v>
      </c>
      <c r="I2985" s="1" t="s">
        <v>16</v>
      </c>
      <c r="J2985" s="1">
        <v>8000000.0</v>
      </c>
      <c r="K2985" s="1">
        <v>2010.0</v>
      </c>
      <c r="L2985" s="1">
        <v>6.9</v>
      </c>
      <c r="O2985" s="3"/>
      <c r="S2985" s="4"/>
    </row>
    <row r="2986" ht="14.25" customHeight="1">
      <c r="A2986" s="1" t="s">
        <v>6012</v>
      </c>
      <c r="B2986" s="1">
        <v>95.0</v>
      </c>
      <c r="C2986" s="1">
        <v>108662.0</v>
      </c>
      <c r="D2986" s="1" t="s">
        <v>2707</v>
      </c>
      <c r="E2986" s="1" t="s">
        <v>2353</v>
      </c>
      <c r="F2986" s="1" t="s">
        <v>6013</v>
      </c>
      <c r="G2986" s="1">
        <v>26849.0</v>
      </c>
      <c r="H2986" s="1">
        <v>107.0</v>
      </c>
      <c r="I2986" s="1" t="s">
        <v>16</v>
      </c>
      <c r="J2986" s="1">
        <v>8000000.0</v>
      </c>
      <c r="K2986" s="1">
        <v>2008.0</v>
      </c>
      <c r="L2986" s="1">
        <v>6.0</v>
      </c>
      <c r="O2986" s="3"/>
      <c r="S2986" s="4"/>
    </row>
    <row r="2987" ht="14.25" customHeight="1">
      <c r="A2987" s="1" t="s">
        <v>6014</v>
      </c>
      <c r="B2987" s="1">
        <v>107.0</v>
      </c>
      <c r="C2987" s="1">
        <v>53481.0</v>
      </c>
      <c r="D2987" s="1" t="s">
        <v>901</v>
      </c>
      <c r="E2987" s="1" t="s">
        <v>2579</v>
      </c>
      <c r="F2987" s="1" t="s">
        <v>6015</v>
      </c>
      <c r="G2987" s="1">
        <v>5557.0</v>
      </c>
      <c r="H2987" s="1">
        <v>34.0</v>
      </c>
      <c r="I2987" s="1" t="s">
        <v>16</v>
      </c>
      <c r="J2987" s="1">
        <v>8000000.0</v>
      </c>
      <c r="K2987" s="1">
        <v>2006.0</v>
      </c>
      <c r="L2987" s="1">
        <v>6.4</v>
      </c>
      <c r="O2987" s="3"/>
      <c r="S2987" s="4"/>
    </row>
    <row r="2988" ht="14.25" customHeight="1">
      <c r="A2988" s="1" t="s">
        <v>6016</v>
      </c>
      <c r="B2988" s="1">
        <v>102.0</v>
      </c>
      <c r="C2988" s="1">
        <v>23106.0</v>
      </c>
      <c r="D2988" s="1" t="s">
        <v>1275</v>
      </c>
      <c r="E2988" s="1" t="s">
        <v>2910</v>
      </c>
      <c r="F2988" s="1" t="s">
        <v>6017</v>
      </c>
      <c r="G2988" s="1">
        <v>9003.0</v>
      </c>
      <c r="H2988" s="1">
        <v>58.0</v>
      </c>
      <c r="I2988" s="1" t="s">
        <v>16</v>
      </c>
      <c r="J2988" s="1">
        <v>5.0E7</v>
      </c>
      <c r="K2988" s="1">
        <v>2004.0</v>
      </c>
      <c r="L2988" s="1">
        <v>6.6</v>
      </c>
      <c r="O2988" s="3"/>
      <c r="S2988" s="4"/>
    </row>
    <row r="2989" ht="14.25" customHeight="1">
      <c r="A2989" s="1" t="s">
        <v>6018</v>
      </c>
      <c r="B2989" s="1">
        <v>97.0</v>
      </c>
      <c r="C2989" s="1">
        <v>52961.0</v>
      </c>
      <c r="D2989" s="1" t="s">
        <v>1391</v>
      </c>
      <c r="E2989" s="1" t="s">
        <v>6019</v>
      </c>
      <c r="F2989" s="1" t="s">
        <v>6020</v>
      </c>
      <c r="G2989" s="1">
        <v>2103.0</v>
      </c>
      <c r="H2989" s="1">
        <v>11.0</v>
      </c>
      <c r="I2989" s="1" t="s">
        <v>16</v>
      </c>
      <c r="J2989" s="1">
        <v>8000000.0</v>
      </c>
      <c r="K2989" s="1">
        <v>2014.0</v>
      </c>
      <c r="L2989" s="1">
        <v>5.3</v>
      </c>
      <c r="O2989" s="3"/>
      <c r="S2989" s="4"/>
    </row>
    <row r="2990" ht="14.25" customHeight="1">
      <c r="A2990" s="1" t="s">
        <v>4428</v>
      </c>
      <c r="B2990" s="1">
        <v>124.0</v>
      </c>
      <c r="C2990" s="1">
        <v>439162.0</v>
      </c>
      <c r="D2990" s="1" t="s">
        <v>6021</v>
      </c>
      <c r="E2990" s="1" t="s">
        <v>6022</v>
      </c>
      <c r="F2990" s="1" t="s">
        <v>6023</v>
      </c>
      <c r="G2990" s="1">
        <v>106160.0</v>
      </c>
      <c r="H2990" s="1">
        <v>430.0</v>
      </c>
      <c r="I2990" s="1" t="s">
        <v>3076</v>
      </c>
      <c r="J2990" s="1">
        <v>1.1E9</v>
      </c>
      <c r="K2990" s="1">
        <v>1988.0</v>
      </c>
      <c r="L2990" s="1">
        <v>8.1</v>
      </c>
      <c r="O2990" s="3"/>
      <c r="S2990" s="4"/>
    </row>
    <row r="2991" ht="14.25" customHeight="1">
      <c r="A2991" s="1" t="s">
        <v>6024</v>
      </c>
      <c r="B2991" s="1">
        <v>90.0</v>
      </c>
      <c r="C2991" s="1">
        <v>671240.0</v>
      </c>
      <c r="D2991" s="1" t="s">
        <v>593</v>
      </c>
      <c r="E2991" s="1" t="s">
        <v>6025</v>
      </c>
      <c r="F2991" s="1" t="s">
        <v>6026</v>
      </c>
      <c r="G2991" s="1">
        <v>23023.0</v>
      </c>
      <c r="H2991" s="1">
        <v>149.0</v>
      </c>
      <c r="I2991" s="1" t="s">
        <v>16</v>
      </c>
      <c r="J2991" s="1">
        <v>7900000.0</v>
      </c>
      <c r="K2991" s="1">
        <v>2005.0</v>
      </c>
      <c r="L2991" s="1">
        <v>6.9</v>
      </c>
      <c r="O2991" s="3"/>
      <c r="S2991" s="4"/>
    </row>
    <row r="2992" ht="14.25" customHeight="1">
      <c r="A2992" s="1" t="s">
        <v>6027</v>
      </c>
      <c r="B2992" s="1">
        <v>90.0</v>
      </c>
      <c r="C2992" s="1">
        <v>882290.0</v>
      </c>
      <c r="D2992" s="1" t="s">
        <v>1420</v>
      </c>
      <c r="E2992" s="1" t="s">
        <v>1509</v>
      </c>
      <c r="F2992" s="1" t="s">
        <v>6028</v>
      </c>
      <c r="G2992" s="1">
        <v>4792.0</v>
      </c>
      <c r="H2992" s="1">
        <v>43.0</v>
      </c>
      <c r="I2992" s="1" t="s">
        <v>16</v>
      </c>
      <c r="J2992" s="1">
        <v>1.0E7</v>
      </c>
      <c r="K2992" s="1">
        <v>1989.0</v>
      </c>
      <c r="L2992" s="1">
        <v>6.5</v>
      </c>
      <c r="O2992" s="3"/>
      <c r="S2992" s="4"/>
    </row>
    <row r="2993" ht="14.25" customHeight="1">
      <c r="A2993" s="1" t="s">
        <v>2486</v>
      </c>
      <c r="B2993" s="1">
        <v>99.0</v>
      </c>
      <c r="C2993" s="1">
        <v>1.06593296E8</v>
      </c>
      <c r="D2993" s="1" t="s">
        <v>1599</v>
      </c>
      <c r="E2993" s="1" t="s">
        <v>600</v>
      </c>
      <c r="F2993" s="1" t="s">
        <v>6029</v>
      </c>
      <c r="G2993" s="1">
        <v>72324.0</v>
      </c>
      <c r="H2993" s="1">
        <v>134.0</v>
      </c>
      <c r="I2993" s="1" t="s">
        <v>16</v>
      </c>
      <c r="J2993" s="1">
        <v>7500000.0</v>
      </c>
      <c r="K2993" s="1">
        <v>1989.0</v>
      </c>
      <c r="L2993" s="1">
        <v>7.4</v>
      </c>
      <c r="O2993" s="3"/>
      <c r="S2993" s="4"/>
    </row>
    <row r="2994" ht="14.25" customHeight="1">
      <c r="A2994" s="1" t="s">
        <v>3077</v>
      </c>
      <c r="B2994" s="1">
        <v>115.0</v>
      </c>
      <c r="C2994" s="1">
        <v>4.3490057E7</v>
      </c>
      <c r="D2994" s="1" t="s">
        <v>1059</v>
      </c>
      <c r="E2994" s="1" t="s">
        <v>732</v>
      </c>
      <c r="F2994" s="1" t="s">
        <v>6030</v>
      </c>
      <c r="G2994" s="1">
        <v>5275.0</v>
      </c>
      <c r="H2994" s="1">
        <v>30.0</v>
      </c>
      <c r="I2994" s="1" t="s">
        <v>16</v>
      </c>
      <c r="J2994" s="1">
        <v>7500000.0</v>
      </c>
      <c r="K2994" s="1">
        <v>1997.0</v>
      </c>
      <c r="L2994" s="1">
        <v>6.9</v>
      </c>
      <c r="O2994" s="3"/>
      <c r="S2994" s="4"/>
    </row>
    <row r="2995" ht="14.25" customHeight="1">
      <c r="A2995" s="1" t="s">
        <v>6031</v>
      </c>
      <c r="B2995" s="1">
        <v>89.0</v>
      </c>
      <c r="C2995" s="1">
        <v>3.233386E7</v>
      </c>
      <c r="D2995" s="1" t="s">
        <v>907</v>
      </c>
      <c r="E2995" s="1" t="s">
        <v>6032</v>
      </c>
      <c r="F2995" s="1" t="s">
        <v>6033</v>
      </c>
      <c r="G2995" s="1">
        <v>29843.0</v>
      </c>
      <c r="H2995" s="1">
        <v>81.0</v>
      </c>
      <c r="I2995" s="1" t="s">
        <v>2884</v>
      </c>
      <c r="J2995" s="1">
        <v>7500000.0</v>
      </c>
      <c r="K2995" s="1">
        <v>1995.0</v>
      </c>
      <c r="L2995" s="1">
        <v>6.7</v>
      </c>
      <c r="O2995" s="3"/>
      <c r="S2995" s="4"/>
    </row>
    <row r="2996" ht="14.25" customHeight="1">
      <c r="A2996" s="1" t="s">
        <v>3240</v>
      </c>
      <c r="B2996" s="1">
        <v>92.0</v>
      </c>
      <c r="C2996" s="1">
        <v>2.4792061E7</v>
      </c>
      <c r="D2996" s="1" t="s">
        <v>1059</v>
      </c>
      <c r="E2996" s="1" t="s">
        <v>35</v>
      </c>
      <c r="F2996" s="1" t="s">
        <v>6034</v>
      </c>
      <c r="G2996" s="1">
        <v>191998.0</v>
      </c>
      <c r="H2996" s="1">
        <v>323.0</v>
      </c>
      <c r="I2996" s="1" t="s">
        <v>16</v>
      </c>
      <c r="J2996" s="1">
        <v>6500000.0</v>
      </c>
      <c r="K2996" s="1">
        <v>2005.0</v>
      </c>
      <c r="L2996" s="1">
        <v>7.6</v>
      </c>
      <c r="O2996" s="3"/>
      <c r="S2996" s="4"/>
    </row>
    <row r="2997" ht="14.25" customHeight="1">
      <c r="A2997" s="1" t="s">
        <v>6035</v>
      </c>
      <c r="B2997" s="1">
        <v>94.0</v>
      </c>
      <c r="C2997" s="1">
        <v>1.7544812E7</v>
      </c>
      <c r="D2997" s="1" t="s">
        <v>2551</v>
      </c>
      <c r="E2997" s="1" t="s">
        <v>2747</v>
      </c>
      <c r="F2997" s="1" t="s">
        <v>6036</v>
      </c>
      <c r="G2997" s="1">
        <v>69989.0</v>
      </c>
      <c r="H2997" s="1">
        <v>384.0</v>
      </c>
      <c r="I2997" s="1" t="s">
        <v>16</v>
      </c>
      <c r="J2997" s="1">
        <v>1.0E7</v>
      </c>
      <c r="K2997" s="1">
        <v>2007.0</v>
      </c>
      <c r="L2997" s="1">
        <v>5.4</v>
      </c>
      <c r="O2997" s="3"/>
      <c r="S2997" s="4"/>
    </row>
    <row r="2998" ht="14.25" customHeight="1">
      <c r="A2998" s="1" t="s">
        <v>4971</v>
      </c>
      <c r="B2998" s="1">
        <v>100.0</v>
      </c>
      <c r="C2998" s="1">
        <v>1.2574715E7</v>
      </c>
      <c r="D2998" s="1" t="s">
        <v>1391</v>
      </c>
      <c r="E2998" s="1" t="s">
        <v>312</v>
      </c>
      <c r="F2998" s="1" t="s">
        <v>6037</v>
      </c>
      <c r="G2998" s="1">
        <v>112138.0</v>
      </c>
      <c r="H2998" s="1">
        <v>237.0</v>
      </c>
      <c r="I2998" s="1" t="s">
        <v>16</v>
      </c>
      <c r="J2998" s="1">
        <v>4500000.0</v>
      </c>
      <c r="K2998" s="1">
        <v>2009.0</v>
      </c>
      <c r="L2998" s="1">
        <v>7.3</v>
      </c>
      <c r="O2998" s="3"/>
      <c r="S2998" s="4"/>
    </row>
    <row r="2999" ht="14.25" customHeight="1">
      <c r="A2999" s="1" t="s">
        <v>6038</v>
      </c>
      <c r="B2999" s="1">
        <v>109.0</v>
      </c>
      <c r="C2999" s="1">
        <v>5100000.0</v>
      </c>
      <c r="D2999" s="1" t="s">
        <v>593</v>
      </c>
      <c r="E2999" s="1" t="s">
        <v>6039</v>
      </c>
      <c r="F2999" s="1" t="s">
        <v>6040</v>
      </c>
      <c r="G2999" s="1">
        <v>6595.0</v>
      </c>
      <c r="H2999" s="1">
        <v>61.0</v>
      </c>
      <c r="I2999" s="1" t="s">
        <v>16</v>
      </c>
      <c r="J2999" s="1">
        <v>7500000.0</v>
      </c>
      <c r="K2999" s="1">
        <v>1984.0</v>
      </c>
      <c r="L2999" s="1">
        <v>6.0</v>
      </c>
      <c r="O2999" s="3"/>
      <c r="S2999" s="4"/>
    </row>
    <row r="3000" ht="14.25" customHeight="1">
      <c r="A3000" s="1" t="s">
        <v>3711</v>
      </c>
      <c r="B3000" s="1">
        <v>105.0</v>
      </c>
      <c r="C3000" s="1">
        <v>1.0460089E7</v>
      </c>
      <c r="D3000" s="1" t="s">
        <v>909</v>
      </c>
      <c r="E3000" s="1" t="s">
        <v>671</v>
      </c>
      <c r="F3000" s="1" t="s">
        <v>6041</v>
      </c>
      <c r="G3000" s="1">
        <v>34098.0</v>
      </c>
      <c r="H3000" s="1">
        <v>214.0</v>
      </c>
      <c r="I3000" s="1" t="s">
        <v>16</v>
      </c>
      <c r="J3000" s="1">
        <v>7500000.0</v>
      </c>
      <c r="K3000" s="1">
        <v>2002.0</v>
      </c>
      <c r="L3000" s="1">
        <v>7.2</v>
      </c>
      <c r="O3000" s="3"/>
      <c r="S3000" s="4"/>
    </row>
    <row r="3001" ht="14.25" customHeight="1">
      <c r="A3001" s="1" t="s">
        <v>6042</v>
      </c>
      <c r="B3001" s="1">
        <v>102.0</v>
      </c>
      <c r="C3001" s="1">
        <v>4239767.0</v>
      </c>
      <c r="D3001" s="1" t="s">
        <v>1825</v>
      </c>
      <c r="E3001" s="1" t="s">
        <v>6043</v>
      </c>
      <c r="F3001" s="1" t="s">
        <v>6044</v>
      </c>
      <c r="G3001" s="1">
        <v>3709.0</v>
      </c>
      <c r="H3001" s="1">
        <v>83.0</v>
      </c>
      <c r="I3001" s="1" t="s">
        <v>16</v>
      </c>
      <c r="J3001" s="1">
        <v>7500000.0</v>
      </c>
      <c r="K3001" s="1">
        <v>2002.0</v>
      </c>
      <c r="L3001" s="1">
        <v>6.0</v>
      </c>
      <c r="O3001" s="3"/>
      <c r="S3001" s="4"/>
    </row>
    <row r="3002" ht="14.25" customHeight="1">
      <c r="A3002" s="1" t="s">
        <v>6045</v>
      </c>
      <c r="B3002" s="1">
        <v>97.0</v>
      </c>
      <c r="C3002" s="1">
        <v>4131640.0</v>
      </c>
      <c r="D3002" s="1" t="s">
        <v>427</v>
      </c>
      <c r="E3002" s="1" t="s">
        <v>1680</v>
      </c>
      <c r="F3002" s="1" t="s">
        <v>6046</v>
      </c>
      <c r="G3002" s="1">
        <v>5463.0</v>
      </c>
      <c r="H3002" s="1">
        <v>20.0</v>
      </c>
      <c r="I3002" s="1" t="s">
        <v>16</v>
      </c>
      <c r="J3002" s="1">
        <v>7500000.0</v>
      </c>
      <c r="K3002" s="1">
        <v>2008.0</v>
      </c>
      <c r="L3002" s="1">
        <v>3.1</v>
      </c>
      <c r="O3002" s="3"/>
      <c r="S3002" s="4"/>
    </row>
    <row r="3003" ht="14.25" customHeight="1">
      <c r="A3003" s="1" t="s">
        <v>6047</v>
      </c>
      <c r="B3003" s="1">
        <v>118.0</v>
      </c>
      <c r="C3003" s="1">
        <v>3347439.0</v>
      </c>
      <c r="D3003" s="1" t="s">
        <v>92</v>
      </c>
      <c r="E3003" s="1" t="s">
        <v>6048</v>
      </c>
      <c r="F3003" s="1" t="s">
        <v>6049</v>
      </c>
      <c r="G3003" s="1">
        <v>833.0</v>
      </c>
      <c r="H3003" s="1">
        <v>33.0</v>
      </c>
      <c r="I3003" s="1" t="s">
        <v>16</v>
      </c>
      <c r="J3003" s="1">
        <v>7500000.0</v>
      </c>
      <c r="K3003" s="1">
        <v>2004.0</v>
      </c>
      <c r="L3003" s="1">
        <v>6.9</v>
      </c>
      <c r="O3003" s="3"/>
      <c r="S3003" s="4"/>
    </row>
    <row r="3004" ht="14.25" customHeight="1">
      <c r="A3004" s="1" t="s">
        <v>5342</v>
      </c>
      <c r="B3004" s="1">
        <v>92.0</v>
      </c>
      <c r="C3004" s="1">
        <v>1.0814185E7</v>
      </c>
      <c r="D3004" s="1" t="s">
        <v>1737</v>
      </c>
      <c r="E3004" s="1" t="s">
        <v>35</v>
      </c>
      <c r="F3004" s="1" t="s">
        <v>6050</v>
      </c>
      <c r="G3004" s="1">
        <v>37530.0</v>
      </c>
      <c r="H3004" s="1">
        <v>106.0</v>
      </c>
      <c r="I3004" s="1" t="s">
        <v>16</v>
      </c>
      <c r="J3004" s="1">
        <v>8000000.0</v>
      </c>
      <c r="K3004" s="1">
        <v>2009.0</v>
      </c>
      <c r="L3004" s="1">
        <v>6.2</v>
      </c>
      <c r="O3004" s="3"/>
      <c r="S3004" s="4"/>
    </row>
    <row r="3005" ht="14.25" customHeight="1">
      <c r="A3005" s="1" t="s">
        <v>6051</v>
      </c>
      <c r="B3005" s="1">
        <v>103.0</v>
      </c>
      <c r="C3005" s="1">
        <v>206400.0</v>
      </c>
      <c r="D3005" s="1" t="s">
        <v>5943</v>
      </c>
      <c r="E3005" s="1" t="s">
        <v>6052</v>
      </c>
      <c r="F3005" s="1" t="s">
        <v>6053</v>
      </c>
      <c r="G3005" s="1">
        <v>1439.0</v>
      </c>
      <c r="H3005" s="1">
        <v>26.0</v>
      </c>
      <c r="I3005" s="1" t="s">
        <v>1189</v>
      </c>
      <c r="J3005" s="1">
        <v>5.0E7</v>
      </c>
      <c r="K3005" s="1">
        <v>2001.0</v>
      </c>
      <c r="L3005" s="1">
        <v>6.9</v>
      </c>
      <c r="O3005" s="3"/>
      <c r="S3005" s="4"/>
    </row>
    <row r="3006" ht="14.25" customHeight="1">
      <c r="A3006" s="1" t="s">
        <v>4998</v>
      </c>
      <c r="B3006" s="1">
        <v>93.0</v>
      </c>
      <c r="C3006" s="1">
        <v>197148.0</v>
      </c>
      <c r="D3006" s="1" t="s">
        <v>6054</v>
      </c>
      <c r="E3006" s="1" t="s">
        <v>6055</v>
      </c>
      <c r="F3006" s="1" t="s">
        <v>6056</v>
      </c>
      <c r="G3006" s="1">
        <v>18109.0</v>
      </c>
      <c r="H3006" s="1">
        <v>150.0</v>
      </c>
      <c r="I3006" s="1" t="s">
        <v>16</v>
      </c>
      <c r="J3006" s="1">
        <v>7500000.0</v>
      </c>
      <c r="K3006" s="1">
        <v>2003.0</v>
      </c>
      <c r="L3006" s="1">
        <v>6.3</v>
      </c>
      <c r="O3006" s="3"/>
      <c r="S3006" s="4"/>
    </row>
    <row r="3007" ht="14.25" customHeight="1">
      <c r="A3007" s="1" t="s">
        <v>6057</v>
      </c>
      <c r="B3007" s="1">
        <v>113.0</v>
      </c>
      <c r="C3007" s="1">
        <v>3014541.0</v>
      </c>
      <c r="D3007" s="1" t="s">
        <v>1391</v>
      </c>
      <c r="E3007" s="1" t="s">
        <v>5443</v>
      </c>
      <c r="F3007" s="1" t="s">
        <v>6058</v>
      </c>
      <c r="G3007" s="1">
        <v>19616.0</v>
      </c>
      <c r="H3007" s="1">
        <v>98.0</v>
      </c>
      <c r="I3007" s="1" t="s">
        <v>16</v>
      </c>
      <c r="J3007" s="1">
        <v>8000000.0</v>
      </c>
      <c r="K3007" s="1">
        <v>2011.0</v>
      </c>
      <c r="L3007" s="1">
        <v>6.7</v>
      </c>
      <c r="O3007" s="3"/>
      <c r="S3007" s="4"/>
    </row>
    <row r="3008" ht="14.25" customHeight="1">
      <c r="A3008" s="1" t="s">
        <v>6059</v>
      </c>
      <c r="B3008" s="1">
        <v>153.0</v>
      </c>
      <c r="C3008" s="1">
        <v>872643.0</v>
      </c>
      <c r="D3008" s="1" t="s">
        <v>1125</v>
      </c>
      <c r="E3008" s="1" t="s">
        <v>6060</v>
      </c>
      <c r="F3008" s="1" t="s">
        <v>6061</v>
      </c>
      <c r="G3008" s="1">
        <v>2909.0</v>
      </c>
      <c r="H3008" s="1">
        <v>37.0</v>
      </c>
      <c r="I3008" s="1" t="s">
        <v>5555</v>
      </c>
      <c r="J3008" s="1">
        <v>6000000.0</v>
      </c>
      <c r="K3008" s="1">
        <v>2007.0</v>
      </c>
      <c r="L3008" s="1">
        <v>5.4</v>
      </c>
      <c r="O3008" s="3"/>
      <c r="S3008" s="4"/>
    </row>
    <row r="3009" ht="14.25" customHeight="1">
      <c r="A3009" s="1" t="s">
        <v>6062</v>
      </c>
      <c r="B3009" s="1">
        <v>89.0</v>
      </c>
      <c r="C3009" s="1">
        <v>4443403.0</v>
      </c>
      <c r="D3009" s="1" t="s">
        <v>6063</v>
      </c>
      <c r="E3009" s="1" t="s">
        <v>2651</v>
      </c>
      <c r="F3009" s="1" t="s">
        <v>6064</v>
      </c>
      <c r="G3009" s="1">
        <v>70194.0</v>
      </c>
      <c r="H3009" s="1">
        <v>158.0</v>
      </c>
      <c r="I3009" s="1" t="s">
        <v>1189</v>
      </c>
      <c r="J3009" s="1">
        <v>7300000.0</v>
      </c>
      <c r="K3009" s="1">
        <v>2007.0</v>
      </c>
      <c r="L3009" s="1">
        <v>8.0</v>
      </c>
      <c r="O3009" s="3"/>
      <c r="S3009" s="4"/>
    </row>
    <row r="3010" ht="14.25" customHeight="1">
      <c r="A3010" s="1" t="s">
        <v>4903</v>
      </c>
      <c r="B3010" s="1">
        <v>118.0</v>
      </c>
      <c r="C3010" s="1">
        <v>1330827.0</v>
      </c>
      <c r="D3010" s="1" t="s">
        <v>2657</v>
      </c>
      <c r="E3010" s="1" t="s">
        <v>252</v>
      </c>
      <c r="F3010" s="1" t="s">
        <v>6065</v>
      </c>
      <c r="G3010" s="1">
        <v>9866.0</v>
      </c>
      <c r="H3010" s="1">
        <v>73.0</v>
      </c>
      <c r="I3010" s="1" t="s">
        <v>16</v>
      </c>
      <c r="J3010" s="1">
        <v>7000000.0</v>
      </c>
      <c r="K3010" s="1">
        <v>2016.0</v>
      </c>
      <c r="L3010" s="1">
        <v>7.0</v>
      </c>
      <c r="O3010" s="3"/>
      <c r="S3010" s="4"/>
    </row>
    <row r="3011" ht="14.25" customHeight="1">
      <c r="A3011" s="1" t="s">
        <v>6066</v>
      </c>
      <c r="B3011" s="1">
        <v>97.0</v>
      </c>
      <c r="C3011" s="1">
        <v>1818681.0</v>
      </c>
      <c r="D3011" s="1" t="s">
        <v>197</v>
      </c>
      <c r="E3011" s="1" t="s">
        <v>2266</v>
      </c>
      <c r="F3011" s="1" t="s">
        <v>6067</v>
      </c>
      <c r="G3011" s="1">
        <v>74435.0</v>
      </c>
      <c r="H3011" s="1">
        <v>224.0</v>
      </c>
      <c r="I3011" s="1" t="s">
        <v>16</v>
      </c>
      <c r="J3011" s="1">
        <v>7300000.0</v>
      </c>
      <c r="K3011" s="1">
        <v>2009.0</v>
      </c>
      <c r="L3011" s="1">
        <v>7.2</v>
      </c>
      <c r="O3011" s="3"/>
      <c r="S3011" s="4"/>
    </row>
    <row r="3012" ht="14.25" customHeight="1">
      <c r="A3012" s="1" t="s">
        <v>33</v>
      </c>
      <c r="B3012" s="1">
        <v>156.0</v>
      </c>
      <c r="C3012" s="1">
        <v>3.36530303E8</v>
      </c>
      <c r="D3012" s="1" t="s">
        <v>34</v>
      </c>
      <c r="E3012" s="1" t="s">
        <v>35</v>
      </c>
      <c r="F3012" s="1" t="s">
        <v>36</v>
      </c>
      <c r="G3012" s="1">
        <v>383071.0</v>
      </c>
      <c r="H3012" s="1">
        <v>1902.0</v>
      </c>
      <c r="I3012" s="1" t="s">
        <v>16</v>
      </c>
      <c r="J3012" s="1">
        <v>2.58E8</v>
      </c>
      <c r="K3012" s="1">
        <v>2007.0</v>
      </c>
      <c r="L3012" s="1">
        <v>6.2</v>
      </c>
      <c r="O3012" s="3"/>
      <c r="S3012" s="4"/>
    </row>
    <row r="3013" ht="14.25" customHeight="1">
      <c r="A3013" s="1" t="s">
        <v>6068</v>
      </c>
      <c r="B3013" s="1">
        <v>100.0</v>
      </c>
      <c r="C3013" s="1">
        <v>1.2610552E7</v>
      </c>
      <c r="D3013" s="1" t="s">
        <v>114</v>
      </c>
      <c r="E3013" s="1" t="s">
        <v>6069</v>
      </c>
      <c r="F3013" s="1" t="s">
        <v>6070</v>
      </c>
      <c r="G3013" s="1">
        <v>4682.0</v>
      </c>
      <c r="H3013" s="1">
        <v>206.0</v>
      </c>
      <c r="I3013" s="1" t="s">
        <v>16</v>
      </c>
      <c r="J3013" s="1">
        <v>7500000.0</v>
      </c>
      <c r="K3013" s="1">
        <v>1999.0</v>
      </c>
      <c r="L3013" s="1">
        <v>3.5</v>
      </c>
      <c r="O3013" s="3"/>
      <c r="S3013" s="4"/>
    </row>
    <row r="3014" ht="14.25" customHeight="1">
      <c r="A3014" s="1" t="s">
        <v>3240</v>
      </c>
      <c r="B3014" s="1">
        <v>96.0</v>
      </c>
      <c r="C3014" s="1">
        <v>1.4349284E8</v>
      </c>
      <c r="D3014" s="1" t="s">
        <v>593</v>
      </c>
      <c r="E3014" s="1" t="s">
        <v>35</v>
      </c>
      <c r="F3014" s="1" t="s">
        <v>6071</v>
      </c>
      <c r="G3014" s="1">
        <v>414335.0</v>
      </c>
      <c r="H3014" s="1">
        <v>881.0</v>
      </c>
      <c r="I3014" s="1" t="s">
        <v>16</v>
      </c>
      <c r="J3014" s="1">
        <v>7500000.0</v>
      </c>
      <c r="K3014" s="1">
        <v>2007.0</v>
      </c>
      <c r="L3014" s="1">
        <v>7.5</v>
      </c>
      <c r="O3014" s="3"/>
      <c r="S3014" s="4"/>
    </row>
    <row r="3015" ht="14.25" customHeight="1">
      <c r="A3015" s="1" t="s">
        <v>6072</v>
      </c>
      <c r="B3015" s="1">
        <v>120.0</v>
      </c>
      <c r="C3015" s="1">
        <v>4.38E7</v>
      </c>
      <c r="D3015" s="1" t="s">
        <v>22</v>
      </c>
      <c r="E3015" s="1" t="s">
        <v>3188</v>
      </c>
      <c r="F3015" s="1" t="s">
        <v>6073</v>
      </c>
      <c r="G3015" s="1">
        <v>74249.0</v>
      </c>
      <c r="H3015" s="1">
        <v>276.0</v>
      </c>
      <c r="I3015" s="1" t="s">
        <v>16</v>
      </c>
      <c r="J3015" s="1">
        <v>7200000.0</v>
      </c>
      <c r="K3015" s="1">
        <v>1971.0</v>
      </c>
      <c r="L3015" s="1">
        <v>6.7</v>
      </c>
      <c r="O3015" s="3"/>
      <c r="S3015" s="4"/>
    </row>
    <row r="3016" ht="14.25" customHeight="1">
      <c r="A3016" s="1" t="s">
        <v>1957</v>
      </c>
      <c r="B3016" s="1">
        <v>175.0</v>
      </c>
      <c r="C3016" s="1">
        <v>1.34821952E8</v>
      </c>
      <c r="D3016" s="1" t="s">
        <v>811</v>
      </c>
      <c r="E3016" s="1" t="s">
        <v>1002</v>
      </c>
      <c r="F3016" s="1" t="s">
        <v>6074</v>
      </c>
      <c r="G3016" s="1">
        <v>1155770.0</v>
      </c>
      <c r="H3016" s="1">
        <v>2238.0</v>
      </c>
      <c r="I3016" s="1" t="s">
        <v>16</v>
      </c>
      <c r="J3016" s="1">
        <v>6000000.0</v>
      </c>
      <c r="K3016" s="1">
        <v>1972.0</v>
      </c>
      <c r="L3016" s="1">
        <v>9.2</v>
      </c>
      <c r="O3016" s="3"/>
      <c r="S3016" s="4"/>
    </row>
    <row r="3017" ht="14.25" customHeight="1">
      <c r="A3017" s="1" t="s">
        <v>2085</v>
      </c>
      <c r="B3017" s="1">
        <v>95.0</v>
      </c>
      <c r="C3017" s="1">
        <v>9.49E7</v>
      </c>
      <c r="D3017" s="1" t="s">
        <v>3098</v>
      </c>
      <c r="E3017" s="1" t="s">
        <v>6075</v>
      </c>
      <c r="F3017" s="1" t="s">
        <v>6076</v>
      </c>
      <c r="G3017" s="1">
        <v>35172.0</v>
      </c>
      <c r="H3017" s="1">
        <v>128.0</v>
      </c>
      <c r="I3017" s="1" t="s">
        <v>16</v>
      </c>
      <c r="J3017" s="1">
        <v>4000000.0</v>
      </c>
      <c r="K3017" s="1">
        <v>1983.0</v>
      </c>
      <c r="L3017" s="1">
        <v>6.1</v>
      </c>
      <c r="O3017" s="3"/>
      <c r="S3017" s="4"/>
    </row>
    <row r="3018" ht="14.25" customHeight="1">
      <c r="A3018" s="1" t="s">
        <v>77</v>
      </c>
      <c r="B3018" s="1">
        <v>95.0</v>
      </c>
      <c r="C3018" s="1">
        <v>3.2391374E7</v>
      </c>
      <c r="D3018" s="1" t="s">
        <v>593</v>
      </c>
      <c r="E3018" s="1" t="s">
        <v>232</v>
      </c>
      <c r="F3018" s="1" t="s">
        <v>6077</v>
      </c>
      <c r="G3018" s="1">
        <v>376600.0</v>
      </c>
      <c r="H3018" s="1">
        <v>494.0</v>
      </c>
      <c r="I3018" s="1" t="s">
        <v>16</v>
      </c>
      <c r="J3018" s="1">
        <v>7500000.0</v>
      </c>
      <c r="K3018" s="1">
        <v>2009.0</v>
      </c>
      <c r="L3018" s="1">
        <v>7.7</v>
      </c>
      <c r="O3018" s="3"/>
      <c r="S3018" s="4"/>
    </row>
    <row r="3019" ht="14.25" customHeight="1">
      <c r="A3019" s="1" t="s">
        <v>5425</v>
      </c>
      <c r="B3019" s="1">
        <v>121.0</v>
      </c>
      <c r="C3019" s="1">
        <v>4.0158E7</v>
      </c>
      <c r="D3019" s="1" t="s">
        <v>3098</v>
      </c>
      <c r="E3019" s="1" t="s">
        <v>873</v>
      </c>
      <c r="F3019" s="1" t="s">
        <v>6078</v>
      </c>
      <c r="G3019" s="1">
        <v>63931.0</v>
      </c>
      <c r="H3019" s="1">
        <v>241.0</v>
      </c>
      <c r="I3019" s="1" t="s">
        <v>16</v>
      </c>
      <c r="J3019" s="1">
        <v>7000000.0</v>
      </c>
      <c r="K3019" s="1">
        <v>1993.0</v>
      </c>
      <c r="L3019" s="1">
        <v>7.6</v>
      </c>
      <c r="O3019" s="3"/>
      <c r="S3019" s="4"/>
    </row>
    <row r="3020" ht="14.25" customHeight="1">
      <c r="A3020" s="1" t="s">
        <v>639</v>
      </c>
      <c r="B3020" s="1">
        <v>110.0</v>
      </c>
      <c r="C3020" s="1">
        <v>1.13709992E8</v>
      </c>
      <c r="D3020" s="1" t="s">
        <v>1059</v>
      </c>
      <c r="E3020" s="1" t="s">
        <v>191</v>
      </c>
      <c r="F3020" s="1" t="s">
        <v>6079</v>
      </c>
      <c r="G3020" s="1">
        <v>108843.0</v>
      </c>
      <c r="H3020" s="1">
        <v>281.0</v>
      </c>
      <c r="I3020" s="1" t="s">
        <v>16</v>
      </c>
      <c r="J3020" s="1">
        <v>7000000.0</v>
      </c>
      <c r="K3020" s="1">
        <v>2012.0</v>
      </c>
      <c r="L3020" s="1">
        <v>6.1</v>
      </c>
      <c r="O3020" s="3"/>
      <c r="S3020" s="4"/>
    </row>
    <row r="3021" ht="14.25" customHeight="1">
      <c r="A3021" s="1" t="s">
        <v>373</v>
      </c>
      <c r="B3021" s="1">
        <v>96.0</v>
      </c>
      <c r="C3021" s="1">
        <v>3.2131483E7</v>
      </c>
      <c r="D3021" s="1" t="s">
        <v>1239</v>
      </c>
      <c r="E3021" s="1" t="s">
        <v>6080</v>
      </c>
      <c r="F3021" s="1" t="s">
        <v>6081</v>
      </c>
      <c r="G3021" s="1">
        <v>25870.0</v>
      </c>
      <c r="H3021" s="1">
        <v>369.0</v>
      </c>
      <c r="I3021" s="1" t="s">
        <v>16</v>
      </c>
      <c r="J3021" s="1">
        <v>1.1E7</v>
      </c>
      <c r="K3021" s="1">
        <v>2003.0</v>
      </c>
      <c r="L3021" s="1">
        <v>4.9</v>
      </c>
      <c r="O3021" s="3"/>
      <c r="S3021" s="4"/>
    </row>
    <row r="3022" ht="14.25" customHeight="1">
      <c r="A3022" s="1" t="s">
        <v>6072</v>
      </c>
      <c r="B3022" s="1">
        <v>121.0</v>
      </c>
      <c r="C3022" s="1">
        <v>3.54E7</v>
      </c>
      <c r="D3022" s="1" t="s">
        <v>22</v>
      </c>
      <c r="E3022" s="1" t="s">
        <v>3317</v>
      </c>
      <c r="F3022" s="1" t="s">
        <v>6082</v>
      </c>
      <c r="G3022" s="1">
        <v>74957.0</v>
      </c>
      <c r="H3022" s="1">
        <v>251.0</v>
      </c>
      <c r="I3022" s="1" t="s">
        <v>16</v>
      </c>
      <c r="J3022" s="1">
        <v>7000000.0</v>
      </c>
      <c r="K3022" s="1">
        <v>1973.0</v>
      </c>
      <c r="L3022" s="1">
        <v>6.8</v>
      </c>
      <c r="O3022" s="3"/>
      <c r="S3022" s="4"/>
    </row>
    <row r="3023" ht="14.25" customHeight="1">
      <c r="A3023" s="1" t="s">
        <v>1645</v>
      </c>
      <c r="B3023" s="1">
        <v>95.0</v>
      </c>
      <c r="C3023" s="1">
        <v>3.409964E7</v>
      </c>
      <c r="D3023" s="1" t="s">
        <v>3151</v>
      </c>
      <c r="E3023" s="1" t="s">
        <v>556</v>
      </c>
      <c r="F3023" s="1" t="s">
        <v>6083</v>
      </c>
      <c r="G3023" s="1">
        <v>16651.0</v>
      </c>
      <c r="H3023" s="1">
        <v>149.0</v>
      </c>
      <c r="I3023" s="1" t="s">
        <v>16</v>
      </c>
      <c r="J3023" s="1">
        <v>5000000.0</v>
      </c>
      <c r="K3023" s="1">
        <v>2000.0</v>
      </c>
      <c r="L3023" s="1">
        <v>7.0</v>
      </c>
      <c r="O3023" s="3"/>
      <c r="S3023" s="4"/>
    </row>
    <row r="3024" ht="14.25" customHeight="1">
      <c r="A3024" s="1" t="s">
        <v>5636</v>
      </c>
      <c r="B3024" s="1">
        <v>112.0</v>
      </c>
      <c r="C3024" s="1">
        <v>3.7295394E7</v>
      </c>
      <c r="D3024" s="1" t="s">
        <v>1059</v>
      </c>
      <c r="E3024" s="1" t="s">
        <v>1702</v>
      </c>
      <c r="F3024" s="1" t="s">
        <v>6084</v>
      </c>
      <c r="G3024" s="1">
        <v>7973.0</v>
      </c>
      <c r="H3024" s="1">
        <v>59.0</v>
      </c>
      <c r="I3024" s="1" t="s">
        <v>16</v>
      </c>
      <c r="J3024" s="1">
        <v>6600000.0</v>
      </c>
      <c r="K3024" s="1">
        <v>2011.0</v>
      </c>
      <c r="L3024" s="1">
        <v>5.7</v>
      </c>
      <c r="O3024" s="3"/>
      <c r="S3024" s="4"/>
    </row>
    <row r="3025" ht="14.25" customHeight="1">
      <c r="A3025" s="1" t="s">
        <v>159</v>
      </c>
      <c r="B3025" s="1">
        <v>143.0</v>
      </c>
      <c r="C3025" s="1">
        <v>1.44812796E8</v>
      </c>
      <c r="D3025" s="1" t="s">
        <v>92</v>
      </c>
      <c r="E3025" s="1" t="s">
        <v>93</v>
      </c>
      <c r="F3025" s="1" t="s">
        <v>160</v>
      </c>
      <c r="G3025" s="1">
        <v>362933.0</v>
      </c>
      <c r="H3025" s="1">
        <v>753.0</v>
      </c>
      <c r="I3025" s="1" t="s">
        <v>16</v>
      </c>
      <c r="J3025" s="1">
        <v>1.05E8</v>
      </c>
      <c r="K3025" s="1">
        <v>2013.0</v>
      </c>
      <c r="L3025" s="1">
        <v>7.3</v>
      </c>
      <c r="O3025" s="3"/>
      <c r="S3025" s="4"/>
    </row>
    <row r="3026" ht="14.25" customHeight="1">
      <c r="A3026" s="1" t="s">
        <v>1387</v>
      </c>
      <c r="B3026" s="1">
        <v>93.0</v>
      </c>
      <c r="C3026" s="1">
        <v>3.1501218E7</v>
      </c>
      <c r="D3026" s="1" t="s">
        <v>2369</v>
      </c>
      <c r="E3026" s="1" t="s">
        <v>96</v>
      </c>
      <c r="F3026" s="1" t="s">
        <v>6085</v>
      </c>
      <c r="G3026" s="1">
        <v>84070.0</v>
      </c>
      <c r="H3026" s="1">
        <v>526.0</v>
      </c>
      <c r="I3026" s="1" t="s">
        <v>16</v>
      </c>
      <c r="J3026" s="1">
        <v>7500000.0</v>
      </c>
      <c r="K3026" s="1">
        <v>2005.0</v>
      </c>
      <c r="L3026" s="1">
        <v>7.5</v>
      </c>
      <c r="O3026" s="3"/>
      <c r="S3026" s="4"/>
    </row>
    <row r="3027" ht="14.25" customHeight="1">
      <c r="A3027" s="1" t="s">
        <v>2063</v>
      </c>
      <c r="B3027" s="1">
        <v>110.0</v>
      </c>
      <c r="C3027" s="1">
        <v>2.874757E7</v>
      </c>
      <c r="D3027" s="1" t="s">
        <v>716</v>
      </c>
      <c r="E3027" s="1" t="s">
        <v>390</v>
      </c>
      <c r="F3027" s="1" t="s">
        <v>6086</v>
      </c>
      <c r="G3027" s="1">
        <v>100571.0</v>
      </c>
      <c r="H3027" s="1">
        <v>416.0</v>
      </c>
      <c r="I3027" s="1" t="s">
        <v>16</v>
      </c>
      <c r="J3027" s="1">
        <v>7000000.0</v>
      </c>
      <c r="K3027" s="1">
        <v>2005.0</v>
      </c>
      <c r="L3027" s="1">
        <v>7.4</v>
      </c>
      <c r="O3027" s="3"/>
      <c r="S3027" s="4"/>
    </row>
    <row r="3028" ht="14.25" customHeight="1">
      <c r="A3028" s="1" t="s">
        <v>1980</v>
      </c>
      <c r="B3028" s="1">
        <v>104.0</v>
      </c>
      <c r="C3028" s="1">
        <v>2.562511E7</v>
      </c>
      <c r="D3028" s="1" t="s">
        <v>146</v>
      </c>
      <c r="E3028" s="1" t="s">
        <v>734</v>
      </c>
      <c r="F3028" s="1" t="s">
        <v>6087</v>
      </c>
      <c r="G3028" s="1">
        <v>138707.0</v>
      </c>
      <c r="H3028" s="1">
        <v>202.0</v>
      </c>
      <c r="I3028" s="1" t="s">
        <v>16</v>
      </c>
      <c r="J3028" s="1">
        <v>7000000.0</v>
      </c>
      <c r="K3028" s="1">
        <v>1995.0</v>
      </c>
      <c r="L3028" s="1">
        <v>7.2</v>
      </c>
      <c r="O3028" s="3"/>
      <c r="S3028" s="4"/>
    </row>
    <row r="3029" ht="14.25" customHeight="1">
      <c r="A3029" s="1" t="s">
        <v>6088</v>
      </c>
      <c r="B3029" s="1">
        <v>119.0</v>
      </c>
      <c r="C3029" s="1">
        <v>2.5E7</v>
      </c>
      <c r="D3029" s="1" t="s">
        <v>30</v>
      </c>
      <c r="E3029" s="1" t="s">
        <v>6089</v>
      </c>
      <c r="F3029" s="1" t="s">
        <v>6090</v>
      </c>
      <c r="G3029" s="1">
        <v>39847.0</v>
      </c>
      <c r="H3029" s="1">
        <v>242.0</v>
      </c>
      <c r="I3029" s="1" t="s">
        <v>16</v>
      </c>
      <c r="J3029" s="1">
        <v>9000000.0</v>
      </c>
      <c r="K3029" s="1">
        <v>1976.0</v>
      </c>
      <c r="L3029" s="1">
        <v>6.8</v>
      </c>
      <c r="O3029" s="3"/>
      <c r="S3029" s="4"/>
    </row>
    <row r="3030" ht="14.25" customHeight="1">
      <c r="A3030" s="1" t="s">
        <v>6072</v>
      </c>
      <c r="B3030" s="1">
        <v>125.0</v>
      </c>
      <c r="C3030" s="1">
        <v>2.1E7</v>
      </c>
      <c r="D3030" s="1" t="s">
        <v>22</v>
      </c>
      <c r="E3030" s="1" t="s">
        <v>87</v>
      </c>
      <c r="F3030" s="1" t="s">
        <v>6091</v>
      </c>
      <c r="G3030" s="1">
        <v>73950.0</v>
      </c>
      <c r="H3030" s="1">
        <v>258.0</v>
      </c>
      <c r="I3030" s="1" t="s">
        <v>16</v>
      </c>
      <c r="J3030" s="1">
        <v>1.3E7</v>
      </c>
      <c r="K3030" s="1">
        <v>1974.0</v>
      </c>
      <c r="L3030" s="1">
        <v>6.8</v>
      </c>
      <c r="O3030" s="3"/>
      <c r="S3030" s="4"/>
    </row>
    <row r="3031" ht="14.25" customHeight="1">
      <c r="A3031" s="1" t="s">
        <v>3869</v>
      </c>
      <c r="B3031" s="1">
        <v>96.0</v>
      </c>
      <c r="C3031" s="1">
        <v>2.0257E7</v>
      </c>
      <c r="D3031" s="1" t="s">
        <v>180</v>
      </c>
      <c r="E3031" s="1" t="s">
        <v>2051</v>
      </c>
      <c r="F3031" s="1" t="s">
        <v>6092</v>
      </c>
      <c r="G3031" s="1">
        <v>7569.0</v>
      </c>
      <c r="H3031" s="1">
        <v>65.0</v>
      </c>
      <c r="I3031" s="1" t="s">
        <v>16</v>
      </c>
      <c r="J3031" s="1">
        <v>7000000.0</v>
      </c>
      <c r="K3031" s="1">
        <v>1988.0</v>
      </c>
      <c r="L3031" s="1">
        <v>5.2</v>
      </c>
      <c r="O3031" s="3"/>
      <c r="S3031" s="4"/>
    </row>
    <row r="3032" ht="14.25" customHeight="1">
      <c r="A3032" s="1" t="s">
        <v>3117</v>
      </c>
      <c r="B3032" s="1">
        <v>100.0</v>
      </c>
      <c r="C3032" s="1">
        <v>2.6005908E7</v>
      </c>
      <c r="D3032" s="1" t="s">
        <v>3388</v>
      </c>
      <c r="E3032" s="1" t="s">
        <v>6093</v>
      </c>
      <c r="F3032" s="1" t="s">
        <v>6094</v>
      </c>
      <c r="G3032" s="1">
        <v>154938.0</v>
      </c>
      <c r="H3032" s="1">
        <v>1100.0</v>
      </c>
      <c r="I3032" s="1" t="s">
        <v>16</v>
      </c>
      <c r="J3032" s="1">
        <v>3500000.0</v>
      </c>
      <c r="K3032" s="1">
        <v>2005.0</v>
      </c>
      <c r="L3032" s="1">
        <v>7.2</v>
      </c>
      <c r="O3032" s="3"/>
      <c r="S3032" s="4"/>
    </row>
    <row r="3033" ht="14.25" customHeight="1">
      <c r="A3033" s="1" t="s">
        <v>6095</v>
      </c>
      <c r="B3033" s="1">
        <v>89.0</v>
      </c>
      <c r="C3033" s="1">
        <v>1.5818967E7</v>
      </c>
      <c r="D3033" s="1" t="s">
        <v>2512</v>
      </c>
      <c r="E3033" s="1" t="s">
        <v>3405</v>
      </c>
      <c r="F3033" s="1" t="s">
        <v>6096</v>
      </c>
      <c r="G3033" s="1">
        <v>13913.0</v>
      </c>
      <c r="H3033" s="1">
        <v>120.0</v>
      </c>
      <c r="I3033" s="1" t="s">
        <v>16</v>
      </c>
      <c r="J3033" s="1">
        <v>7000000.0</v>
      </c>
      <c r="K3033" s="1">
        <v>2014.0</v>
      </c>
      <c r="L3033" s="1">
        <v>4.0</v>
      </c>
      <c r="O3033" s="3"/>
      <c r="S3033" s="4"/>
    </row>
    <row r="3034" ht="14.25" customHeight="1">
      <c r="A3034" s="1" t="s">
        <v>1695</v>
      </c>
      <c r="B3034" s="1">
        <v>92.0</v>
      </c>
      <c r="C3034" s="1">
        <v>1.4891E7</v>
      </c>
      <c r="D3034" s="1" t="s">
        <v>828</v>
      </c>
      <c r="E3034" s="1" t="s">
        <v>5122</v>
      </c>
      <c r="F3034" s="1" t="s">
        <v>6097</v>
      </c>
      <c r="G3034" s="1">
        <v>15088.0</v>
      </c>
      <c r="H3034" s="1">
        <v>105.0</v>
      </c>
      <c r="I3034" s="1" t="s">
        <v>16</v>
      </c>
      <c r="J3034" s="1">
        <v>7000000.0</v>
      </c>
      <c r="K3034" s="1">
        <v>1996.0</v>
      </c>
      <c r="L3034" s="1">
        <v>6.8</v>
      </c>
      <c r="O3034" s="3"/>
      <c r="S3034" s="4"/>
    </row>
    <row r="3035" ht="14.25" customHeight="1">
      <c r="A3035" s="1" t="s">
        <v>4891</v>
      </c>
      <c r="B3035" s="1">
        <v>109.0</v>
      </c>
      <c r="C3035" s="1">
        <v>1.6901126E7</v>
      </c>
      <c r="D3035" s="1" t="s">
        <v>6098</v>
      </c>
      <c r="E3035" s="1" t="s">
        <v>6099</v>
      </c>
      <c r="F3035" s="1" t="s">
        <v>6100</v>
      </c>
      <c r="G3035" s="1">
        <v>76267.0</v>
      </c>
      <c r="H3035" s="1">
        <v>687.0</v>
      </c>
      <c r="I3035" s="1" t="s">
        <v>16</v>
      </c>
      <c r="J3035" s="1">
        <v>7000000.0</v>
      </c>
      <c r="K3035" s="1">
        <v>2005.0</v>
      </c>
      <c r="L3035" s="1">
        <v>6.9</v>
      </c>
      <c r="O3035" s="3"/>
      <c r="S3035" s="4"/>
    </row>
    <row r="3036" ht="14.25" customHeight="1">
      <c r="A3036" s="1" t="s">
        <v>5115</v>
      </c>
      <c r="B3036" s="1">
        <v>103.0</v>
      </c>
      <c r="C3036" s="1">
        <v>1.7474107E7</v>
      </c>
      <c r="D3036" s="1" t="s">
        <v>3596</v>
      </c>
      <c r="E3036" s="1" t="s">
        <v>6101</v>
      </c>
      <c r="F3036" s="1" t="s">
        <v>6102</v>
      </c>
      <c r="G3036" s="1">
        <v>56605.0</v>
      </c>
      <c r="H3036" s="1">
        <v>89.0</v>
      </c>
      <c r="I3036" s="1" t="s">
        <v>16</v>
      </c>
      <c r="J3036" s="1">
        <v>7000000.0</v>
      </c>
      <c r="K3036" s="1">
        <v>2015.0</v>
      </c>
      <c r="L3036" s="1">
        <v>7.3</v>
      </c>
      <c r="O3036" s="3"/>
      <c r="S3036" s="4"/>
    </row>
    <row r="3037" ht="14.25" customHeight="1">
      <c r="A3037" s="1" t="s">
        <v>2971</v>
      </c>
      <c r="B3037" s="1">
        <v>95.0</v>
      </c>
      <c r="C3037" s="1">
        <v>1.4003141E7</v>
      </c>
      <c r="D3037" s="1" t="s">
        <v>901</v>
      </c>
      <c r="E3037" s="1" t="s">
        <v>1421</v>
      </c>
      <c r="F3037" s="1" t="s">
        <v>6103</v>
      </c>
      <c r="G3037" s="1">
        <v>4598.0</v>
      </c>
      <c r="H3037" s="1">
        <v>29.0</v>
      </c>
      <c r="I3037" s="1" t="s">
        <v>16</v>
      </c>
      <c r="J3037" s="1">
        <v>7000000.0</v>
      </c>
      <c r="K3037" s="1">
        <v>1999.0</v>
      </c>
      <c r="L3037" s="1">
        <v>6.1</v>
      </c>
      <c r="O3037" s="3"/>
      <c r="S3037" s="4"/>
    </row>
    <row r="3038" ht="14.25" customHeight="1">
      <c r="A3038" s="1" t="s">
        <v>21</v>
      </c>
      <c r="B3038" s="1">
        <v>143.0</v>
      </c>
      <c r="C3038" s="1">
        <v>3.04360277E8</v>
      </c>
      <c r="D3038" s="1" t="s">
        <v>22</v>
      </c>
      <c r="E3038" s="1" t="s">
        <v>105</v>
      </c>
      <c r="F3038" s="1" t="s">
        <v>106</v>
      </c>
      <c r="G3038" s="1">
        <v>522048.0</v>
      </c>
      <c r="H3038" s="1">
        <v>1498.0</v>
      </c>
      <c r="I3038" s="1" t="s">
        <v>16</v>
      </c>
      <c r="J3038" s="1">
        <v>2.0E8</v>
      </c>
      <c r="K3038" s="1">
        <v>2012.0</v>
      </c>
      <c r="L3038" s="1">
        <v>7.8</v>
      </c>
      <c r="O3038" s="3"/>
      <c r="S3038" s="4"/>
    </row>
    <row r="3039" ht="14.25" customHeight="1">
      <c r="A3039" s="1" t="s">
        <v>4891</v>
      </c>
      <c r="B3039" s="1">
        <v>105.0</v>
      </c>
      <c r="C3039" s="1">
        <v>1.258351E7</v>
      </c>
      <c r="D3039" s="1" t="s">
        <v>2551</v>
      </c>
      <c r="E3039" s="1" t="s">
        <v>6099</v>
      </c>
      <c r="F3039" s="1" t="s">
        <v>6104</v>
      </c>
      <c r="G3039" s="1">
        <v>60709.0</v>
      </c>
      <c r="H3039" s="1">
        <v>922.0</v>
      </c>
      <c r="I3039" s="1" t="s">
        <v>16</v>
      </c>
      <c r="J3039" s="1">
        <v>7000000.0</v>
      </c>
      <c r="K3039" s="1">
        <v>2003.0</v>
      </c>
      <c r="L3039" s="1">
        <v>6.0</v>
      </c>
      <c r="O3039" s="3"/>
      <c r="S3039" s="4"/>
    </row>
    <row r="3040" ht="14.25" customHeight="1">
      <c r="A3040" s="1" t="s">
        <v>2831</v>
      </c>
      <c r="B3040" s="1">
        <v>106.0</v>
      </c>
      <c r="C3040" s="1">
        <v>9190525.0</v>
      </c>
      <c r="D3040" s="1" t="s">
        <v>1059</v>
      </c>
      <c r="E3040" s="1" t="s">
        <v>6105</v>
      </c>
      <c r="F3040" s="1" t="s">
        <v>6106</v>
      </c>
      <c r="G3040" s="1">
        <v>102125.0</v>
      </c>
      <c r="H3040" s="1">
        <v>324.0</v>
      </c>
      <c r="I3040" s="1" t="s">
        <v>16</v>
      </c>
      <c r="J3040" s="1">
        <v>7000000.0</v>
      </c>
      <c r="K3040" s="1">
        <v>2009.0</v>
      </c>
      <c r="L3040" s="1">
        <v>7.0</v>
      </c>
      <c r="O3040" s="3"/>
      <c r="S3040" s="4"/>
    </row>
    <row r="3041" ht="14.25" customHeight="1">
      <c r="A3041" s="1" t="s">
        <v>6107</v>
      </c>
      <c r="B3041" s="1">
        <v>100.0</v>
      </c>
      <c r="C3041" s="1">
        <v>9176553.0</v>
      </c>
      <c r="D3041" s="1" t="s">
        <v>3192</v>
      </c>
      <c r="E3041" s="1" t="s">
        <v>899</v>
      </c>
      <c r="F3041" s="1" t="s">
        <v>6108</v>
      </c>
      <c r="G3041" s="1">
        <v>19147.0</v>
      </c>
      <c r="H3041" s="1">
        <v>97.0</v>
      </c>
      <c r="I3041" s="1" t="s">
        <v>16</v>
      </c>
      <c r="J3041" s="1">
        <v>7500000.0</v>
      </c>
      <c r="K3041" s="1">
        <v>2009.0</v>
      </c>
      <c r="L3041" s="1">
        <v>7.1</v>
      </c>
      <c r="O3041" s="3"/>
      <c r="S3041" s="4"/>
    </row>
    <row r="3042" ht="14.25" customHeight="1">
      <c r="A3042" s="1" t="s">
        <v>2814</v>
      </c>
      <c r="B3042" s="1">
        <v>103.0</v>
      </c>
      <c r="C3042" s="1">
        <v>9094451.0</v>
      </c>
      <c r="D3042" s="1" t="s">
        <v>3506</v>
      </c>
      <c r="E3042" s="1" t="s">
        <v>2471</v>
      </c>
      <c r="F3042" s="1" t="s">
        <v>6109</v>
      </c>
      <c r="G3042" s="1">
        <v>11668.0</v>
      </c>
      <c r="H3042" s="1">
        <v>79.0</v>
      </c>
      <c r="I3042" s="1" t="s">
        <v>16</v>
      </c>
      <c r="J3042" s="1">
        <v>7000000.0</v>
      </c>
      <c r="K3042" s="1">
        <v>1989.0</v>
      </c>
      <c r="L3042" s="1">
        <v>6.2</v>
      </c>
      <c r="O3042" s="3"/>
      <c r="S3042" s="4"/>
    </row>
    <row r="3043" ht="14.25" customHeight="1">
      <c r="A3043" s="1" t="s">
        <v>4914</v>
      </c>
      <c r="B3043" s="1">
        <v>116.0</v>
      </c>
      <c r="C3043" s="1">
        <v>1.461284E7</v>
      </c>
      <c r="D3043" s="1" t="s">
        <v>2466</v>
      </c>
      <c r="E3043" s="1" t="s">
        <v>3922</v>
      </c>
      <c r="F3043" s="1" t="s">
        <v>6110</v>
      </c>
      <c r="G3043" s="1">
        <v>11191.0</v>
      </c>
      <c r="H3043" s="1">
        <v>37.0</v>
      </c>
      <c r="I3043" s="1" t="s">
        <v>16</v>
      </c>
      <c r="J3043" s="1">
        <v>7000000.0</v>
      </c>
      <c r="K3043" s="1">
        <v>2014.0</v>
      </c>
      <c r="L3043" s="1">
        <v>6.9</v>
      </c>
      <c r="O3043" s="3"/>
      <c r="S3043" s="4"/>
    </row>
    <row r="3044" ht="14.25" customHeight="1">
      <c r="A3044" s="1" t="s">
        <v>6111</v>
      </c>
      <c r="B3044" s="1">
        <v>99.0</v>
      </c>
      <c r="C3044" s="1">
        <v>9166863.0</v>
      </c>
      <c r="D3044" s="1" t="s">
        <v>92</v>
      </c>
      <c r="E3044" s="1" t="s">
        <v>1475</v>
      </c>
      <c r="F3044" s="1" t="s">
        <v>6112</v>
      </c>
      <c r="G3044" s="1">
        <v>83182.0</v>
      </c>
      <c r="H3044" s="1">
        <v>247.0</v>
      </c>
      <c r="I3044" s="1" t="s">
        <v>16</v>
      </c>
      <c r="J3044" s="1">
        <v>7000000.0</v>
      </c>
      <c r="K3044" s="1">
        <v>2009.0</v>
      </c>
      <c r="L3044" s="1">
        <v>7.6</v>
      </c>
      <c r="O3044" s="3"/>
      <c r="S3044" s="4"/>
    </row>
    <row r="3045" ht="14.25" customHeight="1">
      <c r="A3045" s="1" t="s">
        <v>208</v>
      </c>
      <c r="B3045" s="1">
        <v>164.0</v>
      </c>
      <c r="C3045" s="1">
        <v>8373585.0</v>
      </c>
      <c r="D3045" s="1" t="s">
        <v>1391</v>
      </c>
      <c r="E3045" s="1" t="s">
        <v>2853</v>
      </c>
      <c r="F3045" s="1" t="s">
        <v>6113</v>
      </c>
      <c r="G3045" s="1">
        <v>39680.0</v>
      </c>
      <c r="H3045" s="1">
        <v>308.0</v>
      </c>
      <c r="I3045" s="1" t="s">
        <v>16</v>
      </c>
      <c r="J3045" s="1">
        <v>7000000.0</v>
      </c>
      <c r="K3045" s="1">
        <v>1988.0</v>
      </c>
      <c r="L3045" s="1">
        <v>7.6</v>
      </c>
      <c r="O3045" s="3"/>
      <c r="S3045" s="4"/>
    </row>
    <row r="3046" ht="14.25" customHeight="1">
      <c r="A3046" s="1" t="s">
        <v>6000</v>
      </c>
      <c r="B3046" s="1">
        <v>96.0</v>
      </c>
      <c r="C3046" s="1">
        <v>7292175.0</v>
      </c>
      <c r="D3046" s="1" t="s">
        <v>593</v>
      </c>
      <c r="E3046" s="1" t="s">
        <v>6114</v>
      </c>
      <c r="F3046" s="1" t="s">
        <v>6115</v>
      </c>
      <c r="G3046" s="1">
        <v>7736.0</v>
      </c>
      <c r="H3046" s="1">
        <v>100.0</v>
      </c>
      <c r="I3046" s="1" t="s">
        <v>16</v>
      </c>
      <c r="J3046" s="1">
        <v>7000000.0</v>
      </c>
      <c r="K3046" s="1">
        <v>1999.0</v>
      </c>
      <c r="L3046" s="1">
        <v>6.4</v>
      </c>
      <c r="O3046" s="3"/>
      <c r="S3046" s="4"/>
    </row>
    <row r="3047" ht="14.25" customHeight="1">
      <c r="A3047" s="1" t="s">
        <v>6116</v>
      </c>
      <c r="B3047" s="1">
        <v>122.0</v>
      </c>
      <c r="C3047" s="1">
        <v>6601079.0</v>
      </c>
      <c r="D3047" s="1" t="s">
        <v>1413</v>
      </c>
      <c r="E3047" s="1" t="s">
        <v>6117</v>
      </c>
      <c r="F3047" s="1" t="s">
        <v>6118</v>
      </c>
      <c r="G3047" s="1">
        <v>17436.0</v>
      </c>
      <c r="H3047" s="1">
        <v>276.0</v>
      </c>
      <c r="I3047" s="1" t="s">
        <v>16</v>
      </c>
      <c r="J3047" s="1">
        <v>7000000.0</v>
      </c>
      <c r="K3047" s="1">
        <v>2004.0</v>
      </c>
      <c r="L3047" s="1">
        <v>6.2</v>
      </c>
      <c r="O3047" s="3"/>
      <c r="S3047" s="4"/>
    </row>
    <row r="3048" ht="14.25" customHeight="1">
      <c r="A3048" s="1" t="s">
        <v>502</v>
      </c>
      <c r="B3048" s="1">
        <v>94.0</v>
      </c>
      <c r="C3048" s="1">
        <v>6165429.0</v>
      </c>
      <c r="D3048" s="1" t="s">
        <v>6119</v>
      </c>
      <c r="E3048" s="1" t="s">
        <v>6120</v>
      </c>
      <c r="F3048" s="1" t="s">
        <v>6121</v>
      </c>
      <c r="G3048" s="1">
        <v>23486.0</v>
      </c>
      <c r="H3048" s="1">
        <v>249.0</v>
      </c>
      <c r="I3048" s="1" t="s">
        <v>941</v>
      </c>
      <c r="J3048" s="1">
        <v>6000000.0</v>
      </c>
      <c r="K3048" s="1">
        <v>2002.0</v>
      </c>
      <c r="L3048" s="1">
        <v>7.5</v>
      </c>
      <c r="O3048" s="3"/>
      <c r="S3048" s="4"/>
    </row>
    <row r="3049" ht="14.25" customHeight="1">
      <c r="A3049" s="1" t="s">
        <v>3806</v>
      </c>
      <c r="B3049" s="1">
        <v>93.0</v>
      </c>
      <c r="C3049" s="1">
        <v>5694308.0</v>
      </c>
      <c r="D3049" s="1" t="s">
        <v>1592</v>
      </c>
      <c r="E3049" s="1" t="s">
        <v>4527</v>
      </c>
      <c r="F3049" s="1" t="s">
        <v>6122</v>
      </c>
      <c r="G3049" s="1">
        <v>13815.0</v>
      </c>
      <c r="H3049" s="1">
        <v>46.0</v>
      </c>
      <c r="I3049" s="1" t="s">
        <v>16</v>
      </c>
      <c r="J3049" s="1">
        <v>7000000.0</v>
      </c>
      <c r="K3049" s="1">
        <v>2007.0</v>
      </c>
      <c r="L3049" s="1">
        <v>2.0</v>
      </c>
      <c r="O3049" s="3"/>
      <c r="S3049" s="4"/>
    </row>
    <row r="3050" ht="14.25" customHeight="1">
      <c r="A3050" s="1" t="s">
        <v>6123</v>
      </c>
      <c r="B3050" s="1">
        <v>96.0</v>
      </c>
      <c r="C3050" s="1">
        <v>5430822.0</v>
      </c>
      <c r="D3050" s="1" t="s">
        <v>6124</v>
      </c>
      <c r="E3050" s="1" t="s">
        <v>6125</v>
      </c>
      <c r="F3050" s="1" t="s">
        <v>6126</v>
      </c>
      <c r="G3050" s="1">
        <v>8391.0</v>
      </c>
      <c r="H3050" s="1">
        <v>75.0</v>
      </c>
      <c r="I3050" s="1" t="s">
        <v>16</v>
      </c>
      <c r="J3050" s="1">
        <v>7000000.0</v>
      </c>
      <c r="K3050" s="1">
        <v>1992.0</v>
      </c>
      <c r="L3050" s="1">
        <v>6.2</v>
      </c>
      <c r="O3050" s="3"/>
      <c r="S3050" s="4"/>
    </row>
    <row r="3051" ht="14.25" customHeight="1">
      <c r="A3051" s="1" t="s">
        <v>6127</v>
      </c>
      <c r="B3051" s="1">
        <v>113.0</v>
      </c>
      <c r="C3051" s="1">
        <v>4720371.0</v>
      </c>
      <c r="D3051" s="1" t="s">
        <v>4279</v>
      </c>
      <c r="E3051" s="1" t="s">
        <v>953</v>
      </c>
      <c r="F3051" s="1" t="s">
        <v>6128</v>
      </c>
      <c r="G3051" s="1">
        <v>3203.0</v>
      </c>
      <c r="H3051" s="1">
        <v>85.0</v>
      </c>
      <c r="I3051" s="1" t="s">
        <v>16</v>
      </c>
      <c r="J3051" s="1">
        <v>7000000.0</v>
      </c>
      <c r="K3051" s="1">
        <v>2001.0</v>
      </c>
      <c r="L3051" s="1">
        <v>6.5</v>
      </c>
      <c r="O3051" s="3"/>
      <c r="S3051" s="4"/>
    </row>
    <row r="3052" ht="14.25" customHeight="1">
      <c r="A3052" s="1" t="s">
        <v>5841</v>
      </c>
      <c r="B3052" s="1">
        <v>192.0</v>
      </c>
      <c r="C3052" s="1">
        <v>2921738.0</v>
      </c>
      <c r="D3052" s="1" t="s">
        <v>1170</v>
      </c>
      <c r="E3052" s="1" t="s">
        <v>5553</v>
      </c>
      <c r="F3052" s="1" t="s">
        <v>6129</v>
      </c>
      <c r="G3052" s="1">
        <v>34449.0</v>
      </c>
      <c r="H3052" s="1">
        <v>119.0</v>
      </c>
      <c r="I3052" s="1" t="s">
        <v>5555</v>
      </c>
      <c r="J3052" s="1">
        <v>7000000.0</v>
      </c>
      <c r="K3052" s="1">
        <v>2004.0</v>
      </c>
      <c r="L3052" s="1">
        <v>7.9</v>
      </c>
      <c r="O3052" s="3"/>
      <c r="S3052" s="4"/>
    </row>
    <row r="3053" ht="14.25" customHeight="1">
      <c r="A3053" s="1" t="s">
        <v>805</v>
      </c>
      <c r="B3053" s="1">
        <v>99.0</v>
      </c>
      <c r="C3053" s="1">
        <v>2344847.0</v>
      </c>
      <c r="D3053" s="1" t="s">
        <v>1540</v>
      </c>
      <c r="E3053" s="1" t="s">
        <v>3162</v>
      </c>
      <c r="F3053" s="1" t="s">
        <v>6130</v>
      </c>
      <c r="G3053" s="1">
        <v>18561.0</v>
      </c>
      <c r="H3053" s="1">
        <v>119.0</v>
      </c>
      <c r="I3053" s="1" t="s">
        <v>16</v>
      </c>
      <c r="J3053" s="1">
        <v>7000000.0</v>
      </c>
      <c r="K3053" s="1">
        <v>2008.0</v>
      </c>
      <c r="L3053" s="1">
        <v>6.8</v>
      </c>
      <c r="O3053" s="3"/>
      <c r="S3053" s="4"/>
    </row>
    <row r="3054" ht="14.25" customHeight="1">
      <c r="A3054" s="1" t="s">
        <v>5724</v>
      </c>
      <c r="B3054" s="1">
        <v>91.0</v>
      </c>
      <c r="C3054" s="1">
        <v>7455447.0</v>
      </c>
      <c r="D3054" s="1" t="s">
        <v>593</v>
      </c>
      <c r="E3054" s="1" t="s">
        <v>2112</v>
      </c>
      <c r="F3054" s="1" t="s">
        <v>6131</v>
      </c>
      <c r="G3054" s="1">
        <v>29967.0</v>
      </c>
      <c r="H3054" s="1">
        <v>126.0</v>
      </c>
      <c r="I3054" s="1" t="s">
        <v>16</v>
      </c>
      <c r="J3054" s="1">
        <v>7000000.0</v>
      </c>
      <c r="K3054" s="1">
        <v>2010.0</v>
      </c>
      <c r="L3054" s="1">
        <v>6.3</v>
      </c>
      <c r="O3054" s="3"/>
      <c r="S3054" s="4"/>
    </row>
    <row r="3055" ht="14.25" customHeight="1">
      <c r="A3055" s="1" t="s">
        <v>6132</v>
      </c>
      <c r="B3055" s="1">
        <v>100.0</v>
      </c>
      <c r="C3055" s="1">
        <v>2148212.0</v>
      </c>
      <c r="D3055" s="1" t="s">
        <v>2844</v>
      </c>
      <c r="E3055" s="1" t="s">
        <v>3686</v>
      </c>
      <c r="F3055" s="1" t="s">
        <v>6133</v>
      </c>
      <c r="G3055" s="1">
        <v>781.0</v>
      </c>
      <c r="H3055" s="1">
        <v>20.0</v>
      </c>
      <c r="I3055" s="1" t="s">
        <v>16</v>
      </c>
      <c r="J3055" s="1">
        <v>7000000.0</v>
      </c>
      <c r="K3055" s="1">
        <v>1999.0</v>
      </c>
      <c r="L3055" s="1">
        <v>6.3</v>
      </c>
      <c r="O3055" s="3"/>
      <c r="S3055" s="4"/>
    </row>
    <row r="3056" ht="14.25" customHeight="1">
      <c r="A3056" s="1" t="s">
        <v>6134</v>
      </c>
      <c r="B3056" s="1">
        <v>105.0</v>
      </c>
      <c r="C3056" s="1">
        <v>2062066.0</v>
      </c>
      <c r="D3056" s="1" t="s">
        <v>716</v>
      </c>
      <c r="E3056" s="1" t="s">
        <v>413</v>
      </c>
      <c r="F3056" s="1" t="s">
        <v>6135</v>
      </c>
      <c r="G3056" s="1">
        <v>11387.0</v>
      </c>
      <c r="H3056" s="1">
        <v>147.0</v>
      </c>
      <c r="I3056" s="1" t="s">
        <v>16</v>
      </c>
      <c r="J3056" s="1">
        <v>7000000.0</v>
      </c>
      <c r="K3056" s="1">
        <v>2002.0</v>
      </c>
      <c r="L3056" s="1">
        <v>6.6</v>
      </c>
      <c r="O3056" s="3"/>
      <c r="S3056" s="4"/>
    </row>
    <row r="3057" ht="14.25" customHeight="1">
      <c r="A3057" s="1" t="s">
        <v>5310</v>
      </c>
      <c r="B3057" s="1">
        <v>99.0</v>
      </c>
      <c r="C3057" s="1">
        <v>1654367.0</v>
      </c>
      <c r="D3057" s="1" t="s">
        <v>646</v>
      </c>
      <c r="E3057" s="1" t="s">
        <v>5898</v>
      </c>
      <c r="F3057" s="1" t="s">
        <v>6136</v>
      </c>
      <c r="G3057" s="1">
        <v>18355.0</v>
      </c>
      <c r="H3057" s="1">
        <v>106.0</v>
      </c>
      <c r="I3057" s="1" t="s">
        <v>16</v>
      </c>
      <c r="J3057" s="1">
        <v>7000000.0</v>
      </c>
      <c r="K3057" s="1">
        <v>2006.0</v>
      </c>
      <c r="L3057" s="1">
        <v>6.4</v>
      </c>
      <c r="O3057" s="3"/>
      <c r="S3057" s="4"/>
    </row>
    <row r="3058" ht="14.25" customHeight="1">
      <c r="A3058" s="1" t="s">
        <v>6137</v>
      </c>
      <c r="B3058" s="1">
        <v>112.0</v>
      </c>
      <c r="C3058" s="1">
        <v>1738692.0</v>
      </c>
      <c r="D3058" s="1" t="s">
        <v>1654</v>
      </c>
      <c r="E3058" s="1" t="s">
        <v>6138</v>
      </c>
      <c r="F3058" s="1" t="s">
        <v>6139</v>
      </c>
      <c r="G3058" s="1">
        <v>95529.0</v>
      </c>
      <c r="H3058" s="1">
        <v>301.0</v>
      </c>
      <c r="I3058" s="1" t="s">
        <v>16</v>
      </c>
      <c r="J3058" s="1">
        <v>7000000.0</v>
      </c>
      <c r="K3058" s="1">
        <v>2011.0</v>
      </c>
      <c r="L3058" s="1">
        <v>7.5</v>
      </c>
      <c r="O3058" s="3"/>
      <c r="S3058" s="4"/>
    </row>
    <row r="3059" ht="14.25" customHeight="1">
      <c r="A3059" s="1" t="s">
        <v>6140</v>
      </c>
      <c r="B3059" s="1">
        <v>99.0</v>
      </c>
      <c r="C3059" s="1">
        <v>1889522.0</v>
      </c>
      <c r="D3059" s="1" t="s">
        <v>1540</v>
      </c>
      <c r="E3059" s="1" t="s">
        <v>3562</v>
      </c>
      <c r="F3059" s="1" t="s">
        <v>6141</v>
      </c>
      <c r="G3059" s="1">
        <v>1119.0</v>
      </c>
      <c r="H3059" s="1">
        <v>12.0</v>
      </c>
      <c r="I3059" s="1" t="s">
        <v>16</v>
      </c>
      <c r="J3059" s="1">
        <v>7000000.0</v>
      </c>
      <c r="K3059" s="1">
        <v>2009.0</v>
      </c>
      <c r="L3059" s="1">
        <v>6.5</v>
      </c>
      <c r="O3059" s="3"/>
      <c r="S3059" s="4"/>
    </row>
    <row r="3060" ht="14.25" customHeight="1">
      <c r="A3060" s="1" t="s">
        <v>6057</v>
      </c>
      <c r="B3060" s="1">
        <v>125.0</v>
      </c>
      <c r="C3060" s="1">
        <v>1110286.0</v>
      </c>
      <c r="D3060" s="1" t="s">
        <v>92</v>
      </c>
      <c r="E3060" s="1" t="s">
        <v>90</v>
      </c>
      <c r="F3060" s="1" t="s">
        <v>6142</v>
      </c>
      <c r="G3060" s="1">
        <v>9727.0</v>
      </c>
      <c r="H3060" s="1">
        <v>65.0</v>
      </c>
      <c r="I3060" s="1" t="s">
        <v>16</v>
      </c>
      <c r="J3060" s="1">
        <v>4825000.0</v>
      </c>
      <c r="K3060" s="1">
        <v>2009.0</v>
      </c>
      <c r="L3060" s="1">
        <v>7.2</v>
      </c>
      <c r="O3060" s="3"/>
      <c r="S3060" s="4"/>
    </row>
    <row r="3061" ht="14.25" customHeight="1">
      <c r="A3061" s="1" t="s">
        <v>6143</v>
      </c>
      <c r="B3061" s="1">
        <v>107.0</v>
      </c>
      <c r="C3061" s="1">
        <v>1000000.0</v>
      </c>
      <c r="D3061" s="1" t="s">
        <v>513</v>
      </c>
      <c r="E3061" s="1" t="s">
        <v>2651</v>
      </c>
      <c r="F3061" s="1" t="s">
        <v>6144</v>
      </c>
      <c r="G3061" s="1">
        <v>2215.0</v>
      </c>
      <c r="H3061" s="1">
        <v>26.0</v>
      </c>
      <c r="I3061" s="1" t="s">
        <v>16</v>
      </c>
      <c r="J3061" s="1">
        <v>9000000.0</v>
      </c>
      <c r="K3061" s="1">
        <v>1977.0</v>
      </c>
      <c r="L3061" s="1">
        <v>6.3</v>
      </c>
      <c r="O3061" s="3"/>
      <c r="S3061" s="4"/>
    </row>
    <row r="3062" ht="14.25" customHeight="1">
      <c r="A3062" s="1" t="s">
        <v>2722</v>
      </c>
      <c r="B3062" s="1">
        <v>107.0</v>
      </c>
      <c r="C3062" s="1">
        <v>700000.0</v>
      </c>
      <c r="D3062" s="1" t="s">
        <v>2723</v>
      </c>
      <c r="E3062" s="1" t="s">
        <v>4437</v>
      </c>
      <c r="F3062" s="1" t="s">
        <v>6145</v>
      </c>
      <c r="G3062" s="1">
        <v>24438.0</v>
      </c>
      <c r="H3062" s="1">
        <v>78.0</v>
      </c>
      <c r="I3062" s="1" t="s">
        <v>1189</v>
      </c>
      <c r="J3062" s="1">
        <v>5.0E7</v>
      </c>
      <c r="K3062" s="1">
        <v>1993.0</v>
      </c>
      <c r="L3062" s="1">
        <v>7.0</v>
      </c>
      <c r="O3062" s="3"/>
      <c r="S3062" s="4"/>
    </row>
    <row r="3063" ht="14.25" customHeight="1">
      <c r="A3063" s="1" t="s">
        <v>2677</v>
      </c>
      <c r="B3063" s="1">
        <v>97.0</v>
      </c>
      <c r="C3063" s="1">
        <v>1768416.0</v>
      </c>
      <c r="D3063" s="1" t="s">
        <v>1059</v>
      </c>
      <c r="E3063" s="1" t="s">
        <v>6146</v>
      </c>
      <c r="F3063" s="1" t="s">
        <v>6147</v>
      </c>
      <c r="G3063" s="1">
        <v>35848.0</v>
      </c>
      <c r="H3063" s="1">
        <v>198.0</v>
      </c>
      <c r="I3063" s="1" t="s">
        <v>16</v>
      </c>
      <c r="J3063" s="1">
        <v>7000000.0</v>
      </c>
      <c r="K3063" s="1">
        <v>2010.0</v>
      </c>
      <c r="L3063" s="1">
        <v>6.3</v>
      </c>
      <c r="O3063" s="3"/>
      <c r="S3063" s="4"/>
    </row>
    <row r="3064" ht="14.25" customHeight="1">
      <c r="A3064" s="1" t="s">
        <v>6148</v>
      </c>
      <c r="B3064" s="1">
        <v>95.0</v>
      </c>
      <c r="C3064" s="1">
        <v>306715.0</v>
      </c>
      <c r="D3064" s="1" t="s">
        <v>828</v>
      </c>
      <c r="E3064" s="1" t="s">
        <v>1820</v>
      </c>
      <c r="F3064" s="1" t="s">
        <v>6149</v>
      </c>
      <c r="G3064" s="1">
        <v>5143.0</v>
      </c>
      <c r="H3064" s="1">
        <v>62.0</v>
      </c>
      <c r="I3064" s="1" t="s">
        <v>16</v>
      </c>
      <c r="J3064" s="1">
        <v>1.0E7</v>
      </c>
      <c r="K3064" s="1">
        <v>1998.0</v>
      </c>
      <c r="L3064" s="1">
        <v>2.3</v>
      </c>
      <c r="O3064" s="3"/>
      <c r="S3064" s="4"/>
    </row>
    <row r="3065" ht="14.25" customHeight="1">
      <c r="A3065" s="1" t="s">
        <v>6150</v>
      </c>
      <c r="B3065" s="1">
        <v>106.0</v>
      </c>
      <c r="C3065" s="1">
        <v>382946.0</v>
      </c>
      <c r="D3065" s="1" t="s">
        <v>1391</v>
      </c>
      <c r="E3065" s="1" t="s">
        <v>232</v>
      </c>
      <c r="F3065" s="1" t="s">
        <v>6151</v>
      </c>
      <c r="G3065" s="1">
        <v>43965.0</v>
      </c>
      <c r="H3065" s="1">
        <v>99.0</v>
      </c>
      <c r="I3065" s="1" t="s">
        <v>16</v>
      </c>
      <c r="J3065" s="1">
        <v>7000000.0</v>
      </c>
      <c r="K3065" s="1">
        <v>2010.0</v>
      </c>
      <c r="L3065" s="1">
        <v>7.1</v>
      </c>
      <c r="O3065" s="3"/>
      <c r="S3065" s="4"/>
    </row>
    <row r="3066" ht="14.25" customHeight="1">
      <c r="A3066" s="1" t="s">
        <v>2409</v>
      </c>
      <c r="B3066" s="1">
        <v>103.0</v>
      </c>
      <c r="C3066" s="1">
        <v>236266.0</v>
      </c>
      <c r="D3066" s="1" t="s">
        <v>2636</v>
      </c>
      <c r="E3066" s="1" t="s">
        <v>486</v>
      </c>
      <c r="F3066" s="1" t="s">
        <v>6152</v>
      </c>
      <c r="G3066" s="1">
        <v>15104.0</v>
      </c>
      <c r="H3066" s="1">
        <v>290.0</v>
      </c>
      <c r="I3066" s="1" t="s">
        <v>16</v>
      </c>
      <c r="J3066" s="1">
        <v>3500000.0</v>
      </c>
      <c r="K3066" s="1">
        <v>2002.0</v>
      </c>
      <c r="L3066" s="1">
        <v>6.2</v>
      </c>
      <c r="O3066" s="3"/>
      <c r="S3066" s="4"/>
    </row>
    <row r="3067" ht="14.25" customHeight="1">
      <c r="A3067" s="1" t="s">
        <v>6153</v>
      </c>
      <c r="B3067" s="1">
        <v>96.0</v>
      </c>
      <c r="C3067" s="1">
        <v>196067.0</v>
      </c>
      <c r="D3067" s="1" t="s">
        <v>92</v>
      </c>
      <c r="E3067" s="1" t="s">
        <v>1175</v>
      </c>
      <c r="F3067" s="1" t="s">
        <v>6154</v>
      </c>
      <c r="G3067" s="1">
        <v>1966.0</v>
      </c>
      <c r="H3067" s="1">
        <v>25.0</v>
      </c>
      <c r="I3067" s="1" t="s">
        <v>16</v>
      </c>
      <c r="J3067" s="1">
        <v>7000000.0</v>
      </c>
      <c r="K3067" s="1">
        <v>2002.0</v>
      </c>
      <c r="L3067" s="1">
        <v>6.7</v>
      </c>
      <c r="O3067" s="3"/>
      <c r="S3067" s="4"/>
    </row>
    <row r="3068" ht="14.25" customHeight="1">
      <c r="A3068" s="1" t="s">
        <v>5616</v>
      </c>
      <c r="B3068" s="1">
        <v>103.0</v>
      </c>
      <c r="C3068" s="1">
        <v>532988.0</v>
      </c>
      <c r="D3068" s="1" t="s">
        <v>2521</v>
      </c>
      <c r="E3068" s="1" t="s">
        <v>1222</v>
      </c>
      <c r="F3068" s="1" t="s">
        <v>6155</v>
      </c>
      <c r="G3068" s="1">
        <v>5863.0</v>
      </c>
      <c r="H3068" s="1">
        <v>25.0</v>
      </c>
      <c r="I3068" s="1" t="s">
        <v>16</v>
      </c>
      <c r="J3068" s="1">
        <v>7000000.0</v>
      </c>
      <c r="K3068" s="1">
        <v>2015.0</v>
      </c>
      <c r="L3068" s="1">
        <v>6.5</v>
      </c>
      <c r="O3068" s="3"/>
      <c r="S3068" s="4"/>
    </row>
    <row r="3069" ht="14.25" customHeight="1">
      <c r="A3069" s="1" t="s">
        <v>6156</v>
      </c>
      <c r="B3069" s="1">
        <v>108.0</v>
      </c>
      <c r="C3069" s="1">
        <v>453079.0</v>
      </c>
      <c r="D3069" s="1" t="s">
        <v>828</v>
      </c>
      <c r="E3069" s="1" t="s">
        <v>6157</v>
      </c>
      <c r="F3069" s="1" t="s">
        <v>6158</v>
      </c>
      <c r="G3069" s="1">
        <v>4124.0</v>
      </c>
      <c r="H3069" s="1">
        <v>29.0</v>
      </c>
      <c r="I3069" s="1" t="s">
        <v>16</v>
      </c>
      <c r="J3069" s="1">
        <v>7000000.0</v>
      </c>
      <c r="K3069" s="1">
        <v>2010.0</v>
      </c>
      <c r="L3069" s="1">
        <v>5.9</v>
      </c>
      <c r="O3069" s="3"/>
      <c r="S3069" s="4"/>
    </row>
    <row r="3070" ht="14.25" customHeight="1">
      <c r="A3070" s="1" t="s">
        <v>6159</v>
      </c>
      <c r="B3070" s="1">
        <v>118.0</v>
      </c>
      <c r="C3070" s="1">
        <v>46451.0</v>
      </c>
      <c r="D3070" s="1" t="s">
        <v>2378</v>
      </c>
      <c r="E3070" s="1" t="s">
        <v>42</v>
      </c>
      <c r="F3070" s="1" t="s">
        <v>6160</v>
      </c>
      <c r="G3070" s="1">
        <v>7663.0</v>
      </c>
      <c r="H3070" s="1">
        <v>38.0</v>
      </c>
      <c r="I3070" s="1" t="s">
        <v>16</v>
      </c>
      <c r="J3070" s="1">
        <v>7000000.0</v>
      </c>
      <c r="K3070" s="1">
        <v>2010.0</v>
      </c>
      <c r="L3070" s="1">
        <v>6.0</v>
      </c>
      <c r="O3070" s="3"/>
      <c r="S3070" s="4"/>
    </row>
    <row r="3071" ht="14.25" customHeight="1">
      <c r="A3071" s="1" t="s">
        <v>3065</v>
      </c>
      <c r="B3071" s="1">
        <v>97.0</v>
      </c>
      <c r="C3071" s="1">
        <v>233103.0</v>
      </c>
      <c r="D3071" s="1" t="s">
        <v>1391</v>
      </c>
      <c r="E3071" s="1" t="s">
        <v>3429</v>
      </c>
      <c r="F3071" s="1" t="s">
        <v>6161</v>
      </c>
      <c r="G3071" s="1">
        <v>2670.0</v>
      </c>
      <c r="H3071" s="1">
        <v>50.0</v>
      </c>
      <c r="I3071" s="1" t="s">
        <v>16</v>
      </c>
      <c r="J3071" s="1">
        <v>7000000.0</v>
      </c>
      <c r="K3071" s="1">
        <v>2005.0</v>
      </c>
      <c r="L3071" s="1">
        <v>6.9</v>
      </c>
      <c r="O3071" s="3"/>
      <c r="S3071" s="4"/>
    </row>
    <row r="3072" ht="14.25" customHeight="1">
      <c r="A3072" s="1" t="s">
        <v>1506</v>
      </c>
      <c r="B3072" s="1">
        <v>115.0</v>
      </c>
      <c r="C3072" s="1">
        <v>4.14E7</v>
      </c>
      <c r="D3072" s="1" t="s">
        <v>6162</v>
      </c>
      <c r="E3072" s="1" t="s">
        <v>1506</v>
      </c>
      <c r="F3072" s="1" t="s">
        <v>6163</v>
      </c>
      <c r="G3072" s="1">
        <v>39451.0</v>
      </c>
      <c r="H3072" s="1">
        <v>138.0</v>
      </c>
      <c r="I3072" s="1" t="s">
        <v>16</v>
      </c>
      <c r="J3072" s="1">
        <v>6900000.0</v>
      </c>
      <c r="K3072" s="1">
        <v>1985.0</v>
      </c>
      <c r="L3072" s="1">
        <v>7.3</v>
      </c>
      <c r="O3072" s="3"/>
      <c r="S3072" s="4"/>
    </row>
    <row r="3073" ht="14.25" customHeight="1">
      <c r="A3073" s="1" t="s">
        <v>3582</v>
      </c>
      <c r="B3073" s="1">
        <v>102.0</v>
      </c>
      <c r="C3073" s="1">
        <v>7993039.0</v>
      </c>
      <c r="D3073" s="1" t="s">
        <v>828</v>
      </c>
      <c r="E3073" s="1" t="s">
        <v>831</v>
      </c>
      <c r="F3073" s="1" t="s">
        <v>6164</v>
      </c>
      <c r="G3073" s="1">
        <v>120036.0</v>
      </c>
      <c r="H3073" s="1">
        <v>408.0</v>
      </c>
      <c r="I3073" s="1" t="s">
        <v>16</v>
      </c>
      <c r="J3073" s="1">
        <v>6900000.0</v>
      </c>
      <c r="K3073" s="1">
        <v>1993.0</v>
      </c>
      <c r="L3073" s="1">
        <v>7.7</v>
      </c>
      <c r="O3073" s="3"/>
      <c r="S3073" s="4"/>
    </row>
    <row r="3074" ht="14.25" customHeight="1">
      <c r="A3074" s="1" t="s">
        <v>6165</v>
      </c>
      <c r="B3074" s="1">
        <v>125.0</v>
      </c>
      <c r="C3074" s="1">
        <v>927107.0</v>
      </c>
      <c r="D3074" s="1" t="s">
        <v>4617</v>
      </c>
      <c r="E3074" s="1" t="s">
        <v>6166</v>
      </c>
      <c r="F3074" s="1" t="s">
        <v>6167</v>
      </c>
      <c r="G3074" s="1">
        <v>5153.0</v>
      </c>
      <c r="H3074" s="1">
        <v>51.0</v>
      </c>
      <c r="I3074" s="1" t="s">
        <v>4449</v>
      </c>
      <c r="J3074" s="1">
        <v>1.5E7</v>
      </c>
      <c r="K3074" s="1">
        <v>1999.0</v>
      </c>
      <c r="L3074" s="1">
        <v>7.3</v>
      </c>
      <c r="O3074" s="3"/>
      <c r="S3074" s="4"/>
    </row>
    <row r="3075" ht="14.25" customHeight="1">
      <c r="A3075" s="1" t="s">
        <v>6168</v>
      </c>
      <c r="B3075" s="1">
        <v>108.0</v>
      </c>
      <c r="C3075" s="1">
        <v>49526.0</v>
      </c>
      <c r="D3075" s="1" t="s">
        <v>1059</v>
      </c>
      <c r="E3075" s="1" t="s">
        <v>1343</v>
      </c>
      <c r="F3075" s="1" t="s">
        <v>6169</v>
      </c>
      <c r="G3075" s="1">
        <v>16299.0</v>
      </c>
      <c r="H3075" s="1">
        <v>129.0</v>
      </c>
      <c r="I3075" s="1" t="s">
        <v>16</v>
      </c>
      <c r="J3075" s="1">
        <v>6800000.0</v>
      </c>
      <c r="K3075" s="1">
        <v>2005.0</v>
      </c>
      <c r="L3075" s="1">
        <v>7.0</v>
      </c>
      <c r="O3075" s="3"/>
      <c r="S3075" s="4"/>
    </row>
    <row r="3076" ht="14.25" customHeight="1">
      <c r="A3076" s="1" t="s">
        <v>6170</v>
      </c>
      <c r="B3076" s="1">
        <v>101.0</v>
      </c>
      <c r="C3076" s="1">
        <v>10696.0</v>
      </c>
      <c r="D3076" s="1" t="s">
        <v>640</v>
      </c>
      <c r="E3076" s="1" t="s">
        <v>6171</v>
      </c>
      <c r="F3076" s="1" t="s">
        <v>6172</v>
      </c>
      <c r="G3076" s="1">
        <v>10771.0</v>
      </c>
      <c r="H3076" s="1">
        <v>65.0</v>
      </c>
      <c r="I3076" s="1" t="s">
        <v>16</v>
      </c>
      <c r="J3076" s="1">
        <v>6800000.0</v>
      </c>
      <c r="K3076" s="1">
        <v>2003.0</v>
      </c>
      <c r="L3076" s="1">
        <v>6.4</v>
      </c>
      <c r="O3076" s="3"/>
      <c r="S3076" s="4"/>
    </row>
    <row r="3077" ht="14.25" customHeight="1">
      <c r="A3077" s="1" t="s">
        <v>6173</v>
      </c>
      <c r="B3077" s="1">
        <v>101.0</v>
      </c>
      <c r="C3077" s="1">
        <v>3.1607598E7</v>
      </c>
      <c r="D3077" s="1" t="s">
        <v>1790</v>
      </c>
      <c r="E3077" s="1" t="s">
        <v>152</v>
      </c>
      <c r="F3077" s="1" t="s">
        <v>6174</v>
      </c>
      <c r="G3077" s="1">
        <v>58366.0</v>
      </c>
      <c r="H3077" s="1">
        <v>160.0</v>
      </c>
      <c r="I3077" s="1" t="s">
        <v>16</v>
      </c>
      <c r="J3077" s="1">
        <v>6900000.0</v>
      </c>
      <c r="K3077" s="1">
        <v>2012.0</v>
      </c>
      <c r="L3077" s="1">
        <v>5.6</v>
      </c>
      <c r="O3077" s="3"/>
      <c r="S3077" s="4"/>
    </row>
    <row r="3078" ht="14.25" customHeight="1">
      <c r="A3078" s="1" t="s">
        <v>2286</v>
      </c>
      <c r="B3078" s="1">
        <v>139.0</v>
      </c>
      <c r="C3078" s="1">
        <v>6857096.0</v>
      </c>
      <c r="D3078" s="1" t="s">
        <v>6175</v>
      </c>
      <c r="E3078" s="1" t="s">
        <v>6176</v>
      </c>
      <c r="F3078" s="1" t="s">
        <v>6177</v>
      </c>
      <c r="G3078" s="1">
        <v>80429.0</v>
      </c>
      <c r="H3078" s="1">
        <v>156.0</v>
      </c>
      <c r="I3078" s="1" t="s">
        <v>1189</v>
      </c>
      <c r="J3078" s="1">
        <v>6800000.0</v>
      </c>
      <c r="K3078" s="1">
        <v>2010.0</v>
      </c>
      <c r="L3078" s="1">
        <v>8.2</v>
      </c>
      <c r="O3078" s="3"/>
      <c r="S3078" s="4"/>
    </row>
    <row r="3079" ht="14.25" customHeight="1">
      <c r="A3079" s="1" t="s">
        <v>1876</v>
      </c>
      <c r="B3079" s="1">
        <v>125.0</v>
      </c>
      <c r="C3079" s="1">
        <v>223878.0</v>
      </c>
      <c r="D3079" s="1" t="s">
        <v>593</v>
      </c>
      <c r="E3079" s="1" t="s">
        <v>6178</v>
      </c>
      <c r="F3079" s="1" t="s">
        <v>6179</v>
      </c>
      <c r="G3079" s="1">
        <v>3548.0</v>
      </c>
      <c r="H3079" s="1">
        <v>21.0</v>
      </c>
      <c r="I3079" s="1" t="s">
        <v>3818</v>
      </c>
      <c r="J3079" s="1">
        <v>5000000.0</v>
      </c>
      <c r="K3079" s="1">
        <v>2003.0</v>
      </c>
      <c r="L3079" s="1">
        <v>6.5</v>
      </c>
      <c r="O3079" s="3"/>
      <c r="S3079" s="4"/>
    </row>
    <row r="3080" ht="14.25" customHeight="1">
      <c r="A3080" s="1" t="s">
        <v>586</v>
      </c>
      <c r="B3080" s="1">
        <v>115.0</v>
      </c>
      <c r="C3080" s="1">
        <v>8060.0</v>
      </c>
      <c r="D3080" s="1" t="s">
        <v>197</v>
      </c>
      <c r="E3080" s="1" t="s">
        <v>6180</v>
      </c>
      <c r="F3080" s="1" t="s">
        <v>6181</v>
      </c>
      <c r="G3080" s="1">
        <v>81644.0</v>
      </c>
      <c r="H3080" s="1">
        <v>107.0</v>
      </c>
      <c r="I3080" s="1" t="s">
        <v>6182</v>
      </c>
      <c r="J3080" s="1">
        <v>4000000.0</v>
      </c>
      <c r="K3080" s="1">
        <v>2007.0</v>
      </c>
      <c r="L3080" s="1">
        <v>8.1</v>
      </c>
      <c r="O3080" s="3"/>
      <c r="S3080" s="4"/>
    </row>
    <row r="3081" ht="14.25" customHeight="1">
      <c r="A3081" s="1" t="s">
        <v>3323</v>
      </c>
      <c r="B3081" s="1">
        <v>99.0</v>
      </c>
      <c r="C3081" s="1">
        <v>8.4263837E7</v>
      </c>
      <c r="D3081" s="1" t="s">
        <v>2512</v>
      </c>
      <c r="E3081" s="1" t="s">
        <v>518</v>
      </c>
      <c r="F3081" s="1" t="s">
        <v>6183</v>
      </c>
      <c r="G3081" s="1">
        <v>81699.0</v>
      </c>
      <c r="H3081" s="1">
        <v>291.0</v>
      </c>
      <c r="I3081" s="1" t="s">
        <v>16</v>
      </c>
      <c r="J3081" s="1">
        <v>6500000.0</v>
      </c>
      <c r="K3081" s="1">
        <v>2014.0</v>
      </c>
      <c r="L3081" s="1">
        <v>5.4</v>
      </c>
      <c r="O3081" s="3"/>
      <c r="S3081" s="4"/>
    </row>
    <row r="3082" ht="14.25" customHeight="1">
      <c r="A3082" s="1" t="s">
        <v>6184</v>
      </c>
      <c r="B3082" s="1">
        <v>88.0</v>
      </c>
      <c r="C3082" s="1">
        <v>110029.0</v>
      </c>
      <c r="D3082" s="1" t="s">
        <v>6185</v>
      </c>
      <c r="E3082" s="1" t="s">
        <v>6186</v>
      </c>
      <c r="F3082" s="1" t="s">
        <v>6187</v>
      </c>
      <c r="G3082" s="1">
        <v>1388.0</v>
      </c>
      <c r="H3082" s="1">
        <v>31.0</v>
      </c>
      <c r="I3082" s="1" t="s">
        <v>16</v>
      </c>
      <c r="J3082" s="1">
        <v>6500000.0</v>
      </c>
      <c r="K3082" s="1">
        <v>2009.0</v>
      </c>
      <c r="L3082" s="1">
        <v>6.3</v>
      </c>
      <c r="O3082" s="3"/>
      <c r="S3082" s="4"/>
    </row>
    <row r="3083" ht="14.25" customHeight="1">
      <c r="A3083" s="1" t="s">
        <v>1205</v>
      </c>
      <c r="B3083" s="1">
        <v>112.0</v>
      </c>
      <c r="C3083" s="1">
        <v>5.7504069E7</v>
      </c>
      <c r="D3083" s="1" t="s">
        <v>811</v>
      </c>
      <c r="E3083" s="1" t="s">
        <v>6188</v>
      </c>
      <c r="F3083" s="1" t="s">
        <v>6189</v>
      </c>
      <c r="G3083" s="1">
        <v>94139.0</v>
      </c>
      <c r="H3083" s="1">
        <v>183.0</v>
      </c>
      <c r="I3083" s="1" t="s">
        <v>16</v>
      </c>
      <c r="J3083" s="1">
        <v>6000000.0</v>
      </c>
      <c r="K3083" s="1">
        <v>1991.0</v>
      </c>
      <c r="L3083" s="1">
        <v>7.8</v>
      </c>
      <c r="O3083" s="3"/>
      <c r="S3083" s="4"/>
    </row>
    <row r="3084" ht="14.25" customHeight="1">
      <c r="A3084" s="1" t="s">
        <v>6190</v>
      </c>
      <c r="B3084" s="1">
        <v>108.0</v>
      </c>
      <c r="C3084" s="1">
        <v>5.4215416E7</v>
      </c>
      <c r="D3084" s="1" t="s">
        <v>1749</v>
      </c>
      <c r="E3084" s="1" t="s">
        <v>4434</v>
      </c>
      <c r="F3084" s="1" t="s">
        <v>6191</v>
      </c>
      <c r="G3084" s="1">
        <v>21409.0</v>
      </c>
      <c r="H3084" s="1">
        <v>63.0</v>
      </c>
      <c r="I3084" s="1" t="s">
        <v>16</v>
      </c>
      <c r="J3084" s="1">
        <v>6500000.0</v>
      </c>
      <c r="K3084" s="1">
        <v>1987.0</v>
      </c>
      <c r="L3084" s="1">
        <v>6.8</v>
      </c>
      <c r="O3084" s="3"/>
      <c r="S3084" s="4"/>
    </row>
    <row r="3085" ht="14.25" customHeight="1">
      <c r="A3085" s="1" t="s">
        <v>950</v>
      </c>
      <c r="B3085" s="1">
        <v>104.0</v>
      </c>
      <c r="C3085" s="1">
        <v>3.1899E7</v>
      </c>
      <c r="D3085" s="1" t="s">
        <v>6192</v>
      </c>
      <c r="E3085" s="1" t="s">
        <v>6193</v>
      </c>
      <c r="F3085" s="1" t="s">
        <v>6194</v>
      </c>
      <c r="G3085" s="1">
        <v>23986.0</v>
      </c>
      <c r="H3085" s="1">
        <v>201.0</v>
      </c>
      <c r="I3085" s="1" t="s">
        <v>16</v>
      </c>
      <c r="J3085" s="1">
        <v>6500000.0</v>
      </c>
      <c r="K3085" s="1">
        <v>1980.0</v>
      </c>
      <c r="L3085" s="1">
        <v>7.1</v>
      </c>
      <c r="O3085" s="3"/>
      <c r="S3085" s="4"/>
    </row>
    <row r="3086" ht="14.25" customHeight="1">
      <c r="A3086" s="1" t="s">
        <v>231</v>
      </c>
      <c r="B3086" s="1">
        <v>108.0</v>
      </c>
      <c r="C3086" s="1">
        <v>2.4103594E7</v>
      </c>
      <c r="D3086" s="1" t="s">
        <v>6195</v>
      </c>
      <c r="E3086" s="1" t="s">
        <v>5039</v>
      </c>
      <c r="F3086" s="1" t="s">
        <v>6196</v>
      </c>
      <c r="G3086" s="1">
        <v>6384.0</v>
      </c>
      <c r="H3086" s="1">
        <v>54.0</v>
      </c>
      <c r="I3086" s="1" t="s">
        <v>16</v>
      </c>
      <c r="J3086" s="1">
        <v>6500000.0</v>
      </c>
      <c r="K3086" s="1">
        <v>1993.0</v>
      </c>
      <c r="L3086" s="1">
        <v>6.2</v>
      </c>
      <c r="O3086" s="3"/>
      <c r="S3086" s="4"/>
    </row>
    <row r="3087" ht="14.25" customHeight="1">
      <c r="A3087" s="1" t="s">
        <v>225</v>
      </c>
      <c r="B3087" s="1">
        <v>102.0</v>
      </c>
      <c r="C3087" s="1">
        <v>1.6842303E7</v>
      </c>
      <c r="D3087" s="1" t="s">
        <v>427</v>
      </c>
      <c r="E3087" s="1" t="s">
        <v>3381</v>
      </c>
      <c r="F3087" s="1" t="s">
        <v>6197</v>
      </c>
      <c r="G3087" s="1">
        <v>59474.0</v>
      </c>
      <c r="H3087" s="1">
        <v>418.0</v>
      </c>
      <c r="I3087" s="1" t="s">
        <v>16</v>
      </c>
      <c r="J3087" s="1">
        <v>6500000.0</v>
      </c>
      <c r="K3087" s="1">
        <v>1999.0</v>
      </c>
      <c r="L3087" s="1">
        <v>7.3</v>
      </c>
      <c r="O3087" s="3"/>
      <c r="S3087" s="4"/>
    </row>
    <row r="3088" ht="14.25" customHeight="1">
      <c r="A3088" s="1" t="s">
        <v>5967</v>
      </c>
      <c r="B3088" s="1">
        <v>88.0</v>
      </c>
      <c r="C3088" s="1">
        <v>1.3367101E7</v>
      </c>
      <c r="D3088" s="1" t="s">
        <v>593</v>
      </c>
      <c r="E3088" s="1" t="s">
        <v>6198</v>
      </c>
      <c r="F3088" s="1" t="s">
        <v>6199</v>
      </c>
      <c r="G3088" s="1">
        <v>19715.0</v>
      </c>
      <c r="H3088" s="1">
        <v>166.0</v>
      </c>
      <c r="I3088" s="1" t="s">
        <v>16</v>
      </c>
      <c r="J3088" s="1">
        <v>6500000.0</v>
      </c>
      <c r="K3088" s="1">
        <v>2006.0</v>
      </c>
      <c r="L3088" s="1">
        <v>5.9</v>
      </c>
      <c r="O3088" s="3"/>
      <c r="S3088" s="4"/>
    </row>
    <row r="3089" ht="14.25" customHeight="1">
      <c r="A3089" s="1" t="s">
        <v>6200</v>
      </c>
      <c r="B3089" s="1">
        <v>91.0</v>
      </c>
      <c r="C3089" s="1">
        <v>1.0149779E7</v>
      </c>
      <c r="D3089" s="1" t="s">
        <v>1764</v>
      </c>
      <c r="E3089" s="1" t="s">
        <v>6201</v>
      </c>
      <c r="F3089" s="1" t="s">
        <v>6202</v>
      </c>
      <c r="G3089" s="1">
        <v>8294.0</v>
      </c>
      <c r="H3089" s="1">
        <v>160.0</v>
      </c>
      <c r="I3089" s="1" t="s">
        <v>16</v>
      </c>
      <c r="J3089" s="1">
        <v>6500000.0</v>
      </c>
      <c r="K3089" s="1">
        <v>1999.0</v>
      </c>
      <c r="L3089" s="1">
        <v>3.6</v>
      </c>
      <c r="O3089" s="3"/>
      <c r="S3089" s="4"/>
    </row>
    <row r="3090" ht="14.25" customHeight="1">
      <c r="A3090" s="1" t="s">
        <v>6203</v>
      </c>
      <c r="B3090" s="1">
        <v>141.0</v>
      </c>
      <c r="C3090" s="1">
        <v>6173485.0</v>
      </c>
      <c r="D3090" s="1" t="s">
        <v>646</v>
      </c>
      <c r="E3090" s="1" t="s">
        <v>6204</v>
      </c>
      <c r="F3090" s="1" t="s">
        <v>6205</v>
      </c>
      <c r="G3090" s="1">
        <v>10672.0</v>
      </c>
      <c r="H3090" s="1">
        <v>84.0</v>
      </c>
      <c r="I3090" s="1" t="s">
        <v>16</v>
      </c>
      <c r="J3090" s="1">
        <v>7000000.0</v>
      </c>
      <c r="K3090" s="1">
        <v>2001.0</v>
      </c>
      <c r="L3090" s="1">
        <v>7.7</v>
      </c>
      <c r="O3090" s="3"/>
      <c r="S3090" s="4"/>
    </row>
    <row r="3091" ht="14.25" customHeight="1">
      <c r="A3091" s="1" t="s">
        <v>4150</v>
      </c>
      <c r="B3091" s="1">
        <v>101.0</v>
      </c>
      <c r="C3091" s="1">
        <v>4000304.0</v>
      </c>
      <c r="D3091" s="1" t="s">
        <v>1391</v>
      </c>
      <c r="E3091" s="1" t="s">
        <v>576</v>
      </c>
      <c r="F3091" s="1" t="s">
        <v>6206</v>
      </c>
      <c r="G3091" s="1">
        <v>145395.0</v>
      </c>
      <c r="H3091" s="1">
        <v>375.0</v>
      </c>
      <c r="I3091" s="1" t="s">
        <v>16</v>
      </c>
      <c r="J3091" s="1">
        <v>6500000.0</v>
      </c>
      <c r="K3091" s="1">
        <v>2011.0</v>
      </c>
      <c r="L3091" s="1">
        <v>7.3</v>
      </c>
      <c r="O3091" s="3"/>
      <c r="S3091" s="4"/>
    </row>
    <row r="3092" ht="14.25" customHeight="1">
      <c r="A3092" s="1" t="s">
        <v>295</v>
      </c>
      <c r="B3092" s="1">
        <v>105.0</v>
      </c>
      <c r="C3092" s="1">
        <v>2338695.0</v>
      </c>
      <c r="D3092" s="1" t="s">
        <v>901</v>
      </c>
      <c r="E3092" s="1" t="s">
        <v>27</v>
      </c>
      <c r="F3092" s="1" t="s">
        <v>6207</v>
      </c>
      <c r="G3092" s="1">
        <v>134070.0</v>
      </c>
      <c r="H3092" s="1">
        <v>263.0</v>
      </c>
      <c r="I3092" s="1" t="s">
        <v>16</v>
      </c>
      <c r="J3092" s="1">
        <v>4000000.0</v>
      </c>
      <c r="K3092" s="1">
        <v>2004.0</v>
      </c>
      <c r="L3092" s="1">
        <v>7.4</v>
      </c>
      <c r="O3092" s="3"/>
      <c r="S3092" s="4"/>
    </row>
    <row r="3093" ht="14.25" customHeight="1">
      <c r="A3093" s="1" t="s">
        <v>6208</v>
      </c>
      <c r="B3093" s="1">
        <v>100.0</v>
      </c>
      <c r="C3093" s="1">
        <v>2024854.0</v>
      </c>
      <c r="D3093" s="1" t="s">
        <v>735</v>
      </c>
      <c r="E3093" s="1" t="s">
        <v>6209</v>
      </c>
      <c r="F3093" s="1" t="s">
        <v>6210</v>
      </c>
      <c r="G3093" s="1">
        <v>564.0</v>
      </c>
      <c r="H3093" s="1">
        <v>21.0</v>
      </c>
      <c r="I3093" s="1" t="s">
        <v>16</v>
      </c>
      <c r="J3093" s="1">
        <v>6500000.0</v>
      </c>
      <c r="K3093" s="1">
        <v>2005.0</v>
      </c>
      <c r="L3093" s="1">
        <v>6.6</v>
      </c>
      <c r="O3093" s="3"/>
      <c r="S3093" s="4"/>
    </row>
    <row r="3094" ht="14.25" customHeight="1">
      <c r="A3094" s="1" t="s">
        <v>6211</v>
      </c>
      <c r="B3094" s="1">
        <v>116.0</v>
      </c>
      <c r="C3094" s="1">
        <v>2268296.0</v>
      </c>
      <c r="D3094" s="1" t="s">
        <v>1654</v>
      </c>
      <c r="E3094" s="1" t="s">
        <v>3866</v>
      </c>
      <c r="F3094" s="1" t="s">
        <v>6212</v>
      </c>
      <c r="G3094" s="1">
        <v>41856.0</v>
      </c>
      <c r="H3094" s="1">
        <v>119.0</v>
      </c>
      <c r="I3094" s="1" t="s">
        <v>16</v>
      </c>
      <c r="J3094" s="1">
        <v>6500000.0</v>
      </c>
      <c r="K3094" s="1">
        <v>2013.0</v>
      </c>
      <c r="L3094" s="1">
        <v>6.9</v>
      </c>
      <c r="O3094" s="3"/>
      <c r="S3094" s="4"/>
    </row>
    <row r="3095" ht="14.25" customHeight="1">
      <c r="A3095" s="1" t="s">
        <v>4933</v>
      </c>
      <c r="B3095" s="1">
        <v>97.0</v>
      </c>
      <c r="C3095" s="1">
        <v>1029017.0</v>
      </c>
      <c r="D3095" s="1" t="s">
        <v>92</v>
      </c>
      <c r="E3095" s="1" t="s">
        <v>188</v>
      </c>
      <c r="F3095" s="1" t="s">
        <v>6213</v>
      </c>
      <c r="G3095" s="1">
        <v>12049.0</v>
      </c>
      <c r="H3095" s="1">
        <v>135.0</v>
      </c>
      <c r="I3095" s="1" t="s">
        <v>16</v>
      </c>
      <c r="J3095" s="1">
        <v>6500000.0</v>
      </c>
      <c r="K3095" s="1">
        <v>2004.0</v>
      </c>
      <c r="L3095" s="1">
        <v>6.8</v>
      </c>
      <c r="O3095" s="3"/>
      <c r="S3095" s="4"/>
    </row>
    <row r="3096" ht="14.25" customHeight="1">
      <c r="A3096" s="1" t="s">
        <v>6214</v>
      </c>
      <c r="B3096" s="1">
        <v>106.0</v>
      </c>
      <c r="C3096" s="1">
        <v>64148.0</v>
      </c>
      <c r="D3096" s="1" t="s">
        <v>1391</v>
      </c>
      <c r="E3096" s="1" t="s">
        <v>1438</v>
      </c>
      <c r="F3096" s="1" t="s">
        <v>6215</v>
      </c>
      <c r="G3096" s="1">
        <v>2601.0</v>
      </c>
      <c r="H3096" s="1">
        <v>35.0</v>
      </c>
      <c r="I3096" s="1" t="s">
        <v>16</v>
      </c>
      <c r="J3096" s="1">
        <v>6500000.0</v>
      </c>
      <c r="K3096" s="1">
        <v>2000.0</v>
      </c>
      <c r="L3096" s="1">
        <v>7.3</v>
      </c>
      <c r="O3096" s="3"/>
      <c r="S3096" s="4"/>
    </row>
    <row r="3097" ht="14.25" customHeight="1">
      <c r="A3097" s="1" t="s">
        <v>6216</v>
      </c>
      <c r="B3097" s="1">
        <v>105.0</v>
      </c>
      <c r="C3097" s="1">
        <v>66637.0</v>
      </c>
      <c r="D3097" s="1" t="s">
        <v>2906</v>
      </c>
      <c r="E3097" s="1" t="s">
        <v>119</v>
      </c>
      <c r="F3097" s="1" t="s">
        <v>6217</v>
      </c>
      <c r="G3097" s="1">
        <v>29608.0</v>
      </c>
      <c r="H3097" s="1">
        <v>92.0</v>
      </c>
      <c r="I3097" s="1" t="s">
        <v>16</v>
      </c>
      <c r="J3097" s="1">
        <v>6500000.0</v>
      </c>
      <c r="K3097" s="1">
        <v>2009.0</v>
      </c>
      <c r="L3097" s="1">
        <v>7.2</v>
      </c>
      <c r="O3097" s="3"/>
      <c r="S3097" s="4"/>
    </row>
    <row r="3098" ht="14.25" customHeight="1">
      <c r="A3098" s="1" t="s">
        <v>4195</v>
      </c>
      <c r="B3098" s="1">
        <v>122.0</v>
      </c>
      <c r="C3098" s="1">
        <v>871577.0</v>
      </c>
      <c r="D3098" s="1" t="s">
        <v>1749</v>
      </c>
      <c r="E3098" s="1" t="s">
        <v>6218</v>
      </c>
      <c r="F3098" s="1" t="s">
        <v>6219</v>
      </c>
      <c r="G3098" s="1">
        <v>51353.0</v>
      </c>
      <c r="H3098" s="1">
        <v>143.0</v>
      </c>
      <c r="I3098" s="1" t="s">
        <v>16</v>
      </c>
      <c r="J3098" s="1">
        <v>4500000.0</v>
      </c>
      <c r="K3098" s="1">
        <v>2007.0</v>
      </c>
      <c r="L3098" s="1">
        <v>7.7</v>
      </c>
      <c r="O3098" s="3"/>
      <c r="S3098" s="4"/>
    </row>
    <row r="3099" ht="14.25" customHeight="1">
      <c r="A3099" s="1" t="s">
        <v>12</v>
      </c>
      <c r="B3099" s="1">
        <v>107.0</v>
      </c>
      <c r="C3099" s="1">
        <v>3.84E7</v>
      </c>
      <c r="D3099" s="1" t="s">
        <v>278</v>
      </c>
      <c r="E3099" s="1" t="s">
        <v>1389</v>
      </c>
      <c r="F3099" s="1" t="s">
        <v>6220</v>
      </c>
      <c r="G3099" s="1">
        <v>600266.0</v>
      </c>
      <c r="H3099" s="1">
        <v>692.0</v>
      </c>
      <c r="I3099" s="1" t="s">
        <v>16</v>
      </c>
      <c r="J3099" s="1">
        <v>6500000.0</v>
      </c>
      <c r="K3099" s="1">
        <v>1984.0</v>
      </c>
      <c r="L3099" s="1">
        <v>8.1</v>
      </c>
      <c r="O3099" s="3"/>
      <c r="S3099" s="4"/>
    </row>
    <row r="3100" ht="14.25" customHeight="1">
      <c r="A3100" s="1" t="s">
        <v>6221</v>
      </c>
      <c r="B3100" s="1">
        <v>121.0</v>
      </c>
      <c r="C3100" s="1">
        <v>4063859.0</v>
      </c>
      <c r="D3100" s="1" t="s">
        <v>92</v>
      </c>
      <c r="E3100" s="1" t="s">
        <v>6222</v>
      </c>
      <c r="F3100" s="1" t="s">
        <v>6223</v>
      </c>
      <c r="G3100" s="1">
        <v>114407.0</v>
      </c>
      <c r="H3100" s="1">
        <v>225.0</v>
      </c>
      <c r="I3100" s="1" t="s">
        <v>4449</v>
      </c>
      <c r="J3100" s="1">
        <v>4800000.0</v>
      </c>
      <c r="K3100" s="1">
        <v>2003.0</v>
      </c>
      <c r="L3100" s="1">
        <v>7.7</v>
      </c>
      <c r="O3100" s="3"/>
      <c r="S3100" s="4"/>
    </row>
    <row r="3101" ht="14.25" customHeight="1">
      <c r="A3101" s="1" t="s">
        <v>1495</v>
      </c>
      <c r="B3101" s="1">
        <v>98.0</v>
      </c>
      <c r="C3101" s="1">
        <v>449558.0</v>
      </c>
      <c r="D3101" s="1" t="s">
        <v>681</v>
      </c>
      <c r="E3101" s="1" t="s">
        <v>5071</v>
      </c>
      <c r="F3101" s="1" t="s">
        <v>6224</v>
      </c>
      <c r="G3101" s="1">
        <v>32307.0</v>
      </c>
      <c r="H3101" s="1">
        <v>75.0</v>
      </c>
      <c r="I3101" s="1" t="s">
        <v>16</v>
      </c>
      <c r="J3101" s="1">
        <v>1.0E7</v>
      </c>
      <c r="K3101" s="1">
        <v>2009.0</v>
      </c>
      <c r="L3101" s="1">
        <v>7.6</v>
      </c>
      <c r="O3101" s="3"/>
      <c r="S3101" s="4"/>
    </row>
    <row r="3102" ht="14.25" customHeight="1">
      <c r="A3102" s="1" t="s">
        <v>2839</v>
      </c>
      <c r="B3102" s="1">
        <v>123.0</v>
      </c>
      <c r="C3102" s="1">
        <v>2122561.0</v>
      </c>
      <c r="D3102" s="1" t="s">
        <v>699</v>
      </c>
      <c r="E3102" s="1" t="s">
        <v>4741</v>
      </c>
      <c r="F3102" s="1" t="s">
        <v>6225</v>
      </c>
      <c r="G3102" s="1">
        <v>99033.0</v>
      </c>
      <c r="H3102" s="1">
        <v>434.0</v>
      </c>
      <c r="I3102" s="1" t="s">
        <v>16</v>
      </c>
      <c r="J3102" s="1">
        <v>6000000.0</v>
      </c>
      <c r="K3102" s="1">
        <v>1995.0</v>
      </c>
      <c r="L3102" s="1">
        <v>7.2</v>
      </c>
      <c r="O3102" s="3"/>
      <c r="S3102" s="4"/>
    </row>
    <row r="3103" ht="14.25" customHeight="1">
      <c r="A3103" s="1" t="s">
        <v>5099</v>
      </c>
      <c r="B3103" s="1">
        <v>110.0</v>
      </c>
      <c r="C3103" s="1">
        <v>1.8136E8</v>
      </c>
      <c r="D3103" s="1" t="s">
        <v>6226</v>
      </c>
      <c r="E3103" s="1" t="s">
        <v>6227</v>
      </c>
      <c r="F3103" s="1" t="s">
        <v>6228</v>
      </c>
      <c r="G3103" s="1">
        <v>170027.0</v>
      </c>
      <c r="H3103" s="1">
        <v>350.0</v>
      </c>
      <c r="I3103" s="1" t="s">
        <v>16</v>
      </c>
      <c r="J3103" s="1">
        <v>6000000.0</v>
      </c>
      <c r="K3103" s="1">
        <v>1978.0</v>
      </c>
      <c r="L3103" s="1">
        <v>7.2</v>
      </c>
      <c r="O3103" s="3"/>
      <c r="S3103" s="4"/>
    </row>
    <row r="3104" ht="14.25" customHeight="1">
      <c r="A3104" s="1" t="s">
        <v>324</v>
      </c>
      <c r="B3104" s="1">
        <v>120.0</v>
      </c>
      <c r="C3104" s="1">
        <v>1.37963328E8</v>
      </c>
      <c r="D3104" s="1" t="s">
        <v>1384</v>
      </c>
      <c r="E3104" s="1" t="s">
        <v>19</v>
      </c>
      <c r="F3104" s="1" t="s">
        <v>6229</v>
      </c>
      <c r="G3104" s="1">
        <v>291603.0</v>
      </c>
      <c r="H3104" s="1">
        <v>505.0</v>
      </c>
      <c r="I3104" s="1" t="s">
        <v>16</v>
      </c>
      <c r="J3104" s="1">
        <v>6000000.0</v>
      </c>
      <c r="K3104" s="1">
        <v>1986.0</v>
      </c>
      <c r="L3104" s="1">
        <v>8.1</v>
      </c>
      <c r="O3104" s="3"/>
      <c r="S3104" s="4"/>
    </row>
    <row r="3105" ht="14.25" customHeight="1">
      <c r="A3105" s="1" t="s">
        <v>5855</v>
      </c>
      <c r="B3105" s="1">
        <v>122.0</v>
      </c>
      <c r="C3105" s="1">
        <v>1.19078393E8</v>
      </c>
      <c r="D3105" s="1" t="s">
        <v>6230</v>
      </c>
      <c r="E3105" s="1" t="s">
        <v>6231</v>
      </c>
      <c r="F3105" s="1" t="s">
        <v>6232</v>
      </c>
      <c r="G3105" s="1">
        <v>113152.0</v>
      </c>
      <c r="H3105" s="1">
        <v>1416.0</v>
      </c>
      <c r="I3105" s="1" t="s">
        <v>16</v>
      </c>
      <c r="J3105" s="1">
        <v>6000000.0</v>
      </c>
      <c r="K3105" s="1">
        <v>2004.0</v>
      </c>
      <c r="L3105" s="1">
        <v>7.5</v>
      </c>
      <c r="O3105" s="3"/>
      <c r="S3105" s="4"/>
    </row>
    <row r="3106" ht="14.25" customHeight="1">
      <c r="A3106" s="1" t="s">
        <v>6233</v>
      </c>
      <c r="B3106" s="1">
        <v>110.0</v>
      </c>
      <c r="C3106" s="1">
        <v>1.023089E8</v>
      </c>
      <c r="D3106" s="1" t="s">
        <v>6234</v>
      </c>
      <c r="E3106" s="1" t="s">
        <v>6235</v>
      </c>
      <c r="F3106" s="1" t="s">
        <v>6236</v>
      </c>
      <c r="G3106" s="1">
        <v>152089.0</v>
      </c>
      <c r="H3106" s="1">
        <v>309.0</v>
      </c>
      <c r="I3106" s="1" t="s">
        <v>16</v>
      </c>
      <c r="J3106" s="1">
        <v>6000000.0</v>
      </c>
      <c r="K3106" s="1">
        <v>1969.0</v>
      </c>
      <c r="L3106" s="1">
        <v>8.1</v>
      </c>
      <c r="O3106" s="3"/>
      <c r="S3106" s="4"/>
    </row>
    <row r="3107" ht="14.25" customHeight="1">
      <c r="A3107" s="1" t="s">
        <v>6237</v>
      </c>
      <c r="B3107" s="1">
        <v>139.0</v>
      </c>
      <c r="C3107" s="1">
        <v>1.023E8</v>
      </c>
      <c r="D3107" s="1" t="s">
        <v>6238</v>
      </c>
      <c r="E3107" s="1" t="s">
        <v>6239</v>
      </c>
      <c r="F3107" s="1" t="s">
        <v>6240</v>
      </c>
      <c r="G3107" s="1">
        <v>107408.0</v>
      </c>
      <c r="H3107" s="1">
        <v>259.0</v>
      </c>
      <c r="I3107" s="1" t="s">
        <v>16</v>
      </c>
      <c r="J3107" s="1">
        <v>6000000.0</v>
      </c>
      <c r="K3107" s="1">
        <v>1964.0</v>
      </c>
      <c r="L3107" s="1">
        <v>7.8</v>
      </c>
      <c r="O3107" s="3"/>
      <c r="S3107" s="4"/>
    </row>
    <row r="3108" ht="14.25" customHeight="1">
      <c r="A3108" s="1" t="s">
        <v>1640</v>
      </c>
      <c r="B3108" s="1">
        <v>124.0</v>
      </c>
      <c r="C3108" s="1">
        <v>5.48E7</v>
      </c>
      <c r="D3108" s="1" t="s">
        <v>1391</v>
      </c>
      <c r="E3108" s="1" t="s">
        <v>2764</v>
      </c>
      <c r="F3108" s="1" t="s">
        <v>6241</v>
      </c>
      <c r="G3108" s="1">
        <v>35130.0</v>
      </c>
      <c r="H3108" s="1">
        <v>283.0</v>
      </c>
      <c r="I3108" s="1" t="s">
        <v>16</v>
      </c>
      <c r="J3108" s="1">
        <v>6000000.0</v>
      </c>
      <c r="K3108" s="1">
        <v>1980.0</v>
      </c>
      <c r="L3108" s="1">
        <v>7.8</v>
      </c>
      <c r="O3108" s="3"/>
      <c r="S3108" s="4"/>
    </row>
    <row r="3109" ht="14.25" customHeight="1">
      <c r="A3109" s="1" t="s">
        <v>677</v>
      </c>
      <c r="B3109" s="1">
        <v>120.0</v>
      </c>
      <c r="C3109" s="1">
        <v>2.4004159E7</v>
      </c>
      <c r="D3109" s="1" t="s">
        <v>678</v>
      </c>
      <c r="E3109" s="1" t="s">
        <v>194</v>
      </c>
      <c r="F3109" s="1" t="s">
        <v>679</v>
      </c>
      <c r="G3109" s="1">
        <v>68722.0</v>
      </c>
      <c r="H3109" s="1">
        <v>191.0</v>
      </c>
      <c r="I3109" s="1" t="s">
        <v>16</v>
      </c>
      <c r="J3109" s="1">
        <v>1.1E8</v>
      </c>
      <c r="K3109" s="1">
        <v>2004.0</v>
      </c>
      <c r="L3109" s="1">
        <v>5.8</v>
      </c>
      <c r="O3109" s="3"/>
      <c r="S3109" s="4"/>
    </row>
    <row r="3110" ht="14.25" customHeight="1">
      <c r="A3110" s="1" t="s">
        <v>6242</v>
      </c>
      <c r="B3110" s="1">
        <v>152.0</v>
      </c>
      <c r="C3110" s="1">
        <v>4.365E7</v>
      </c>
      <c r="D3110" s="1" t="s">
        <v>6243</v>
      </c>
      <c r="E3110" s="1" t="s">
        <v>6244</v>
      </c>
      <c r="F3110" s="1" t="s">
        <v>6245</v>
      </c>
      <c r="G3110" s="1">
        <v>71919.0</v>
      </c>
      <c r="H3110" s="1">
        <v>316.0</v>
      </c>
      <c r="I3110" s="1" t="s">
        <v>16</v>
      </c>
      <c r="J3110" s="1">
        <v>6000000.0</v>
      </c>
      <c r="K3110" s="1">
        <v>1961.0</v>
      </c>
      <c r="L3110" s="1">
        <v>7.6</v>
      </c>
      <c r="O3110" s="3"/>
      <c r="S3110" s="4"/>
    </row>
    <row r="3111" ht="14.25" customHeight="1">
      <c r="A3111" s="1" t="s">
        <v>1719</v>
      </c>
      <c r="B3111" s="1">
        <v>98.0</v>
      </c>
      <c r="C3111" s="1">
        <v>3.98E7</v>
      </c>
      <c r="D3111" s="1" t="s">
        <v>1592</v>
      </c>
      <c r="E3111" s="1" t="s">
        <v>899</v>
      </c>
      <c r="F3111" s="1" t="s">
        <v>6246</v>
      </c>
      <c r="G3111" s="1">
        <v>81599.0</v>
      </c>
      <c r="H3111" s="1">
        <v>250.0</v>
      </c>
      <c r="I3111" s="1" t="s">
        <v>16</v>
      </c>
      <c r="J3111" s="1">
        <v>6000000.0</v>
      </c>
      <c r="K3111" s="1">
        <v>1980.0</v>
      </c>
      <c r="L3111" s="1">
        <v>7.4</v>
      </c>
      <c r="O3111" s="3"/>
      <c r="S3111" s="4"/>
    </row>
    <row r="3112" ht="14.25" customHeight="1">
      <c r="A3112" s="1" t="s">
        <v>6247</v>
      </c>
      <c r="B3112" s="1">
        <v>106.0</v>
      </c>
      <c r="C3112" s="1">
        <v>2.7457409E7</v>
      </c>
      <c r="D3112" s="1" t="s">
        <v>1059</v>
      </c>
      <c r="E3112" s="1" t="s">
        <v>3042</v>
      </c>
      <c r="F3112" s="1" t="s">
        <v>6248</v>
      </c>
      <c r="G3112" s="1">
        <v>3198.0</v>
      </c>
      <c r="H3112" s="1">
        <v>43.0</v>
      </c>
      <c r="I3112" s="1" t="s">
        <v>16</v>
      </c>
      <c r="J3112" s="1">
        <v>6000000.0</v>
      </c>
      <c r="K3112" s="1">
        <v>2001.0</v>
      </c>
      <c r="L3112" s="1">
        <v>6.3</v>
      </c>
      <c r="O3112" s="3"/>
      <c r="S3112" s="4"/>
    </row>
    <row r="3113" ht="14.25" customHeight="1">
      <c r="A3113" s="1" t="s">
        <v>5115</v>
      </c>
      <c r="B3113" s="1">
        <v>106.0</v>
      </c>
      <c r="C3113" s="1">
        <v>2.5047631E7</v>
      </c>
      <c r="D3113" s="1" t="s">
        <v>593</v>
      </c>
      <c r="E3113" s="1" t="s">
        <v>2700</v>
      </c>
      <c r="F3113" s="1" t="s">
        <v>6249</v>
      </c>
      <c r="G3113" s="1">
        <v>6585.0</v>
      </c>
      <c r="H3113" s="1">
        <v>50.0</v>
      </c>
      <c r="I3113" s="1" t="s">
        <v>16</v>
      </c>
      <c r="J3113" s="1">
        <v>6000000.0</v>
      </c>
      <c r="K3113" s="1">
        <v>1999.0</v>
      </c>
      <c r="L3113" s="1">
        <v>6.9</v>
      </c>
      <c r="O3113" s="3"/>
      <c r="S3113" s="4"/>
    </row>
    <row r="3114" ht="14.25" customHeight="1">
      <c r="A3114" s="1" t="s">
        <v>51</v>
      </c>
      <c r="B3114" s="1">
        <v>106.0</v>
      </c>
      <c r="C3114" s="1">
        <v>2.3272306E7</v>
      </c>
      <c r="D3114" s="1" t="s">
        <v>909</v>
      </c>
      <c r="E3114" s="1" t="s">
        <v>52</v>
      </c>
      <c r="F3114" s="1" t="s">
        <v>6250</v>
      </c>
      <c r="G3114" s="1">
        <v>740918.0</v>
      </c>
      <c r="H3114" s="1">
        <v>1182.0</v>
      </c>
      <c r="I3114" s="1" t="s">
        <v>16</v>
      </c>
      <c r="J3114" s="1">
        <v>6000000.0</v>
      </c>
      <c r="K3114" s="1">
        <v>1995.0</v>
      </c>
      <c r="L3114" s="1">
        <v>8.6</v>
      </c>
      <c r="O3114" s="3"/>
      <c r="S3114" s="4"/>
    </row>
    <row r="3115" ht="14.25" customHeight="1">
      <c r="A3115" s="1" t="s">
        <v>1127</v>
      </c>
      <c r="B3115" s="1">
        <v>89.0</v>
      </c>
      <c r="C3115" s="1">
        <v>2.2168359E7</v>
      </c>
      <c r="D3115" s="1" t="s">
        <v>6251</v>
      </c>
      <c r="E3115" s="1" t="s">
        <v>6252</v>
      </c>
      <c r="F3115" s="1" t="s">
        <v>6253</v>
      </c>
      <c r="G3115" s="1">
        <v>29659.0</v>
      </c>
      <c r="H3115" s="1">
        <v>227.0</v>
      </c>
      <c r="I3115" s="1" t="s">
        <v>16</v>
      </c>
      <c r="J3115" s="1">
        <v>8000000.0</v>
      </c>
      <c r="K3115" s="1">
        <v>1989.0</v>
      </c>
      <c r="L3115" s="1">
        <v>5.1</v>
      </c>
      <c r="O3115" s="3"/>
      <c r="S3115" s="4"/>
    </row>
    <row r="3116" ht="14.25" customHeight="1">
      <c r="A3116" s="1" t="s">
        <v>916</v>
      </c>
      <c r="B3116" s="1">
        <v>94.0</v>
      </c>
      <c r="C3116" s="1">
        <v>2.1005329E7</v>
      </c>
      <c r="D3116" s="1" t="s">
        <v>699</v>
      </c>
      <c r="E3116" s="1" t="s">
        <v>137</v>
      </c>
      <c r="F3116" s="1" t="s">
        <v>6254</v>
      </c>
      <c r="G3116" s="1">
        <v>89128.0</v>
      </c>
      <c r="H3116" s="1">
        <v>258.0</v>
      </c>
      <c r="I3116" s="1" t="s">
        <v>16</v>
      </c>
      <c r="J3116" s="1">
        <v>6000000.0</v>
      </c>
      <c r="K3116" s="1">
        <v>2002.0</v>
      </c>
      <c r="L3116" s="1">
        <v>6.4</v>
      </c>
      <c r="O3116" s="3"/>
      <c r="S3116" s="4"/>
    </row>
    <row r="3117" ht="14.25" customHeight="1">
      <c r="A3117" s="1" t="s">
        <v>505</v>
      </c>
      <c r="B3117" s="1">
        <v>109.0</v>
      </c>
      <c r="C3117" s="1">
        <v>2.6236603E7</v>
      </c>
      <c r="D3117" s="1" t="s">
        <v>1540</v>
      </c>
      <c r="E3117" s="1" t="s">
        <v>2244</v>
      </c>
      <c r="F3117" s="1" t="s">
        <v>6255</v>
      </c>
      <c r="G3117" s="1">
        <v>251349.0</v>
      </c>
      <c r="H3117" s="1">
        <v>547.0</v>
      </c>
      <c r="I3117" s="1" t="s">
        <v>16</v>
      </c>
      <c r="J3117" s="1">
        <v>6000000.0</v>
      </c>
      <c r="K3117" s="1">
        <v>2008.0</v>
      </c>
      <c r="L3117" s="1">
        <v>7.9</v>
      </c>
      <c r="O3117" s="3"/>
      <c r="S3117" s="4"/>
    </row>
    <row r="3118" ht="14.25" customHeight="1">
      <c r="A3118" s="1" t="s">
        <v>6256</v>
      </c>
      <c r="B3118" s="1">
        <v>144.0</v>
      </c>
      <c r="C3118" s="1">
        <v>2.04E7</v>
      </c>
      <c r="D3118" s="1" t="s">
        <v>1641</v>
      </c>
      <c r="E3118" s="1" t="s">
        <v>3769</v>
      </c>
      <c r="F3118" s="1" t="s">
        <v>6257</v>
      </c>
      <c r="G3118" s="1">
        <v>6304.0</v>
      </c>
      <c r="H3118" s="1">
        <v>87.0</v>
      </c>
      <c r="I3118" s="1" t="s">
        <v>16</v>
      </c>
      <c r="J3118" s="1">
        <v>8000000.0</v>
      </c>
      <c r="K3118" s="1">
        <v>1946.0</v>
      </c>
      <c r="L3118" s="1">
        <v>6.9</v>
      </c>
      <c r="O3118" s="3"/>
      <c r="S3118" s="4"/>
    </row>
    <row r="3119" ht="14.25" customHeight="1">
      <c r="A3119" s="1" t="s">
        <v>5416</v>
      </c>
      <c r="B3119" s="1">
        <v>90.0</v>
      </c>
      <c r="C3119" s="1">
        <v>1.8621249E7</v>
      </c>
      <c r="D3119" s="1" t="s">
        <v>828</v>
      </c>
      <c r="E3119" s="1" t="s">
        <v>428</v>
      </c>
      <c r="F3119" s="1" t="s">
        <v>6258</v>
      </c>
      <c r="G3119" s="1">
        <v>45859.0</v>
      </c>
      <c r="H3119" s="1">
        <v>340.0</v>
      </c>
      <c r="I3119" s="1" t="s">
        <v>16</v>
      </c>
      <c r="J3119" s="1">
        <v>6000000.0</v>
      </c>
      <c r="K3119" s="1">
        <v>2000.0</v>
      </c>
      <c r="L3119" s="1">
        <v>7.5</v>
      </c>
      <c r="O3119" s="3"/>
      <c r="S3119" s="4"/>
    </row>
    <row r="3120" ht="14.25" customHeight="1">
      <c r="A3120" s="1" t="s">
        <v>2158</v>
      </c>
      <c r="B3120" s="1">
        <v>106.0</v>
      </c>
      <c r="C3120" s="1">
        <v>2.52447E7</v>
      </c>
      <c r="D3120" s="1" t="s">
        <v>278</v>
      </c>
      <c r="E3120" s="1" t="s">
        <v>3952</v>
      </c>
      <c r="F3120" s="1" t="s">
        <v>6259</v>
      </c>
      <c r="G3120" s="1">
        <v>91017.0</v>
      </c>
      <c r="H3120" s="1">
        <v>284.0</v>
      </c>
      <c r="I3120" s="1" t="s">
        <v>16</v>
      </c>
      <c r="J3120" s="1">
        <v>6000000.0</v>
      </c>
      <c r="K3120" s="1">
        <v>1981.0</v>
      </c>
      <c r="L3120" s="1">
        <v>7.2</v>
      </c>
      <c r="O3120" s="3"/>
      <c r="S3120" s="4"/>
    </row>
    <row r="3121" ht="14.25" customHeight="1">
      <c r="A3121" s="1" t="s">
        <v>2048</v>
      </c>
      <c r="B3121" s="1">
        <v>121.0</v>
      </c>
      <c r="C3121" s="1">
        <v>1.4545844E7</v>
      </c>
      <c r="D3121" s="1" t="s">
        <v>6185</v>
      </c>
      <c r="E3121" s="1" t="s">
        <v>6260</v>
      </c>
      <c r="F3121" s="1" t="s">
        <v>6261</v>
      </c>
      <c r="G3121" s="1">
        <v>4756.0</v>
      </c>
      <c r="H3121" s="1">
        <v>38.0</v>
      </c>
      <c r="I3121" s="1" t="s">
        <v>16</v>
      </c>
      <c r="J3121" s="1">
        <v>6500000.0</v>
      </c>
      <c r="K3121" s="1">
        <v>1988.0</v>
      </c>
      <c r="L3121" s="1">
        <v>5.8</v>
      </c>
      <c r="O3121" s="3"/>
      <c r="S3121" s="4"/>
    </row>
    <row r="3122" ht="14.25" customHeight="1">
      <c r="A3122" s="1" t="s">
        <v>6262</v>
      </c>
      <c r="B3122" s="1">
        <v>89.0</v>
      </c>
      <c r="C3122" s="1">
        <v>1.3235267E7</v>
      </c>
      <c r="D3122" s="1" t="s">
        <v>1247</v>
      </c>
      <c r="E3122" s="1" t="s">
        <v>4795</v>
      </c>
      <c r="F3122" s="1" t="s">
        <v>6263</v>
      </c>
      <c r="G3122" s="1">
        <v>12339.0</v>
      </c>
      <c r="H3122" s="1">
        <v>32.0</v>
      </c>
      <c r="I3122" s="1" t="s">
        <v>16</v>
      </c>
      <c r="J3122" s="1">
        <v>6000000.0</v>
      </c>
      <c r="K3122" s="1">
        <v>2007.0</v>
      </c>
      <c r="L3122" s="1">
        <v>2.9</v>
      </c>
      <c r="O3122" s="3"/>
      <c r="S3122" s="4"/>
    </row>
    <row r="3123" ht="14.25" customHeight="1">
      <c r="A3123" s="1" t="s">
        <v>1727</v>
      </c>
      <c r="B3123" s="1">
        <v>104.0</v>
      </c>
      <c r="C3123" s="1">
        <v>1.2793213E7</v>
      </c>
      <c r="D3123" s="1" t="s">
        <v>593</v>
      </c>
      <c r="E3123" s="1" t="s">
        <v>1028</v>
      </c>
      <c r="F3123" s="1" t="s">
        <v>6264</v>
      </c>
      <c r="G3123" s="1">
        <v>18286.0</v>
      </c>
      <c r="H3123" s="1">
        <v>73.0</v>
      </c>
      <c r="I3123" s="1" t="s">
        <v>16</v>
      </c>
      <c r="J3123" s="1">
        <v>6000000.0</v>
      </c>
      <c r="K3123" s="1">
        <v>1988.0</v>
      </c>
      <c r="L3123" s="1">
        <v>6.2</v>
      </c>
      <c r="O3123" s="3"/>
      <c r="S3123" s="4"/>
    </row>
    <row r="3124" ht="14.25" customHeight="1">
      <c r="A3124" s="1" t="s">
        <v>2334</v>
      </c>
      <c r="B3124" s="1">
        <v>99.0</v>
      </c>
      <c r="C3124" s="1">
        <v>1.1883495E7</v>
      </c>
      <c r="D3124" s="1" t="s">
        <v>1046</v>
      </c>
      <c r="E3124" s="1" t="s">
        <v>229</v>
      </c>
      <c r="F3124" s="1" t="s">
        <v>6265</v>
      </c>
      <c r="G3124" s="1">
        <v>52805.0</v>
      </c>
      <c r="H3124" s="1">
        <v>278.0</v>
      </c>
      <c r="I3124" s="1" t="s">
        <v>16</v>
      </c>
      <c r="J3124" s="1">
        <v>9000000.0</v>
      </c>
      <c r="K3124" s="1">
        <v>1998.0</v>
      </c>
      <c r="L3124" s="1">
        <v>6.8</v>
      </c>
      <c r="O3124" s="3"/>
      <c r="S3124" s="4"/>
    </row>
    <row r="3125" ht="14.25" customHeight="1">
      <c r="A3125" s="1" t="s">
        <v>6266</v>
      </c>
      <c r="B3125" s="1">
        <v>98.0</v>
      </c>
      <c r="C3125" s="1">
        <v>1.1797927E7</v>
      </c>
      <c r="D3125" s="1" t="s">
        <v>4899</v>
      </c>
      <c r="E3125" s="1" t="s">
        <v>5497</v>
      </c>
      <c r="F3125" s="1" t="s">
        <v>6267</v>
      </c>
      <c r="G3125" s="1">
        <v>4582.0</v>
      </c>
      <c r="H3125" s="1">
        <v>52.0</v>
      </c>
      <c r="I3125" s="1" t="s">
        <v>16</v>
      </c>
      <c r="J3125" s="1">
        <v>6000000.0</v>
      </c>
      <c r="K3125" s="1">
        <v>1995.0</v>
      </c>
      <c r="L3125" s="1">
        <v>6.1</v>
      </c>
      <c r="O3125" s="3"/>
      <c r="S3125" s="4"/>
    </row>
    <row r="3126" ht="14.25" customHeight="1">
      <c r="A3126" s="1" t="s">
        <v>6268</v>
      </c>
      <c r="B3126" s="1">
        <v>121.0</v>
      </c>
      <c r="C3126" s="1">
        <v>1.7605861E7</v>
      </c>
      <c r="D3126" s="1" t="s">
        <v>2389</v>
      </c>
      <c r="E3126" s="1" t="s">
        <v>1190</v>
      </c>
      <c r="F3126" s="1" t="s">
        <v>6269</v>
      </c>
      <c r="G3126" s="1">
        <v>145580.0</v>
      </c>
      <c r="H3126" s="1">
        <v>351.0</v>
      </c>
      <c r="I3126" s="1" t="s">
        <v>16</v>
      </c>
      <c r="J3126" s="1">
        <v>6000000.0</v>
      </c>
      <c r="K3126" s="1">
        <v>2006.0</v>
      </c>
      <c r="L3126" s="1">
        <v>7.7</v>
      </c>
      <c r="O3126" s="3"/>
      <c r="S3126" s="4"/>
    </row>
    <row r="3127" ht="14.25" customHeight="1">
      <c r="A3127" s="1" t="s">
        <v>6270</v>
      </c>
      <c r="B3127" s="1">
        <v>96.0</v>
      </c>
      <c r="C3127" s="1">
        <v>1.1642254E7</v>
      </c>
      <c r="D3127" s="1" t="s">
        <v>2657</v>
      </c>
      <c r="E3127" s="1" t="s">
        <v>3952</v>
      </c>
      <c r="F3127" s="1" t="s">
        <v>6271</v>
      </c>
      <c r="G3127" s="1">
        <v>22929.0</v>
      </c>
      <c r="H3127" s="1">
        <v>287.0</v>
      </c>
      <c r="I3127" s="1" t="s">
        <v>16</v>
      </c>
      <c r="J3127" s="1">
        <v>3000000.0</v>
      </c>
      <c r="K3127" s="1">
        <v>1989.0</v>
      </c>
      <c r="L3127" s="1">
        <v>5.2</v>
      </c>
      <c r="O3127" s="3"/>
      <c r="S3127" s="4"/>
    </row>
    <row r="3128" ht="14.25" customHeight="1">
      <c r="A3128" s="1" t="s">
        <v>3582</v>
      </c>
      <c r="B3128" s="1">
        <v>99.0</v>
      </c>
      <c r="C3128" s="1">
        <v>9203192.0</v>
      </c>
      <c r="D3128" s="1" t="s">
        <v>3596</v>
      </c>
      <c r="E3128" s="1" t="s">
        <v>285</v>
      </c>
      <c r="F3128" s="1" t="s">
        <v>6272</v>
      </c>
      <c r="G3128" s="1">
        <v>45396.0</v>
      </c>
      <c r="H3128" s="1">
        <v>136.0</v>
      </c>
      <c r="I3128" s="1" t="s">
        <v>16</v>
      </c>
      <c r="J3128" s="1">
        <v>5000000.0</v>
      </c>
      <c r="K3128" s="1">
        <v>2011.0</v>
      </c>
      <c r="L3128" s="1">
        <v>6.8</v>
      </c>
      <c r="O3128" s="3"/>
      <c r="S3128" s="4"/>
    </row>
    <row r="3129" ht="14.25" customHeight="1">
      <c r="A3129" s="1" t="s">
        <v>6273</v>
      </c>
      <c r="B3129" s="1">
        <v>42.0</v>
      </c>
      <c r="C3129" s="1">
        <v>7518876.0</v>
      </c>
      <c r="D3129" s="1" t="s">
        <v>6274</v>
      </c>
      <c r="E3129" s="1" t="s">
        <v>1438</v>
      </c>
      <c r="F3129" s="1" t="s">
        <v>6275</v>
      </c>
      <c r="G3129" s="1">
        <v>172.0</v>
      </c>
      <c r="H3129" s="1">
        <v>5.0</v>
      </c>
      <c r="I3129" s="1" t="s">
        <v>16</v>
      </c>
      <c r="J3129" s="1">
        <v>6000000.0</v>
      </c>
      <c r="K3129" s="1">
        <v>2008.0</v>
      </c>
      <c r="L3129" s="1">
        <v>6.5</v>
      </c>
      <c r="O3129" s="3"/>
      <c r="S3129" s="4"/>
    </row>
    <row r="3130" ht="14.25" customHeight="1">
      <c r="A3130" s="1" t="s">
        <v>6276</v>
      </c>
      <c r="B3130" s="1">
        <v>122.0</v>
      </c>
      <c r="C3130" s="1">
        <v>8596914.0</v>
      </c>
      <c r="D3130" s="1" t="s">
        <v>646</v>
      </c>
      <c r="E3130" s="1" t="s">
        <v>5157</v>
      </c>
      <c r="F3130" s="1" t="s">
        <v>6277</v>
      </c>
      <c r="G3130" s="1">
        <v>23023.0</v>
      </c>
      <c r="H3130" s="1">
        <v>148.0</v>
      </c>
      <c r="I3130" s="1" t="s">
        <v>16</v>
      </c>
      <c r="J3130" s="1">
        <v>6000000.0</v>
      </c>
      <c r="K3130" s="1">
        <v>2000.0</v>
      </c>
      <c r="L3130" s="1">
        <v>7.0</v>
      </c>
      <c r="O3130" s="3"/>
      <c r="S3130" s="4"/>
    </row>
    <row r="3131" ht="14.25" customHeight="1">
      <c r="A3131" s="1" t="s">
        <v>6278</v>
      </c>
      <c r="B3131" s="1">
        <v>101.0</v>
      </c>
      <c r="C3131" s="1">
        <v>6851636.0</v>
      </c>
      <c r="D3131" s="1" t="s">
        <v>593</v>
      </c>
      <c r="E3131" s="1" t="s">
        <v>338</v>
      </c>
      <c r="F3131" s="1" t="s">
        <v>6279</v>
      </c>
      <c r="G3131" s="1">
        <v>13010.0</v>
      </c>
      <c r="H3131" s="1">
        <v>182.0</v>
      </c>
      <c r="I3131" s="1" t="s">
        <v>16</v>
      </c>
      <c r="J3131" s="1">
        <v>6000000.0</v>
      </c>
      <c r="K3131" s="1">
        <v>1999.0</v>
      </c>
      <c r="L3131" s="1">
        <v>5.9</v>
      </c>
      <c r="O3131" s="3"/>
      <c r="S3131" s="4"/>
    </row>
    <row r="3132" ht="14.25" customHeight="1">
      <c r="A3132" s="1" t="s">
        <v>6280</v>
      </c>
      <c r="B3132" s="1">
        <v>102.0</v>
      </c>
      <c r="C3132" s="1">
        <v>1.1434867E7</v>
      </c>
      <c r="D3132" s="1" t="s">
        <v>1339</v>
      </c>
      <c r="E3132" s="1" t="s">
        <v>35</v>
      </c>
      <c r="F3132" s="1" t="s">
        <v>6281</v>
      </c>
      <c r="G3132" s="1">
        <v>59637.0</v>
      </c>
      <c r="H3132" s="1">
        <v>130.0</v>
      </c>
      <c r="I3132" s="1" t="s">
        <v>16</v>
      </c>
      <c r="J3132" s="1">
        <v>6000000.0</v>
      </c>
      <c r="K3132" s="1">
        <v>2012.0</v>
      </c>
      <c r="L3132" s="1">
        <v>7.1</v>
      </c>
      <c r="O3132" s="3"/>
      <c r="S3132" s="4"/>
    </row>
    <row r="3133" ht="14.25" customHeight="1">
      <c r="A3133" s="1" t="s">
        <v>6282</v>
      </c>
      <c r="B3133" s="1">
        <v>84.0</v>
      </c>
      <c r="C3133" s="1">
        <v>5895238.0</v>
      </c>
      <c r="D3133" s="1" t="s">
        <v>2631</v>
      </c>
      <c r="E3133" s="1" t="s">
        <v>783</v>
      </c>
      <c r="F3133" s="1" t="s">
        <v>6283</v>
      </c>
      <c r="G3133" s="1">
        <v>17169.0</v>
      </c>
      <c r="H3133" s="1">
        <v>70.0</v>
      </c>
      <c r="I3133" s="1" t="s">
        <v>1144</v>
      </c>
      <c r="J3133" s="1">
        <v>6000000.0</v>
      </c>
      <c r="K3133" s="1">
        <v>2012.0</v>
      </c>
      <c r="L3133" s="1">
        <v>5.5</v>
      </c>
      <c r="O3133" s="3"/>
      <c r="S3133" s="4"/>
    </row>
    <row r="3134" ht="14.25" customHeight="1">
      <c r="A3134" s="1" t="s">
        <v>6284</v>
      </c>
      <c r="B3134" s="1">
        <v>104.0</v>
      </c>
      <c r="C3134" s="1">
        <v>6670712.0</v>
      </c>
      <c r="D3134" s="1" t="s">
        <v>1059</v>
      </c>
      <c r="E3134" s="1" t="s">
        <v>6138</v>
      </c>
      <c r="F3134" s="1" t="s">
        <v>6285</v>
      </c>
      <c r="G3134" s="1">
        <v>27301.0</v>
      </c>
      <c r="H3134" s="1">
        <v>101.0</v>
      </c>
      <c r="I3134" s="1" t="s">
        <v>16</v>
      </c>
      <c r="J3134" s="1">
        <v>6000000.0</v>
      </c>
      <c r="K3134" s="1">
        <v>2009.0</v>
      </c>
      <c r="L3134" s="1">
        <v>7.4</v>
      </c>
      <c r="O3134" s="3"/>
      <c r="S3134" s="4"/>
    </row>
    <row r="3135" ht="14.25" customHeight="1">
      <c r="A3135" s="1" t="s">
        <v>6286</v>
      </c>
      <c r="B3135" s="1">
        <v>96.0</v>
      </c>
      <c r="C3135" s="1">
        <v>5359774.0</v>
      </c>
      <c r="D3135" s="1" t="s">
        <v>2378</v>
      </c>
      <c r="E3135" s="1" t="s">
        <v>951</v>
      </c>
      <c r="F3135" s="1" t="s">
        <v>6287</v>
      </c>
      <c r="G3135" s="1">
        <v>64794.0</v>
      </c>
      <c r="H3135" s="1">
        <v>131.0</v>
      </c>
      <c r="I3135" s="1" t="s">
        <v>16</v>
      </c>
      <c r="J3135" s="1">
        <v>6000000.0</v>
      </c>
      <c r="K3135" s="1">
        <v>2011.0</v>
      </c>
      <c r="L3135" s="1">
        <v>7.3</v>
      </c>
      <c r="O3135" s="3"/>
      <c r="S3135" s="4"/>
    </row>
    <row r="3136" ht="14.25" customHeight="1">
      <c r="A3136" s="1" t="s">
        <v>6288</v>
      </c>
      <c r="B3136" s="1">
        <v>94.0</v>
      </c>
      <c r="C3136" s="1">
        <v>4693919.0</v>
      </c>
      <c r="D3136" s="1" t="s">
        <v>828</v>
      </c>
      <c r="E3136" s="1" t="s">
        <v>3003</v>
      </c>
      <c r="F3136" s="1" t="s">
        <v>6289</v>
      </c>
      <c r="G3136" s="1">
        <v>11011.0</v>
      </c>
      <c r="H3136" s="1">
        <v>78.0</v>
      </c>
      <c r="I3136" s="1" t="s">
        <v>16</v>
      </c>
      <c r="J3136" s="1">
        <v>6500000.0</v>
      </c>
      <c r="K3136" s="1">
        <v>2008.0</v>
      </c>
      <c r="L3136" s="1">
        <v>4.6</v>
      </c>
      <c r="O3136" s="3"/>
      <c r="S3136" s="4"/>
    </row>
    <row r="3137" ht="14.25" customHeight="1">
      <c r="A3137" s="1" t="s">
        <v>2677</v>
      </c>
      <c r="B3137" s="1">
        <v>90.0</v>
      </c>
      <c r="C3137" s="1">
        <v>4859475.0</v>
      </c>
      <c r="D3137" s="1" t="s">
        <v>92</v>
      </c>
      <c r="E3137" s="1" t="s">
        <v>1971</v>
      </c>
      <c r="F3137" s="1" t="s">
        <v>6290</v>
      </c>
      <c r="G3137" s="1">
        <v>116910.0</v>
      </c>
      <c r="H3137" s="1">
        <v>520.0</v>
      </c>
      <c r="I3137" s="1" t="s">
        <v>16</v>
      </c>
      <c r="J3137" s="1">
        <v>6000000.0</v>
      </c>
      <c r="K3137" s="1">
        <v>1999.0</v>
      </c>
      <c r="L3137" s="1">
        <v>7.2</v>
      </c>
      <c r="O3137" s="3"/>
      <c r="S3137" s="4"/>
    </row>
    <row r="3138" ht="14.25" customHeight="1">
      <c r="A3138" s="1" t="s">
        <v>6291</v>
      </c>
      <c r="B3138" s="1">
        <v>90.0</v>
      </c>
      <c r="C3138" s="1">
        <v>4542775.0</v>
      </c>
      <c r="D3138" s="1" t="s">
        <v>699</v>
      </c>
      <c r="E3138" s="1" t="s">
        <v>6292</v>
      </c>
      <c r="F3138" s="1" t="s">
        <v>6293</v>
      </c>
      <c r="G3138" s="1">
        <v>18313.0</v>
      </c>
      <c r="H3138" s="1">
        <v>73.0</v>
      </c>
      <c r="I3138" s="1" t="s">
        <v>16</v>
      </c>
      <c r="J3138" s="1">
        <v>6000000.0</v>
      </c>
      <c r="K3138" s="1">
        <v>2009.0</v>
      </c>
      <c r="L3138" s="1">
        <v>5.1</v>
      </c>
      <c r="O3138" s="3"/>
      <c r="S3138" s="4"/>
    </row>
    <row r="3139" ht="14.25" customHeight="1">
      <c r="A3139" s="1" t="s">
        <v>6294</v>
      </c>
      <c r="B3139" s="1">
        <v>106.0</v>
      </c>
      <c r="C3139" s="1">
        <v>3588432.0</v>
      </c>
      <c r="D3139" s="1" t="s">
        <v>1059</v>
      </c>
      <c r="E3139" s="1" t="s">
        <v>496</v>
      </c>
      <c r="F3139" s="1" t="s">
        <v>6295</v>
      </c>
      <c r="G3139" s="1">
        <v>29341.0</v>
      </c>
      <c r="H3139" s="1">
        <v>93.0</v>
      </c>
      <c r="I3139" s="1" t="s">
        <v>16</v>
      </c>
      <c r="J3139" s="1">
        <v>6000000.0</v>
      </c>
      <c r="K3139" s="1">
        <v>2014.0</v>
      </c>
      <c r="L3139" s="1">
        <v>6.7</v>
      </c>
      <c r="O3139" s="3"/>
      <c r="S3139" s="4"/>
    </row>
    <row r="3140" ht="14.25" customHeight="1">
      <c r="A3140" s="1" t="s">
        <v>6296</v>
      </c>
      <c r="B3140" s="1">
        <v>96.0</v>
      </c>
      <c r="C3140" s="1">
        <v>4394936.0</v>
      </c>
      <c r="D3140" s="1" t="s">
        <v>1046</v>
      </c>
      <c r="E3140" s="1" t="s">
        <v>1041</v>
      </c>
      <c r="F3140" s="1" t="s">
        <v>6297</v>
      </c>
      <c r="G3140" s="1">
        <v>11439.0</v>
      </c>
      <c r="H3140" s="1">
        <v>190.0</v>
      </c>
      <c r="I3140" s="1" t="s">
        <v>16</v>
      </c>
      <c r="J3140" s="1">
        <v>6000000.0</v>
      </c>
      <c r="K3140" s="1">
        <v>1999.0</v>
      </c>
      <c r="L3140" s="1">
        <v>5.3</v>
      </c>
      <c r="O3140" s="3"/>
      <c r="S3140" s="4"/>
    </row>
    <row r="3141" ht="14.25" customHeight="1">
      <c r="A3141" s="1" t="s">
        <v>6298</v>
      </c>
      <c r="B3141" s="1">
        <v>95.0</v>
      </c>
      <c r="C3141" s="1">
        <v>3029081.0</v>
      </c>
      <c r="D3141" s="1" t="s">
        <v>6299</v>
      </c>
      <c r="E3141" s="1" t="s">
        <v>6298</v>
      </c>
      <c r="F3141" s="1" t="s">
        <v>6300</v>
      </c>
      <c r="G3141" s="1">
        <v>26300.0</v>
      </c>
      <c r="H3141" s="1">
        <v>231.0</v>
      </c>
      <c r="I3141" s="1" t="s">
        <v>16</v>
      </c>
      <c r="J3141" s="1">
        <v>6000000.0</v>
      </c>
      <c r="K3141" s="1">
        <v>2001.0</v>
      </c>
      <c r="L3141" s="1">
        <v>7.8</v>
      </c>
      <c r="O3141" s="3"/>
      <c r="S3141" s="4"/>
    </row>
    <row r="3142" ht="14.25" customHeight="1">
      <c r="A3142" s="1" t="s">
        <v>4767</v>
      </c>
      <c r="B3142" s="1">
        <v>99.0</v>
      </c>
      <c r="C3142" s="1">
        <v>3273588.0</v>
      </c>
      <c r="D3142" s="1" t="s">
        <v>331</v>
      </c>
      <c r="E3142" s="1" t="s">
        <v>6301</v>
      </c>
      <c r="F3142" s="1" t="s">
        <v>6302</v>
      </c>
      <c r="G3142" s="1">
        <v>4195.0</v>
      </c>
      <c r="H3142" s="1">
        <v>50.0</v>
      </c>
      <c r="I3142" s="1" t="s">
        <v>16</v>
      </c>
      <c r="J3142" s="1">
        <v>6000000.0</v>
      </c>
      <c r="K3142" s="1">
        <v>1993.0</v>
      </c>
      <c r="L3142" s="1">
        <v>6.7</v>
      </c>
      <c r="O3142" s="3"/>
      <c r="S3142" s="4"/>
    </row>
    <row r="3143" ht="14.25" customHeight="1">
      <c r="A3143" s="1" t="s">
        <v>6303</v>
      </c>
      <c r="B3143" s="1">
        <v>99.0</v>
      </c>
      <c r="C3143" s="1">
        <v>2207975.0</v>
      </c>
      <c r="D3143" s="1" t="s">
        <v>2596</v>
      </c>
      <c r="E3143" s="1" t="s">
        <v>5898</v>
      </c>
      <c r="F3143" s="1" t="s">
        <v>6304</v>
      </c>
      <c r="G3143" s="1">
        <v>28855.0</v>
      </c>
      <c r="H3143" s="1">
        <v>190.0</v>
      </c>
      <c r="I3143" s="1" t="s">
        <v>16</v>
      </c>
      <c r="J3143" s="1">
        <v>6000000.0</v>
      </c>
      <c r="K3143" s="1">
        <v>2003.0</v>
      </c>
      <c r="L3143" s="1">
        <v>7.2</v>
      </c>
      <c r="O3143" s="3"/>
      <c r="S3143" s="4"/>
    </row>
    <row r="3144" ht="14.25" customHeight="1">
      <c r="A3144" s="1" t="s">
        <v>6305</v>
      </c>
      <c r="B3144" s="1">
        <v>95.0</v>
      </c>
      <c r="C3144" s="1">
        <v>2025238.0</v>
      </c>
      <c r="D3144" s="1" t="s">
        <v>2140</v>
      </c>
      <c r="E3144" s="1" t="s">
        <v>6306</v>
      </c>
      <c r="F3144" s="1" t="s">
        <v>6307</v>
      </c>
      <c r="G3144" s="1">
        <v>9589.0</v>
      </c>
      <c r="H3144" s="1">
        <v>105.0</v>
      </c>
      <c r="I3144" s="1" t="s">
        <v>16</v>
      </c>
      <c r="J3144" s="1">
        <v>6000000.0</v>
      </c>
      <c r="K3144" s="1">
        <v>2001.0</v>
      </c>
      <c r="L3144" s="1">
        <v>5.8</v>
      </c>
      <c r="O3144" s="3"/>
      <c r="S3144" s="4"/>
    </row>
    <row r="3145" ht="14.25" customHeight="1">
      <c r="A3145" s="1" t="s">
        <v>3245</v>
      </c>
      <c r="B3145" s="1">
        <v>99.0</v>
      </c>
      <c r="C3145" s="1">
        <v>2077046.0</v>
      </c>
      <c r="D3145" s="1" t="s">
        <v>593</v>
      </c>
      <c r="E3145" s="1" t="s">
        <v>2697</v>
      </c>
      <c r="F3145" s="1" t="s">
        <v>6308</v>
      </c>
      <c r="G3145" s="1">
        <v>27266.0</v>
      </c>
      <c r="H3145" s="1">
        <v>75.0</v>
      </c>
      <c r="I3145" s="1" t="s">
        <v>16</v>
      </c>
      <c r="J3145" s="1">
        <v>6000000.0</v>
      </c>
      <c r="K3145" s="1">
        <v>2008.0</v>
      </c>
      <c r="L3145" s="1">
        <v>7.0</v>
      </c>
      <c r="O3145" s="3"/>
      <c r="S3145" s="4"/>
    </row>
    <row r="3146" ht="14.25" customHeight="1">
      <c r="A3146" s="1" t="s">
        <v>6309</v>
      </c>
      <c r="B3146" s="1">
        <v>107.0</v>
      </c>
      <c r="C3146" s="1">
        <v>869325.0</v>
      </c>
      <c r="D3146" s="1" t="s">
        <v>13</v>
      </c>
      <c r="E3146" s="1" t="s">
        <v>6310</v>
      </c>
      <c r="F3146" s="1" t="s">
        <v>6311</v>
      </c>
      <c r="G3146" s="1">
        <v>2281.0</v>
      </c>
      <c r="H3146" s="1">
        <v>16.0</v>
      </c>
      <c r="I3146" s="1" t="s">
        <v>16</v>
      </c>
      <c r="J3146" s="1">
        <v>6000000.0</v>
      </c>
      <c r="K3146" s="1">
        <v>1991.0</v>
      </c>
      <c r="L3146" s="1">
        <v>3.8</v>
      </c>
      <c r="O3146" s="3"/>
      <c r="S3146" s="4"/>
    </row>
    <row r="3147" ht="14.25" customHeight="1">
      <c r="A3147" s="1" t="s">
        <v>6312</v>
      </c>
      <c r="B3147" s="1">
        <v>90.0</v>
      </c>
      <c r="C3147" s="1">
        <v>399611.0</v>
      </c>
      <c r="D3147" s="1" t="s">
        <v>681</v>
      </c>
      <c r="E3147" s="1" t="s">
        <v>6313</v>
      </c>
      <c r="F3147" s="1" t="s">
        <v>6314</v>
      </c>
      <c r="G3147" s="1">
        <v>1245.0</v>
      </c>
      <c r="H3147" s="1">
        <v>29.0</v>
      </c>
      <c r="I3147" s="1" t="s">
        <v>16</v>
      </c>
      <c r="J3147" s="1">
        <v>6000000.0</v>
      </c>
      <c r="K3147" s="1">
        <v>2010.0</v>
      </c>
      <c r="L3147" s="1">
        <v>5.7</v>
      </c>
      <c r="O3147" s="3"/>
      <c r="S3147" s="4"/>
    </row>
    <row r="3148" ht="14.25" customHeight="1">
      <c r="A3148" s="1" t="s">
        <v>4270</v>
      </c>
      <c r="B3148" s="1">
        <v>96.0</v>
      </c>
      <c r="C3148" s="1">
        <v>115862.0</v>
      </c>
      <c r="D3148" s="1" t="s">
        <v>92</v>
      </c>
      <c r="E3148" s="1" t="s">
        <v>1989</v>
      </c>
      <c r="F3148" s="1" t="s">
        <v>6315</v>
      </c>
      <c r="G3148" s="1">
        <v>7394.0</v>
      </c>
      <c r="H3148" s="1">
        <v>50.0</v>
      </c>
      <c r="I3148" s="1" t="s">
        <v>16</v>
      </c>
      <c r="J3148" s="1">
        <v>6000000.0</v>
      </c>
      <c r="K3148" s="1">
        <v>2009.0</v>
      </c>
      <c r="L3148" s="1">
        <v>6.7</v>
      </c>
      <c r="O3148" s="3"/>
      <c r="S3148" s="4"/>
    </row>
    <row r="3149" ht="14.25" customHeight="1">
      <c r="A3149" s="1" t="s">
        <v>1873</v>
      </c>
      <c r="B3149" s="1">
        <v>104.0</v>
      </c>
      <c r="C3149" s="1">
        <v>1346503.0</v>
      </c>
      <c r="D3149" s="1" t="s">
        <v>2596</v>
      </c>
      <c r="E3149" s="1" t="s">
        <v>124</v>
      </c>
      <c r="F3149" s="1" t="s">
        <v>6316</v>
      </c>
      <c r="G3149" s="1">
        <v>3024.0</v>
      </c>
      <c r="H3149" s="1">
        <v>22.0</v>
      </c>
      <c r="I3149" s="1" t="s">
        <v>16</v>
      </c>
      <c r="J3149" s="1">
        <v>6000000.0</v>
      </c>
      <c r="K3149" s="1">
        <v>2011.0</v>
      </c>
      <c r="L3149" s="1">
        <v>6.1</v>
      </c>
      <c r="O3149" s="3"/>
      <c r="S3149" s="4"/>
    </row>
    <row r="3150" ht="14.25" customHeight="1">
      <c r="A3150" s="1" t="s">
        <v>6317</v>
      </c>
      <c r="B3150" s="1">
        <v>97.0</v>
      </c>
      <c r="C3150" s="1">
        <v>117560.0</v>
      </c>
      <c r="D3150" s="1" t="s">
        <v>92</v>
      </c>
      <c r="E3150" s="1" t="s">
        <v>627</v>
      </c>
      <c r="F3150" s="1" t="s">
        <v>6318</v>
      </c>
      <c r="G3150" s="1">
        <v>2330.0</v>
      </c>
      <c r="H3150" s="1">
        <v>29.0</v>
      </c>
      <c r="I3150" s="1" t="s">
        <v>16</v>
      </c>
      <c r="J3150" s="1">
        <v>6000000.0</v>
      </c>
      <c r="K3150" s="1">
        <v>2006.0</v>
      </c>
      <c r="L3150" s="1">
        <v>6.2</v>
      </c>
      <c r="O3150" s="3"/>
      <c r="S3150" s="4"/>
    </row>
    <row r="3151" ht="14.25" customHeight="1">
      <c r="A3151" s="1" t="s">
        <v>5013</v>
      </c>
      <c r="B3151" s="1">
        <v>107.0</v>
      </c>
      <c r="C3151" s="1">
        <v>54606.0</v>
      </c>
      <c r="D3151" s="1" t="s">
        <v>1737</v>
      </c>
      <c r="E3151" s="1" t="s">
        <v>6319</v>
      </c>
      <c r="F3151" s="1" t="s">
        <v>6320</v>
      </c>
      <c r="G3151" s="1">
        <v>1940.0</v>
      </c>
      <c r="H3151" s="1">
        <v>34.0</v>
      </c>
      <c r="I3151" s="1" t="s">
        <v>16</v>
      </c>
      <c r="J3151" s="1">
        <v>6000000.0</v>
      </c>
      <c r="K3151" s="1">
        <v>2001.0</v>
      </c>
      <c r="L3151" s="1">
        <v>6.2</v>
      </c>
      <c r="O3151" s="3"/>
      <c r="S3151" s="4"/>
    </row>
    <row r="3152" ht="14.25" customHeight="1">
      <c r="A3152" s="1" t="s">
        <v>6321</v>
      </c>
      <c r="B3152" s="1">
        <v>85.0</v>
      </c>
      <c r="C3152" s="1">
        <v>36497.0</v>
      </c>
      <c r="D3152" s="1" t="s">
        <v>828</v>
      </c>
      <c r="E3152" s="1" t="s">
        <v>285</v>
      </c>
      <c r="F3152" s="1" t="s">
        <v>6322</v>
      </c>
      <c r="G3152" s="1">
        <v>7367.0</v>
      </c>
      <c r="H3152" s="1">
        <v>37.0</v>
      </c>
      <c r="I3152" s="1" t="s">
        <v>16</v>
      </c>
      <c r="J3152" s="1">
        <v>6000000.0</v>
      </c>
      <c r="K3152" s="1">
        <v>2008.0</v>
      </c>
      <c r="L3152" s="1">
        <v>4.7</v>
      </c>
      <c r="O3152" s="3"/>
      <c r="S3152" s="4"/>
    </row>
    <row r="3153" ht="14.25" customHeight="1">
      <c r="A3153" s="1" t="s">
        <v>5065</v>
      </c>
      <c r="B3153" s="1">
        <v>95.0</v>
      </c>
      <c r="C3153" s="1">
        <v>65804.0</v>
      </c>
      <c r="D3153" s="1" t="s">
        <v>901</v>
      </c>
      <c r="E3153" s="1" t="s">
        <v>165</v>
      </c>
      <c r="F3153" s="1" t="s">
        <v>6323</v>
      </c>
      <c r="G3153" s="1">
        <v>32512.0</v>
      </c>
      <c r="H3153" s="1">
        <v>86.0</v>
      </c>
      <c r="I3153" s="1" t="s">
        <v>16</v>
      </c>
      <c r="J3153" s="1">
        <v>1.2E7</v>
      </c>
      <c r="K3153" s="1">
        <v>2012.0</v>
      </c>
      <c r="L3153" s="1">
        <v>6.3</v>
      </c>
      <c r="O3153" s="3"/>
      <c r="S3153" s="4"/>
    </row>
    <row r="3154" ht="14.25" customHeight="1">
      <c r="A3154" s="1" t="s">
        <v>6324</v>
      </c>
      <c r="B3154" s="1">
        <v>111.0</v>
      </c>
      <c r="C3154" s="1">
        <v>3895664.0</v>
      </c>
      <c r="D3154" s="1" t="s">
        <v>1059</v>
      </c>
      <c r="E3154" s="1" t="s">
        <v>4075</v>
      </c>
      <c r="F3154" s="1" t="s">
        <v>6325</v>
      </c>
      <c r="G3154" s="1">
        <v>34383.0</v>
      </c>
      <c r="H3154" s="1">
        <v>149.0</v>
      </c>
      <c r="I3154" s="1" t="s">
        <v>1189</v>
      </c>
      <c r="J3154" s="1">
        <v>5300000.0</v>
      </c>
      <c r="K3154" s="1">
        <v>2002.0</v>
      </c>
      <c r="L3154" s="1">
        <v>7.3</v>
      </c>
      <c r="O3154" s="3"/>
      <c r="S3154" s="4"/>
    </row>
    <row r="3155" ht="14.25" customHeight="1">
      <c r="A3155" s="1" t="s">
        <v>6326</v>
      </c>
      <c r="B3155" s="1">
        <v>86.0</v>
      </c>
      <c r="C3155" s="1">
        <v>20200.0</v>
      </c>
      <c r="D3155" s="1" t="s">
        <v>2466</v>
      </c>
      <c r="E3155" s="1" t="s">
        <v>953</v>
      </c>
      <c r="F3155" s="1" t="s">
        <v>6327</v>
      </c>
      <c r="G3155" s="1">
        <v>6797.0</v>
      </c>
      <c r="H3155" s="1">
        <v>21.0</v>
      </c>
      <c r="I3155" s="1" t="s">
        <v>16</v>
      </c>
      <c r="J3155" s="1">
        <v>6000000.0</v>
      </c>
      <c r="K3155" s="1">
        <v>2014.0</v>
      </c>
      <c r="L3155" s="1">
        <v>5.8</v>
      </c>
      <c r="O3155" s="3"/>
      <c r="S3155" s="4"/>
    </row>
    <row r="3156" ht="14.25" customHeight="1">
      <c r="A3156" s="1" t="s">
        <v>2145</v>
      </c>
      <c r="B3156" s="1">
        <v>115.0</v>
      </c>
      <c r="C3156" s="1">
        <v>3.1874869E7</v>
      </c>
      <c r="D3156" s="1" t="s">
        <v>938</v>
      </c>
      <c r="E3156" s="1" t="s">
        <v>1717</v>
      </c>
      <c r="F3156" s="1" t="s">
        <v>2146</v>
      </c>
      <c r="G3156" s="1">
        <v>43575.0</v>
      </c>
      <c r="H3156" s="1">
        <v>302.0</v>
      </c>
      <c r="I3156" s="1" t="s">
        <v>16</v>
      </c>
      <c r="J3156" s="1">
        <v>5.0E7</v>
      </c>
      <c r="K3156" s="1">
        <v>2002.0</v>
      </c>
      <c r="L3156" s="1">
        <v>6.1</v>
      </c>
      <c r="O3156" s="3"/>
      <c r="S3156" s="4"/>
    </row>
    <row r="3157" ht="14.25" customHeight="1">
      <c r="A3157" s="1" t="s">
        <v>6328</v>
      </c>
      <c r="B3157" s="1">
        <v>103.0</v>
      </c>
      <c r="C3157" s="1">
        <v>542860.0</v>
      </c>
      <c r="D3157" s="1" t="s">
        <v>824</v>
      </c>
      <c r="E3157" s="1" t="s">
        <v>6329</v>
      </c>
      <c r="F3157" s="1" t="s">
        <v>6330</v>
      </c>
      <c r="G3157" s="1">
        <v>9230.0</v>
      </c>
      <c r="H3157" s="1">
        <v>37.0</v>
      </c>
      <c r="I3157" s="1" t="s">
        <v>4061</v>
      </c>
      <c r="J3157" s="1">
        <v>4000000.0</v>
      </c>
      <c r="K3157" s="1">
        <v>2008.0</v>
      </c>
      <c r="L3157" s="1">
        <v>7.1</v>
      </c>
      <c r="O3157" s="3"/>
      <c r="S3157" s="4"/>
    </row>
    <row r="3158" ht="14.25" customHeight="1">
      <c r="A3158" s="1" t="s">
        <v>6331</v>
      </c>
      <c r="B3158" s="1">
        <v>111.0</v>
      </c>
      <c r="C3158" s="1">
        <v>1.1905519E7</v>
      </c>
      <c r="D3158" s="1" t="s">
        <v>197</v>
      </c>
      <c r="E3158" s="1" t="s">
        <v>6332</v>
      </c>
      <c r="F3158" s="1" t="s">
        <v>6333</v>
      </c>
      <c r="G3158" s="1">
        <v>30210.0</v>
      </c>
      <c r="H3158" s="1">
        <v>214.0</v>
      </c>
      <c r="I3158" s="1" t="s">
        <v>5059</v>
      </c>
      <c r="J3158" s="1">
        <v>2.0E8</v>
      </c>
      <c r="K3158" s="1">
        <v>2005.0</v>
      </c>
      <c r="L3158" s="1">
        <v>7.1</v>
      </c>
      <c r="O3158" s="3"/>
      <c r="S3158" s="4"/>
    </row>
    <row r="3159" ht="14.25" customHeight="1">
      <c r="A3159" s="1" t="s">
        <v>6116</v>
      </c>
      <c r="B3159" s="1">
        <v>112.0</v>
      </c>
      <c r="C3159" s="1">
        <v>3.2541719E7</v>
      </c>
      <c r="D3159" s="1" t="s">
        <v>1825</v>
      </c>
      <c r="E3159" s="1" t="s">
        <v>3052</v>
      </c>
      <c r="F3159" s="1" t="s">
        <v>6334</v>
      </c>
      <c r="G3159" s="1">
        <v>89806.0</v>
      </c>
      <c r="H3159" s="1">
        <v>438.0</v>
      </c>
      <c r="I3159" s="1" t="s">
        <v>16</v>
      </c>
      <c r="J3159" s="1">
        <v>3500159.0</v>
      </c>
      <c r="K3159" s="1">
        <v>2002.0</v>
      </c>
      <c r="L3159" s="1">
        <v>6.7</v>
      </c>
      <c r="O3159" s="3"/>
      <c r="S3159" s="4"/>
    </row>
    <row r="3160" ht="14.25" customHeight="1">
      <c r="A3160" s="1" t="s">
        <v>5917</v>
      </c>
      <c r="B3160" s="1">
        <v>141.0</v>
      </c>
      <c r="C3160" s="1">
        <v>3064356.0</v>
      </c>
      <c r="D3160" s="1" t="s">
        <v>92</v>
      </c>
      <c r="E3160" s="1" t="s">
        <v>534</v>
      </c>
      <c r="F3160" s="1" t="s">
        <v>6335</v>
      </c>
      <c r="G3160" s="1">
        <v>3433.0</v>
      </c>
      <c r="H3160" s="1">
        <v>81.0</v>
      </c>
      <c r="I3160" s="1" t="s">
        <v>16</v>
      </c>
      <c r="J3160" s="1">
        <v>5600000.0</v>
      </c>
      <c r="K3160" s="1">
        <v>2002.0</v>
      </c>
      <c r="L3160" s="1">
        <v>6.9</v>
      </c>
      <c r="O3160" s="3"/>
      <c r="S3160" s="4"/>
    </row>
    <row r="3161" ht="14.25" customHeight="1">
      <c r="A3161" s="1" t="s">
        <v>5203</v>
      </c>
      <c r="B3161" s="1">
        <v>95.0</v>
      </c>
      <c r="C3161" s="1">
        <v>7009668.0</v>
      </c>
      <c r="D3161" s="1" t="s">
        <v>6336</v>
      </c>
      <c r="E3161" s="1" t="s">
        <v>6337</v>
      </c>
      <c r="F3161" s="1" t="s">
        <v>6338</v>
      </c>
      <c r="G3161" s="1">
        <v>8707.0</v>
      </c>
      <c r="H3161" s="1">
        <v>36.0</v>
      </c>
      <c r="I3161" s="1" t="s">
        <v>16</v>
      </c>
      <c r="J3161" s="1">
        <v>5600000.0</v>
      </c>
      <c r="K3161" s="1">
        <v>2006.0</v>
      </c>
      <c r="L3161" s="1">
        <v>2.1</v>
      </c>
      <c r="O3161" s="3"/>
      <c r="S3161" s="4"/>
    </row>
    <row r="3162" ht="14.25" customHeight="1">
      <c r="A3162" s="1" t="s">
        <v>5559</v>
      </c>
      <c r="B3162" s="1">
        <v>85.0</v>
      </c>
      <c r="C3162" s="1">
        <v>27024.0</v>
      </c>
      <c r="D3162" s="1" t="s">
        <v>2551</v>
      </c>
      <c r="E3162" s="1" t="s">
        <v>6339</v>
      </c>
      <c r="F3162" s="1" t="s">
        <v>6340</v>
      </c>
      <c r="G3162" s="1">
        <v>55597.0</v>
      </c>
      <c r="H3162" s="1">
        <v>148.0</v>
      </c>
      <c r="I3162" s="1" t="s">
        <v>1144</v>
      </c>
      <c r="J3162" s="1">
        <v>5600000.0</v>
      </c>
      <c r="K3162" s="1">
        <v>2009.0</v>
      </c>
      <c r="L3162" s="1">
        <v>6.6</v>
      </c>
      <c r="O3162" s="3"/>
      <c r="S3162" s="4"/>
    </row>
    <row r="3163" ht="14.25" customHeight="1">
      <c r="A3163" s="1" t="s">
        <v>6233</v>
      </c>
      <c r="B3163" s="1">
        <v>129.0</v>
      </c>
      <c r="C3163" s="1">
        <v>1.596E8</v>
      </c>
      <c r="D3163" s="1" t="s">
        <v>3596</v>
      </c>
      <c r="E3163" s="1" t="s">
        <v>1713</v>
      </c>
      <c r="F3163" s="1" t="s">
        <v>6341</v>
      </c>
      <c r="G3163" s="1">
        <v>175607.0</v>
      </c>
      <c r="H3163" s="1">
        <v>252.0</v>
      </c>
      <c r="I3163" s="1" t="s">
        <v>16</v>
      </c>
      <c r="J3163" s="1">
        <v>5500000.0</v>
      </c>
      <c r="K3163" s="1">
        <v>1973.0</v>
      </c>
      <c r="L3163" s="1">
        <v>8.3</v>
      </c>
      <c r="O3163" s="3"/>
      <c r="S3163" s="4"/>
    </row>
    <row r="3164" ht="14.25" customHeight="1">
      <c r="A3164" s="1" t="s">
        <v>3082</v>
      </c>
      <c r="B3164" s="1">
        <v>125.0</v>
      </c>
      <c r="C3164" s="1">
        <v>5.88E7</v>
      </c>
      <c r="D3164" s="1" t="s">
        <v>681</v>
      </c>
      <c r="E3164" s="1" t="s">
        <v>6342</v>
      </c>
      <c r="F3164" s="1" t="s">
        <v>6343</v>
      </c>
      <c r="G3164" s="1">
        <v>40511.0</v>
      </c>
      <c r="H3164" s="1">
        <v>213.0</v>
      </c>
      <c r="I3164" s="1" t="s">
        <v>16</v>
      </c>
      <c r="J3164" s="1">
        <v>5500000.0</v>
      </c>
      <c r="K3164" s="1">
        <v>1981.0</v>
      </c>
      <c r="L3164" s="1">
        <v>7.2</v>
      </c>
      <c r="O3164" s="3"/>
      <c r="S3164" s="4"/>
    </row>
    <row r="3165" ht="14.25" customHeight="1">
      <c r="A3165" s="1" t="s">
        <v>6344</v>
      </c>
      <c r="B3165" s="1">
        <v>116.0</v>
      </c>
      <c r="C3165" s="1">
        <v>5.0382128E7</v>
      </c>
      <c r="D3165" s="1" t="s">
        <v>593</v>
      </c>
      <c r="E3165" s="1" t="s">
        <v>2980</v>
      </c>
      <c r="F3165" s="1" t="s">
        <v>6345</v>
      </c>
      <c r="G3165" s="1">
        <v>10472.0</v>
      </c>
      <c r="H3165" s="1">
        <v>202.0</v>
      </c>
      <c r="I3165" s="1" t="s">
        <v>16</v>
      </c>
      <c r="J3165" s="1">
        <v>5500000.0</v>
      </c>
      <c r="K3165" s="1">
        <v>2005.0</v>
      </c>
      <c r="L3165" s="1">
        <v>5.6</v>
      </c>
      <c r="O3165" s="3"/>
      <c r="S3165" s="4"/>
    </row>
    <row r="3166" ht="14.25" customHeight="1">
      <c r="A3166" s="1" t="s">
        <v>2866</v>
      </c>
      <c r="B3166" s="1">
        <v>105.0</v>
      </c>
      <c r="C3166" s="1">
        <v>3.5811509E7</v>
      </c>
      <c r="D3166" s="1" t="s">
        <v>3446</v>
      </c>
      <c r="E3166" s="1" t="s">
        <v>6346</v>
      </c>
      <c r="F3166" s="1" t="s">
        <v>6347</v>
      </c>
      <c r="G3166" s="1">
        <v>43013.0</v>
      </c>
      <c r="H3166" s="1">
        <v>104.0</v>
      </c>
      <c r="I3166" s="1" t="s">
        <v>16</v>
      </c>
      <c r="J3166" s="1">
        <v>5500000.0</v>
      </c>
      <c r="K3166" s="1">
        <v>1996.0</v>
      </c>
      <c r="L3166" s="1">
        <v>7.7</v>
      </c>
      <c r="O3166" s="3"/>
      <c r="S3166" s="4"/>
    </row>
    <row r="3167" ht="14.25" customHeight="1">
      <c r="A3167" s="1" t="s">
        <v>232</v>
      </c>
      <c r="B3167" s="1">
        <v>90.0</v>
      </c>
      <c r="C3167" s="1">
        <v>2.4475193E7</v>
      </c>
      <c r="D3167" s="1" t="s">
        <v>593</v>
      </c>
      <c r="E3167" s="1" t="s">
        <v>232</v>
      </c>
      <c r="F3167" s="1" t="s">
        <v>6348</v>
      </c>
      <c r="G3167" s="1">
        <v>190494.0</v>
      </c>
      <c r="H3167" s="1">
        <v>314.0</v>
      </c>
      <c r="I3167" s="1" t="s">
        <v>16</v>
      </c>
      <c r="J3167" s="1">
        <v>3000000.0</v>
      </c>
      <c r="K3167" s="1">
        <v>2013.0</v>
      </c>
      <c r="L3167" s="1">
        <v>6.6</v>
      </c>
      <c r="O3167" s="3"/>
      <c r="S3167" s="4"/>
    </row>
    <row r="3168" ht="14.25" customHeight="1">
      <c r="A3168" s="1" t="s">
        <v>4519</v>
      </c>
      <c r="B3168" s="1">
        <v>111.0</v>
      </c>
      <c r="C3168" s="1">
        <v>6200756.0</v>
      </c>
      <c r="D3168" s="1" t="s">
        <v>1059</v>
      </c>
      <c r="E3168" s="1" t="s">
        <v>237</v>
      </c>
      <c r="F3168" s="1" t="s">
        <v>6349</v>
      </c>
      <c r="G3168" s="1">
        <v>96129.0</v>
      </c>
      <c r="H3168" s="1">
        <v>488.0</v>
      </c>
      <c r="I3168" s="1" t="s">
        <v>16</v>
      </c>
      <c r="J3168" s="1">
        <v>7000000.0</v>
      </c>
      <c r="K3168" s="1">
        <v>2001.0</v>
      </c>
      <c r="L3168" s="1">
        <v>7.4</v>
      </c>
      <c r="O3168" s="3"/>
      <c r="S3168" s="4"/>
    </row>
    <row r="3169" ht="14.25" customHeight="1">
      <c r="A3169" s="1" t="s">
        <v>3555</v>
      </c>
      <c r="B3169" s="1">
        <v>91.0</v>
      </c>
      <c r="C3169" s="1">
        <v>1292119.0</v>
      </c>
      <c r="D3169" s="1" t="s">
        <v>2521</v>
      </c>
      <c r="E3169" s="1" t="s">
        <v>644</v>
      </c>
      <c r="F3169" s="1" t="s">
        <v>6350</v>
      </c>
      <c r="G3169" s="1">
        <v>14786.0</v>
      </c>
      <c r="H3169" s="1">
        <v>144.0</v>
      </c>
      <c r="I3169" s="1" t="s">
        <v>16</v>
      </c>
      <c r="J3169" s="1">
        <v>5500000.0</v>
      </c>
      <c r="K3169" s="1">
        <v>2001.0</v>
      </c>
      <c r="L3169" s="1">
        <v>7.1</v>
      </c>
      <c r="O3169" s="3"/>
      <c r="S3169" s="4"/>
    </row>
    <row r="3170" ht="14.25" customHeight="1">
      <c r="A3170" s="1" t="s">
        <v>6351</v>
      </c>
      <c r="B3170" s="1">
        <v>97.0</v>
      </c>
      <c r="C3170" s="1">
        <v>3629758.0</v>
      </c>
      <c r="D3170" s="1" t="s">
        <v>2466</v>
      </c>
      <c r="E3170" s="1" t="s">
        <v>6352</v>
      </c>
      <c r="F3170" s="1" t="s">
        <v>6353</v>
      </c>
      <c r="G3170" s="1">
        <v>44151.0</v>
      </c>
      <c r="H3170" s="1">
        <v>110.0</v>
      </c>
      <c r="I3170" s="1" t="s">
        <v>1189</v>
      </c>
      <c r="J3170" s="1">
        <v>5500000.0</v>
      </c>
      <c r="K3170" s="1">
        <v>2004.0</v>
      </c>
      <c r="L3170" s="1">
        <v>7.9</v>
      </c>
      <c r="O3170" s="3"/>
      <c r="S3170" s="4"/>
    </row>
    <row r="3171" ht="14.25" customHeight="1">
      <c r="A3171" s="1" t="s">
        <v>6354</v>
      </c>
      <c r="B3171" s="1">
        <v>92.0</v>
      </c>
      <c r="C3171" s="1">
        <v>6239558.0</v>
      </c>
      <c r="D3171" s="1" t="s">
        <v>1059</v>
      </c>
      <c r="E3171" s="1" t="s">
        <v>3036</v>
      </c>
      <c r="F3171" s="1" t="s">
        <v>6355</v>
      </c>
      <c r="G3171" s="1">
        <v>5548.0</v>
      </c>
      <c r="H3171" s="1">
        <v>67.0</v>
      </c>
      <c r="I3171" s="1" t="s">
        <v>16</v>
      </c>
      <c r="J3171" s="1">
        <v>5000000.0</v>
      </c>
      <c r="K3171" s="1">
        <v>2003.0</v>
      </c>
      <c r="L3171" s="1">
        <v>6.7</v>
      </c>
      <c r="O3171" s="3"/>
      <c r="S3171" s="4"/>
    </row>
    <row r="3172" ht="14.25" customHeight="1">
      <c r="A3172" s="1" t="s">
        <v>6356</v>
      </c>
      <c r="B3172" s="1">
        <v>104.0</v>
      </c>
      <c r="C3172" s="1">
        <v>1056102.0</v>
      </c>
      <c r="D3172" s="1" t="s">
        <v>909</v>
      </c>
      <c r="E3172" s="1" t="s">
        <v>6357</v>
      </c>
      <c r="F3172" s="1" t="s">
        <v>6358</v>
      </c>
      <c r="G3172" s="1">
        <v>18792.0</v>
      </c>
      <c r="H3172" s="1">
        <v>153.0</v>
      </c>
      <c r="I3172" s="1" t="s">
        <v>16</v>
      </c>
      <c r="J3172" s="1">
        <v>5000000.0</v>
      </c>
      <c r="K3172" s="1">
        <v>2003.0</v>
      </c>
      <c r="L3172" s="1">
        <v>6.6</v>
      </c>
      <c r="O3172" s="3"/>
      <c r="S3172" s="4"/>
    </row>
    <row r="3173" ht="14.25" customHeight="1">
      <c r="A3173" s="1" t="s">
        <v>2048</v>
      </c>
      <c r="B3173" s="1">
        <v>120.0</v>
      </c>
      <c r="C3173" s="1">
        <v>2.7545445E7</v>
      </c>
      <c r="D3173" s="1" t="s">
        <v>1391</v>
      </c>
      <c r="E3173" s="1" t="s">
        <v>6359</v>
      </c>
      <c r="F3173" s="1" t="s">
        <v>6360</v>
      </c>
      <c r="G3173" s="1">
        <v>59524.0</v>
      </c>
      <c r="H3173" s="1">
        <v>418.0</v>
      </c>
      <c r="I3173" s="1" t="s">
        <v>16</v>
      </c>
      <c r="J3173" s="1">
        <v>6500000.0</v>
      </c>
      <c r="K3173" s="1">
        <v>1989.0</v>
      </c>
      <c r="L3173" s="1">
        <v>7.9</v>
      </c>
      <c r="O3173" s="3"/>
      <c r="S3173" s="4"/>
    </row>
    <row r="3174" ht="14.25" customHeight="1">
      <c r="A3174" s="1" t="s">
        <v>6361</v>
      </c>
      <c r="B3174" s="1">
        <v>99.0</v>
      </c>
      <c r="C3174" s="1">
        <v>56007.0</v>
      </c>
      <c r="D3174" s="1" t="s">
        <v>5943</v>
      </c>
      <c r="E3174" s="1" t="s">
        <v>1041</v>
      </c>
      <c r="F3174" s="1" t="s">
        <v>6362</v>
      </c>
      <c r="G3174" s="1">
        <v>3754.0</v>
      </c>
      <c r="H3174" s="1">
        <v>69.0</v>
      </c>
      <c r="I3174" s="1" t="s">
        <v>16</v>
      </c>
      <c r="J3174" s="1">
        <v>5500000.0</v>
      </c>
      <c r="K3174" s="1">
        <v>2001.0</v>
      </c>
      <c r="L3174" s="1">
        <v>4.9</v>
      </c>
      <c r="O3174" s="3"/>
      <c r="S3174" s="4"/>
    </row>
    <row r="3175" ht="14.25" customHeight="1">
      <c r="A3175" s="1" t="s">
        <v>6363</v>
      </c>
      <c r="B3175" s="1">
        <v>93.0</v>
      </c>
      <c r="C3175" s="1">
        <v>611709.0</v>
      </c>
      <c r="D3175" s="1" t="s">
        <v>1059</v>
      </c>
      <c r="E3175" s="1" t="s">
        <v>6364</v>
      </c>
      <c r="F3175" s="1" t="s">
        <v>6365</v>
      </c>
      <c r="G3175" s="1">
        <v>15267.0</v>
      </c>
      <c r="H3175" s="1">
        <v>41.0</v>
      </c>
      <c r="I3175" s="1" t="s">
        <v>1189</v>
      </c>
      <c r="J3175" s="1">
        <v>3850000.0</v>
      </c>
      <c r="K3175" s="1">
        <v>2011.0</v>
      </c>
      <c r="L3175" s="1">
        <v>7.2</v>
      </c>
      <c r="O3175" s="3"/>
      <c r="S3175" s="4"/>
    </row>
    <row r="3176" ht="14.25" customHeight="1">
      <c r="A3176" s="1" t="s">
        <v>6366</v>
      </c>
      <c r="B3176" s="1">
        <v>99.0</v>
      </c>
      <c r="C3176" s="1">
        <v>22770.0</v>
      </c>
      <c r="D3176" s="1" t="s">
        <v>1059</v>
      </c>
      <c r="E3176" s="1" t="s">
        <v>6367</v>
      </c>
      <c r="F3176" s="1" t="s">
        <v>6368</v>
      </c>
      <c r="G3176" s="1">
        <v>1658.0</v>
      </c>
      <c r="H3176" s="1">
        <v>12.0</v>
      </c>
      <c r="I3176" s="1" t="s">
        <v>3076</v>
      </c>
      <c r="J3176" s="1">
        <v>5500000.0</v>
      </c>
      <c r="K3176" s="1">
        <v>2013.0</v>
      </c>
      <c r="L3176" s="1">
        <v>6.1</v>
      </c>
      <c r="O3176" s="3"/>
      <c r="S3176" s="4"/>
    </row>
    <row r="3177" ht="14.25" customHeight="1">
      <c r="A3177" s="1" t="s">
        <v>6369</v>
      </c>
      <c r="B3177" s="1">
        <v>96.0</v>
      </c>
      <c r="C3177" s="1">
        <v>27445.0</v>
      </c>
      <c r="D3177" s="1" t="s">
        <v>6370</v>
      </c>
      <c r="E3177" s="1" t="s">
        <v>3012</v>
      </c>
      <c r="F3177" s="1" t="s">
        <v>6371</v>
      </c>
      <c r="G3177" s="1">
        <v>3788.0</v>
      </c>
      <c r="H3177" s="1">
        <v>31.0</v>
      </c>
      <c r="I3177" s="1" t="s">
        <v>16</v>
      </c>
      <c r="J3177" s="1">
        <v>9000000.0</v>
      </c>
      <c r="K3177" s="1">
        <v>2011.0</v>
      </c>
      <c r="L3177" s="1">
        <v>5.3</v>
      </c>
      <c r="O3177" s="3"/>
      <c r="S3177" s="4"/>
    </row>
    <row r="3178" ht="14.25" customHeight="1">
      <c r="A3178" s="1" t="s">
        <v>3475</v>
      </c>
      <c r="B3178" s="1">
        <v>96.0</v>
      </c>
      <c r="C3178" s="1">
        <v>766487.0</v>
      </c>
      <c r="D3178" s="1" t="s">
        <v>699</v>
      </c>
      <c r="E3178" s="1" t="s">
        <v>256</v>
      </c>
      <c r="F3178" s="1" t="s">
        <v>6372</v>
      </c>
      <c r="G3178" s="1">
        <v>15315.0</v>
      </c>
      <c r="H3178" s="1">
        <v>117.0</v>
      </c>
      <c r="I3178" s="1" t="s">
        <v>16</v>
      </c>
      <c r="J3178" s="1">
        <v>5250000.0</v>
      </c>
      <c r="K3178" s="1">
        <v>2007.0</v>
      </c>
      <c r="L3178" s="1">
        <v>5.0</v>
      </c>
      <c r="O3178" s="3"/>
      <c r="S3178" s="4"/>
    </row>
    <row r="3179" ht="14.25" customHeight="1">
      <c r="A3179" s="1" t="s">
        <v>4846</v>
      </c>
      <c r="B3179" s="1">
        <v>100.0</v>
      </c>
      <c r="C3179" s="1">
        <v>1196752.0</v>
      </c>
      <c r="D3179" s="1" t="s">
        <v>901</v>
      </c>
      <c r="E3179" s="1" t="s">
        <v>6373</v>
      </c>
      <c r="F3179" s="1" t="s">
        <v>6374</v>
      </c>
      <c r="G3179" s="1">
        <v>79353.0</v>
      </c>
      <c r="H3179" s="1">
        <v>121.0</v>
      </c>
      <c r="I3179" s="1" t="s">
        <v>6375</v>
      </c>
      <c r="J3179" s="1">
        <v>3.03E7</v>
      </c>
      <c r="K3179" s="1">
        <v>2011.0</v>
      </c>
      <c r="L3179" s="1">
        <v>7.6</v>
      </c>
      <c r="O3179" s="3"/>
      <c r="S3179" s="4"/>
    </row>
    <row r="3180" ht="14.25" customHeight="1">
      <c r="A3180" s="1" t="s">
        <v>6376</v>
      </c>
      <c r="B3180" s="1">
        <v>98.0</v>
      </c>
      <c r="C3180" s="1">
        <v>795126.0</v>
      </c>
      <c r="D3180" s="1" t="s">
        <v>2500</v>
      </c>
      <c r="E3180" s="1" t="s">
        <v>6377</v>
      </c>
      <c r="F3180" s="1" t="s">
        <v>6378</v>
      </c>
      <c r="G3180" s="1">
        <v>4976.0</v>
      </c>
      <c r="H3180" s="1">
        <v>52.0</v>
      </c>
      <c r="I3180" s="1" t="s">
        <v>16</v>
      </c>
      <c r="J3180" s="1">
        <v>6000000.0</v>
      </c>
      <c r="K3180" s="1">
        <v>2004.0</v>
      </c>
      <c r="L3180" s="1">
        <v>7.6</v>
      </c>
      <c r="O3180" s="3"/>
      <c r="S3180" s="4"/>
    </row>
    <row r="3181" ht="14.25" customHeight="1">
      <c r="A3181" s="1" t="s">
        <v>145</v>
      </c>
      <c r="B3181" s="1">
        <v>106.0</v>
      </c>
      <c r="C3181" s="1">
        <v>8.3574831E7</v>
      </c>
      <c r="D3181" s="1" t="s">
        <v>3798</v>
      </c>
      <c r="E3181" s="1" t="s">
        <v>3102</v>
      </c>
      <c r="F3181" s="1" t="s">
        <v>6379</v>
      </c>
      <c r="G3181" s="1">
        <v>109214.0</v>
      </c>
      <c r="H3181" s="1">
        <v>269.0</v>
      </c>
      <c r="I3181" s="1" t="s">
        <v>16</v>
      </c>
      <c r="J3181" s="1">
        <v>5000000.0</v>
      </c>
      <c r="K3181" s="1">
        <v>2013.0</v>
      </c>
      <c r="L3181" s="1">
        <v>6.6</v>
      </c>
      <c r="O3181" s="3"/>
      <c r="S3181" s="4"/>
    </row>
    <row r="3182" ht="14.25" customHeight="1">
      <c r="A3182" s="1" t="s">
        <v>5575</v>
      </c>
      <c r="B3182" s="1">
        <v>95.0</v>
      </c>
      <c r="C3182" s="1">
        <v>8.7025093E7</v>
      </c>
      <c r="D3182" s="1" t="s">
        <v>2512</v>
      </c>
      <c r="E3182" s="1" t="s">
        <v>4671</v>
      </c>
      <c r="F3182" s="1" t="s">
        <v>6380</v>
      </c>
      <c r="G3182" s="1">
        <v>188679.0</v>
      </c>
      <c r="H3182" s="1">
        <v>864.0</v>
      </c>
      <c r="I3182" s="1" t="s">
        <v>16</v>
      </c>
      <c r="J3182" s="1">
        <v>4000000.0</v>
      </c>
      <c r="K3182" s="1">
        <v>2005.0</v>
      </c>
      <c r="L3182" s="1">
        <v>6.6</v>
      </c>
      <c r="O3182" s="3"/>
      <c r="S3182" s="4"/>
    </row>
    <row r="3183" ht="14.25" customHeight="1">
      <c r="A3183" s="1" t="s">
        <v>6381</v>
      </c>
      <c r="B3183" s="1">
        <v>104.0</v>
      </c>
      <c r="C3183" s="1">
        <v>7.1897215E7</v>
      </c>
      <c r="D3183" s="1" t="s">
        <v>6382</v>
      </c>
      <c r="E3183" s="1" t="s">
        <v>282</v>
      </c>
      <c r="F3183" s="1" t="s">
        <v>6383</v>
      </c>
      <c r="G3183" s="1">
        <v>126893.0</v>
      </c>
      <c r="H3183" s="1">
        <v>440.0</v>
      </c>
      <c r="I3183" s="1" t="s">
        <v>16</v>
      </c>
      <c r="J3183" s="1">
        <v>1.5E7</v>
      </c>
      <c r="K3183" s="1">
        <v>2016.0</v>
      </c>
      <c r="L3183" s="1">
        <v>7.3</v>
      </c>
      <c r="O3183" s="3"/>
      <c r="S3183" s="4"/>
    </row>
    <row r="3184" ht="14.25" customHeight="1">
      <c r="A3184" s="1" t="s">
        <v>4127</v>
      </c>
      <c r="B3184" s="1">
        <v>87.0</v>
      </c>
      <c r="C3184" s="1">
        <v>6.4267897E7</v>
      </c>
      <c r="D3184" s="1" t="s">
        <v>6384</v>
      </c>
      <c r="E3184" s="1" t="s">
        <v>4129</v>
      </c>
      <c r="F3184" s="1" t="s">
        <v>6385</v>
      </c>
      <c r="G3184" s="1">
        <v>67992.0</v>
      </c>
      <c r="H3184" s="1">
        <v>327.0</v>
      </c>
      <c r="I3184" s="1" t="s">
        <v>16</v>
      </c>
      <c r="J3184" s="1">
        <v>5000000.0</v>
      </c>
      <c r="K3184" s="1">
        <v>2002.0</v>
      </c>
      <c r="L3184" s="1">
        <v>6.6</v>
      </c>
      <c r="O3184" s="3"/>
      <c r="S3184" s="4"/>
    </row>
    <row r="3185" ht="14.25" customHeight="1">
      <c r="A3185" s="1" t="s">
        <v>6386</v>
      </c>
      <c r="B3185" s="1">
        <v>81.0</v>
      </c>
      <c r="C3185" s="1">
        <v>5.6536016E7</v>
      </c>
      <c r="D3185" s="1" t="s">
        <v>2551</v>
      </c>
      <c r="E3185" s="1" t="s">
        <v>1646</v>
      </c>
      <c r="F3185" s="1" t="s">
        <v>6387</v>
      </c>
      <c r="G3185" s="1">
        <v>13523.0</v>
      </c>
      <c r="H3185" s="1">
        <v>95.0</v>
      </c>
      <c r="I3185" s="1" t="s">
        <v>16</v>
      </c>
      <c r="J3185" s="1">
        <v>4900000.0</v>
      </c>
      <c r="K3185" s="1">
        <v>2016.0</v>
      </c>
      <c r="L3185" s="1">
        <v>6.9</v>
      </c>
      <c r="O3185" s="3"/>
      <c r="S3185" s="4"/>
    </row>
    <row r="3186" ht="14.25" customHeight="1">
      <c r="A3186" s="1" t="s">
        <v>4260</v>
      </c>
      <c r="B3186" s="1">
        <v>94.0</v>
      </c>
      <c r="C3186" s="1">
        <v>1.04007828E8</v>
      </c>
      <c r="D3186" s="1" t="s">
        <v>2551</v>
      </c>
      <c r="E3186" s="1" t="s">
        <v>6388</v>
      </c>
      <c r="F3186" s="1" t="s">
        <v>6389</v>
      </c>
      <c r="G3186" s="1">
        <v>76828.0</v>
      </c>
      <c r="H3186" s="1">
        <v>314.0</v>
      </c>
      <c r="I3186" s="1" t="s">
        <v>16</v>
      </c>
      <c r="J3186" s="1">
        <v>5000000.0</v>
      </c>
      <c r="K3186" s="1">
        <v>2011.0</v>
      </c>
      <c r="L3186" s="1">
        <v>5.8</v>
      </c>
      <c r="O3186" s="3"/>
      <c r="S3186" s="4"/>
    </row>
    <row r="3187" ht="14.25" customHeight="1">
      <c r="A3187" s="1" t="s">
        <v>6390</v>
      </c>
      <c r="B3187" s="1">
        <v>89.0</v>
      </c>
      <c r="C3187" s="1">
        <v>5.082094E7</v>
      </c>
      <c r="D3187" s="1" t="s">
        <v>2945</v>
      </c>
      <c r="E3187" s="1" t="s">
        <v>3102</v>
      </c>
      <c r="F3187" s="1" t="s">
        <v>6391</v>
      </c>
      <c r="G3187" s="1">
        <v>31915.0</v>
      </c>
      <c r="H3187" s="1">
        <v>159.0</v>
      </c>
      <c r="I3187" s="1" t="s">
        <v>16</v>
      </c>
      <c r="J3187" s="1">
        <v>5000000.0</v>
      </c>
      <c r="K3187" s="1">
        <v>2014.0</v>
      </c>
      <c r="L3187" s="1">
        <v>4.4</v>
      </c>
      <c r="O3187" s="3"/>
      <c r="S3187" s="4"/>
    </row>
    <row r="3188" ht="14.25" customHeight="1">
      <c r="A3188" s="1" t="s">
        <v>730</v>
      </c>
      <c r="B3188" s="1">
        <v>88.0</v>
      </c>
      <c r="C3188" s="1">
        <v>4.47932E7</v>
      </c>
      <c r="D3188" s="1" t="s">
        <v>3506</v>
      </c>
      <c r="E3188" s="1" t="s">
        <v>6392</v>
      </c>
      <c r="F3188" s="1" t="s">
        <v>6393</v>
      </c>
      <c r="G3188" s="1">
        <v>49820.0</v>
      </c>
      <c r="H3188" s="1">
        <v>311.0</v>
      </c>
      <c r="I3188" s="1" t="s">
        <v>16</v>
      </c>
      <c r="J3188" s="1">
        <v>4500000.0</v>
      </c>
      <c r="K3188" s="1">
        <v>1987.0</v>
      </c>
      <c r="L3188" s="1">
        <v>6.6</v>
      </c>
      <c r="O3188" s="3"/>
      <c r="S3188" s="4"/>
    </row>
    <row r="3189" ht="14.25" customHeight="1">
      <c r="A3189" s="1" t="s">
        <v>5675</v>
      </c>
      <c r="B3189" s="1">
        <v>108.0</v>
      </c>
      <c r="C3189" s="1">
        <v>4.3771291E7</v>
      </c>
      <c r="D3189" s="1" t="s">
        <v>362</v>
      </c>
      <c r="E3189" s="1" t="s">
        <v>2589</v>
      </c>
      <c r="F3189" s="1" t="s">
        <v>5676</v>
      </c>
      <c r="G3189" s="1">
        <v>79916.0</v>
      </c>
      <c r="H3189" s="1">
        <v>279.0</v>
      </c>
      <c r="I3189" s="1" t="s">
        <v>16</v>
      </c>
      <c r="J3189" s="1">
        <v>5000000.0</v>
      </c>
      <c r="K3189" s="1">
        <v>2015.0</v>
      </c>
      <c r="L3189" s="1">
        <v>7.1</v>
      </c>
      <c r="O3189" s="3"/>
      <c r="S3189" s="4"/>
    </row>
    <row r="3190" ht="14.25" customHeight="1">
      <c r="A3190" s="1" t="s">
        <v>6394</v>
      </c>
      <c r="B3190" s="1">
        <v>115.0</v>
      </c>
      <c r="C3190" s="1">
        <v>4.4456509E7</v>
      </c>
      <c r="D3190" s="1" t="s">
        <v>1059</v>
      </c>
      <c r="E3190" s="1" t="s">
        <v>6394</v>
      </c>
      <c r="F3190" s="1" t="s">
        <v>6395</v>
      </c>
      <c r="G3190" s="1">
        <v>22105.0</v>
      </c>
      <c r="H3190" s="1">
        <v>81.0</v>
      </c>
      <c r="I3190" s="1" t="s">
        <v>1144</v>
      </c>
      <c r="J3190" s="1">
        <v>5000000.0</v>
      </c>
      <c r="K3190" s="1">
        <v>2013.0</v>
      </c>
      <c r="L3190" s="1">
        <v>7.6</v>
      </c>
      <c r="O3190" s="3"/>
      <c r="S3190" s="4"/>
    </row>
    <row r="3191" ht="14.25" customHeight="1">
      <c r="A3191" s="1" t="s">
        <v>4260</v>
      </c>
      <c r="B3191" s="1">
        <v>96.0</v>
      </c>
      <c r="C3191" s="1">
        <v>5.3884821E7</v>
      </c>
      <c r="D3191" s="1" t="s">
        <v>2551</v>
      </c>
      <c r="E3191" s="1" t="s">
        <v>6396</v>
      </c>
      <c r="F3191" s="1" t="s">
        <v>6397</v>
      </c>
      <c r="G3191" s="1">
        <v>51204.0</v>
      </c>
      <c r="H3191" s="1">
        <v>247.0</v>
      </c>
      <c r="I3191" s="1" t="s">
        <v>16</v>
      </c>
      <c r="J3191" s="1">
        <v>5000000.0</v>
      </c>
      <c r="K3191" s="1">
        <v>2012.0</v>
      </c>
      <c r="L3191" s="1">
        <v>4.6</v>
      </c>
      <c r="O3191" s="3"/>
      <c r="S3191" s="4"/>
    </row>
    <row r="3192" ht="14.25" customHeight="1">
      <c r="A3192" s="1" t="s">
        <v>6398</v>
      </c>
      <c r="B3192" s="1">
        <v>135.0</v>
      </c>
      <c r="C3192" s="1">
        <v>3.6E7</v>
      </c>
      <c r="D3192" s="1" t="s">
        <v>2596</v>
      </c>
      <c r="E3192" s="1" t="s">
        <v>6399</v>
      </c>
      <c r="F3192" s="1" t="s">
        <v>6400</v>
      </c>
      <c r="G3192" s="1">
        <v>6359.0</v>
      </c>
      <c r="H3192" s="1">
        <v>69.0</v>
      </c>
      <c r="I3192" s="1" t="s">
        <v>16</v>
      </c>
      <c r="J3192" s="1">
        <v>5000000.0</v>
      </c>
      <c r="K3192" s="1">
        <v>1953.0</v>
      </c>
      <c r="L3192" s="1">
        <v>6.8</v>
      </c>
      <c r="O3192" s="3"/>
      <c r="S3192" s="4"/>
    </row>
    <row r="3193" ht="14.25" customHeight="1">
      <c r="A3193" s="1" t="s">
        <v>3879</v>
      </c>
      <c r="B3193" s="1">
        <v>93.0</v>
      </c>
      <c r="C3193" s="1">
        <v>3.4872293E7</v>
      </c>
      <c r="D3193" s="1" t="s">
        <v>3194</v>
      </c>
      <c r="E3193" s="1" t="s">
        <v>19</v>
      </c>
      <c r="F3193" s="1" t="s">
        <v>6401</v>
      </c>
      <c r="G3193" s="1">
        <v>30765.0</v>
      </c>
      <c r="H3193" s="1">
        <v>252.0</v>
      </c>
      <c r="I3193" s="1" t="s">
        <v>16</v>
      </c>
      <c r="J3193" s="1">
        <v>8500000.0</v>
      </c>
      <c r="K3193" s="1">
        <v>1991.0</v>
      </c>
      <c r="L3193" s="1">
        <v>4.9</v>
      </c>
      <c r="O3193" s="3"/>
      <c r="S3193" s="4"/>
    </row>
    <row r="3194" ht="14.25" customHeight="1">
      <c r="A3194" s="1" t="s">
        <v>6402</v>
      </c>
      <c r="B3194" s="1">
        <v>109.0</v>
      </c>
      <c r="C3194" s="1">
        <v>3.4468224E7</v>
      </c>
      <c r="D3194" s="1" t="s">
        <v>2265</v>
      </c>
      <c r="E3194" s="1" t="s">
        <v>1139</v>
      </c>
      <c r="F3194" s="1" t="s">
        <v>6403</v>
      </c>
      <c r="G3194" s="1">
        <v>105568.0</v>
      </c>
      <c r="H3194" s="1">
        <v>533.0</v>
      </c>
      <c r="I3194" s="1" t="s">
        <v>16</v>
      </c>
      <c r="J3194" s="1">
        <v>4500000.0</v>
      </c>
      <c r="K3194" s="1">
        <v>2003.0</v>
      </c>
      <c r="L3194" s="1">
        <v>7.3</v>
      </c>
      <c r="O3194" s="3"/>
      <c r="S3194" s="4"/>
    </row>
    <row r="3195" ht="14.25" customHeight="1">
      <c r="A3195" s="1" t="s">
        <v>6404</v>
      </c>
      <c r="B3195" s="1">
        <v>101.0</v>
      </c>
      <c r="C3195" s="1">
        <v>3.2453345E7</v>
      </c>
      <c r="D3195" s="1" t="s">
        <v>3798</v>
      </c>
      <c r="E3195" s="1" t="s">
        <v>6405</v>
      </c>
      <c r="F3195" s="1" t="s">
        <v>6406</v>
      </c>
      <c r="G3195" s="1">
        <v>31791.0</v>
      </c>
      <c r="H3195" s="1">
        <v>155.0</v>
      </c>
      <c r="I3195" s="1" t="s">
        <v>16</v>
      </c>
      <c r="J3195" s="1">
        <v>5000000.0</v>
      </c>
      <c r="K3195" s="1">
        <v>2014.0</v>
      </c>
      <c r="L3195" s="1">
        <v>5.0</v>
      </c>
      <c r="O3195" s="3"/>
      <c r="S3195" s="4"/>
    </row>
    <row r="3196" ht="14.25" customHeight="1">
      <c r="A3196" s="1" t="s">
        <v>3030</v>
      </c>
      <c r="B3196" s="1">
        <v>117.0</v>
      </c>
      <c r="C3196" s="1">
        <v>2.7296514E7</v>
      </c>
      <c r="D3196" s="1" t="s">
        <v>646</v>
      </c>
      <c r="E3196" s="1" t="s">
        <v>285</v>
      </c>
      <c r="F3196" s="1" t="s">
        <v>6407</v>
      </c>
      <c r="G3196" s="1">
        <v>326494.0</v>
      </c>
      <c r="H3196" s="1">
        <v>340.0</v>
      </c>
      <c r="I3196" s="1" t="s">
        <v>16</v>
      </c>
      <c r="J3196" s="1">
        <v>5000000.0</v>
      </c>
      <c r="K3196" s="1">
        <v>2013.0</v>
      </c>
      <c r="L3196" s="1">
        <v>8.0</v>
      </c>
      <c r="O3196" s="3"/>
      <c r="S3196" s="4"/>
    </row>
    <row r="3197" ht="14.25" customHeight="1">
      <c r="A3197" s="1" t="s">
        <v>6408</v>
      </c>
      <c r="B3197" s="1">
        <v>83.0</v>
      </c>
      <c r="C3197" s="1">
        <v>2.5799043E7</v>
      </c>
      <c r="D3197" s="1" t="s">
        <v>1764</v>
      </c>
      <c r="E3197" s="1" t="s">
        <v>1721</v>
      </c>
      <c r="F3197" s="1" t="s">
        <v>6409</v>
      </c>
      <c r="G3197" s="1">
        <v>28513.0</v>
      </c>
      <c r="H3197" s="1">
        <v>126.0</v>
      </c>
      <c r="I3197" s="1" t="s">
        <v>16</v>
      </c>
      <c r="J3197" s="1">
        <v>3300000.0</v>
      </c>
      <c r="K3197" s="1">
        <v>2015.0</v>
      </c>
      <c r="L3197" s="1">
        <v>5.2</v>
      </c>
      <c r="O3197" s="3"/>
      <c r="S3197" s="4"/>
    </row>
    <row r="3198" ht="14.25" customHeight="1">
      <c r="A3198" s="1" t="s">
        <v>25</v>
      </c>
      <c r="B3198" s="1">
        <v>113.0</v>
      </c>
      <c r="C3198" s="1">
        <v>2.5530884E7</v>
      </c>
      <c r="D3198" s="1" t="s">
        <v>362</v>
      </c>
      <c r="E3198" s="1" t="s">
        <v>3149</v>
      </c>
      <c r="F3198" s="1" t="s">
        <v>6410</v>
      </c>
      <c r="G3198" s="1">
        <v>845580.0</v>
      </c>
      <c r="H3198" s="1">
        <v>2067.0</v>
      </c>
      <c r="I3198" s="1" t="s">
        <v>16</v>
      </c>
      <c r="J3198" s="1">
        <v>9000000.0</v>
      </c>
      <c r="K3198" s="1">
        <v>2000.0</v>
      </c>
      <c r="L3198" s="1">
        <v>8.5</v>
      </c>
      <c r="O3198" s="3"/>
      <c r="S3198" s="4"/>
    </row>
    <row r="3199" ht="14.25" customHeight="1">
      <c r="A3199" s="1" t="s">
        <v>6411</v>
      </c>
      <c r="B3199" s="1">
        <v>104.0</v>
      </c>
      <c r="C3199" s="1">
        <v>2.7689474E7</v>
      </c>
      <c r="D3199" s="1" t="s">
        <v>2512</v>
      </c>
      <c r="E3199" s="1" t="s">
        <v>6412</v>
      </c>
      <c r="F3199" s="1" t="s">
        <v>6413</v>
      </c>
      <c r="G3199" s="1">
        <v>85688.0</v>
      </c>
      <c r="H3199" s="1">
        <v>339.0</v>
      </c>
      <c r="I3199" s="1" t="s">
        <v>16</v>
      </c>
      <c r="J3199" s="1">
        <v>5000000.0</v>
      </c>
      <c r="K3199" s="1">
        <v>2013.0</v>
      </c>
      <c r="L3199" s="1">
        <v>6.5</v>
      </c>
      <c r="O3199" s="3"/>
      <c r="S3199" s="4"/>
    </row>
    <row r="3200" ht="14.25" customHeight="1">
      <c r="A3200" s="1" t="s">
        <v>2839</v>
      </c>
      <c r="B3200" s="1">
        <v>97.0</v>
      </c>
      <c r="C3200" s="1">
        <v>2.4138847E7</v>
      </c>
      <c r="D3200" s="1" t="s">
        <v>828</v>
      </c>
      <c r="E3200" s="1" t="s">
        <v>4741</v>
      </c>
      <c r="F3200" s="1" t="s">
        <v>6414</v>
      </c>
      <c r="G3200" s="1">
        <v>114797.0</v>
      </c>
      <c r="H3200" s="1">
        <v>472.0</v>
      </c>
      <c r="I3200" s="1" t="s">
        <v>16</v>
      </c>
      <c r="J3200" s="1">
        <v>5000000.0</v>
      </c>
      <c r="K3200" s="1">
        <v>2006.0</v>
      </c>
      <c r="L3200" s="1">
        <v>7.4</v>
      </c>
      <c r="O3200" s="3"/>
      <c r="S3200" s="4"/>
    </row>
    <row r="3201" ht="14.25" customHeight="1">
      <c r="A3201" s="1" t="s">
        <v>2635</v>
      </c>
      <c r="B3201" s="1">
        <v>110.0</v>
      </c>
      <c r="C3201" s="1">
        <v>2.1994911E7</v>
      </c>
      <c r="D3201" s="1" t="s">
        <v>2466</v>
      </c>
      <c r="E3201" s="1" t="s">
        <v>1910</v>
      </c>
      <c r="F3201" s="1" t="s">
        <v>6415</v>
      </c>
      <c r="G3201" s="1">
        <v>98354.0</v>
      </c>
      <c r="H3201" s="1">
        <v>433.0</v>
      </c>
      <c r="I3201" s="1" t="s">
        <v>16</v>
      </c>
      <c r="J3201" s="1">
        <v>5000000.0</v>
      </c>
      <c r="K3201" s="1">
        <v>2000.0</v>
      </c>
      <c r="L3201" s="1">
        <v>7.7</v>
      </c>
      <c r="O3201" s="3"/>
      <c r="S3201" s="4"/>
    </row>
    <row r="3202" ht="14.25" customHeight="1">
      <c r="A3202" s="1" t="s">
        <v>6416</v>
      </c>
      <c r="B3202" s="1">
        <v>103.0</v>
      </c>
      <c r="C3202" s="1">
        <v>2.1501098E7</v>
      </c>
      <c r="D3202" s="1" t="s">
        <v>1059</v>
      </c>
      <c r="E3202" s="1" t="s">
        <v>1222</v>
      </c>
      <c r="F3202" s="1" t="s">
        <v>6417</v>
      </c>
      <c r="G3202" s="1">
        <v>115813.0</v>
      </c>
      <c r="H3202" s="1">
        <v>216.0</v>
      </c>
      <c r="I3202" s="1" t="s">
        <v>16</v>
      </c>
      <c r="J3202" s="1">
        <v>5000000.0</v>
      </c>
      <c r="K3202" s="1">
        <v>2013.0</v>
      </c>
      <c r="L3202" s="1">
        <v>7.4</v>
      </c>
      <c r="O3202" s="3"/>
      <c r="S3202" s="4"/>
    </row>
    <row r="3203" ht="14.25" customHeight="1">
      <c r="A3203" s="1" t="s">
        <v>6418</v>
      </c>
      <c r="B3203" s="1">
        <v>94.0</v>
      </c>
      <c r="C3203" s="1">
        <v>1.9281235E7</v>
      </c>
      <c r="D3203" s="1" t="s">
        <v>2304</v>
      </c>
      <c r="E3203" s="1" t="s">
        <v>6419</v>
      </c>
      <c r="F3203" s="1" t="s">
        <v>6420</v>
      </c>
      <c r="G3203" s="1">
        <v>3571.0</v>
      </c>
      <c r="H3203" s="1">
        <v>11.0</v>
      </c>
      <c r="I3203" s="1" t="s">
        <v>16</v>
      </c>
      <c r="J3203" s="1">
        <v>5000000.0</v>
      </c>
      <c r="K3203" s="1">
        <v>1991.0</v>
      </c>
      <c r="L3203" s="1">
        <v>5.1</v>
      </c>
      <c r="O3203" s="3"/>
      <c r="S3203" s="4"/>
    </row>
    <row r="3204" ht="14.25" customHeight="1">
      <c r="A3204" s="1" t="s">
        <v>6421</v>
      </c>
      <c r="B3204" s="1">
        <v>77.0</v>
      </c>
      <c r="C3204" s="1">
        <v>1.9421271E7</v>
      </c>
      <c r="D3204" s="1" t="s">
        <v>1215</v>
      </c>
      <c r="E3204" s="1" t="s">
        <v>838</v>
      </c>
      <c r="F3204" s="1" t="s">
        <v>6422</v>
      </c>
      <c r="G3204" s="1">
        <v>2448.0</v>
      </c>
      <c r="H3204" s="1">
        <v>18.0</v>
      </c>
      <c r="I3204" s="1" t="s">
        <v>16</v>
      </c>
      <c r="J3204" s="1">
        <v>5000000.0</v>
      </c>
      <c r="K3204" s="1">
        <v>1999.0</v>
      </c>
      <c r="L3204" s="1">
        <v>5.0</v>
      </c>
      <c r="O3204" s="3"/>
      <c r="S3204" s="4"/>
    </row>
    <row r="3205" ht="14.25" customHeight="1">
      <c r="A3205" s="1" t="s">
        <v>1057</v>
      </c>
      <c r="B3205" s="1">
        <v>134.0</v>
      </c>
      <c r="C3205" s="1">
        <v>2.0733485E7</v>
      </c>
      <c r="D3205" s="1" t="s">
        <v>1391</v>
      </c>
      <c r="E3205" s="1" t="s">
        <v>6423</v>
      </c>
      <c r="F3205" s="1" t="s">
        <v>6424</v>
      </c>
      <c r="G3205" s="1">
        <v>11622.0</v>
      </c>
      <c r="H3205" s="1">
        <v>157.0</v>
      </c>
      <c r="I3205" s="1" t="s">
        <v>16</v>
      </c>
      <c r="J3205" s="1">
        <v>5000000.0</v>
      </c>
      <c r="K3205" s="1">
        <v>1997.0</v>
      </c>
      <c r="L3205" s="1">
        <v>7.2</v>
      </c>
      <c r="O3205" s="3"/>
      <c r="S3205" s="4"/>
    </row>
    <row r="3206" ht="14.25" customHeight="1">
      <c r="A3206" s="1" t="s">
        <v>6425</v>
      </c>
      <c r="B3206" s="1">
        <v>90.0</v>
      </c>
      <c r="C3206" s="1">
        <v>2.4809547E7</v>
      </c>
      <c r="D3206" s="1" t="s">
        <v>1059</v>
      </c>
      <c r="E3206" s="1" t="s">
        <v>1662</v>
      </c>
      <c r="F3206" s="1" t="s">
        <v>6426</v>
      </c>
      <c r="G3206" s="1">
        <v>74875.0</v>
      </c>
      <c r="H3206" s="1">
        <v>115.0</v>
      </c>
      <c r="I3206" s="1" t="s">
        <v>16</v>
      </c>
      <c r="J3206" s="1">
        <v>5000000.0</v>
      </c>
      <c r="K3206" s="1">
        <v>2011.0</v>
      </c>
      <c r="L3206" s="1">
        <v>6.4</v>
      </c>
      <c r="O3206" s="3"/>
      <c r="S3206" s="4"/>
    </row>
    <row r="3207" ht="14.25" customHeight="1">
      <c r="A3207" s="1" t="s">
        <v>6427</v>
      </c>
      <c r="B3207" s="1">
        <v>104.0</v>
      </c>
      <c r="C3207" s="1">
        <v>2.303139E7</v>
      </c>
      <c r="D3207" s="1" t="s">
        <v>1059</v>
      </c>
      <c r="E3207" s="1" t="s">
        <v>343</v>
      </c>
      <c r="F3207" s="1" t="s">
        <v>6428</v>
      </c>
      <c r="G3207" s="1">
        <v>4345.0</v>
      </c>
      <c r="H3207" s="1">
        <v>26.0</v>
      </c>
      <c r="I3207" s="1" t="s">
        <v>16</v>
      </c>
      <c r="J3207" s="1">
        <v>4500000.0</v>
      </c>
      <c r="K3207" s="1">
        <v>1998.0</v>
      </c>
      <c r="L3207" s="1">
        <v>5.6</v>
      </c>
      <c r="O3207" s="3"/>
      <c r="S3207" s="4"/>
    </row>
    <row r="3208" ht="14.25" customHeight="1">
      <c r="A3208" s="1" t="s">
        <v>5359</v>
      </c>
      <c r="B3208" s="1">
        <v>93.0</v>
      </c>
      <c r="C3208" s="1">
        <v>2.1197315E7</v>
      </c>
      <c r="D3208" s="1" t="s">
        <v>1239</v>
      </c>
      <c r="E3208" s="1" t="s">
        <v>5652</v>
      </c>
      <c r="F3208" s="1" t="s">
        <v>6429</v>
      </c>
      <c r="G3208" s="1">
        <v>49948.0</v>
      </c>
      <c r="H3208" s="1">
        <v>211.0</v>
      </c>
      <c r="I3208" s="1" t="s">
        <v>16</v>
      </c>
      <c r="J3208" s="1">
        <v>5000000.0</v>
      </c>
      <c r="K3208" s="1">
        <v>2014.0</v>
      </c>
      <c r="L3208" s="1">
        <v>6.1</v>
      </c>
      <c r="O3208" s="3"/>
      <c r="S3208" s="4"/>
    </row>
    <row r="3209" ht="14.25" customHeight="1">
      <c r="A3209" s="1" t="s">
        <v>4543</v>
      </c>
      <c r="B3209" s="1">
        <v>106.0</v>
      </c>
      <c r="C3209" s="1">
        <v>1.7382982E7</v>
      </c>
      <c r="D3209" s="1" t="s">
        <v>1654</v>
      </c>
      <c r="E3209" s="1" t="s">
        <v>5585</v>
      </c>
      <c r="F3209" s="1" t="s">
        <v>6430</v>
      </c>
      <c r="G3209" s="1">
        <v>5975.0</v>
      </c>
      <c r="H3209" s="1">
        <v>33.0</v>
      </c>
      <c r="I3209" s="1" t="s">
        <v>1144</v>
      </c>
      <c r="J3209" s="1">
        <v>5000000.0</v>
      </c>
      <c r="K3209" s="1">
        <v>2014.0</v>
      </c>
      <c r="L3209" s="1">
        <v>5.2</v>
      </c>
      <c r="O3209" s="3"/>
      <c r="S3209" s="4"/>
    </row>
    <row r="3210" ht="14.25" customHeight="1">
      <c r="A3210" s="1" t="s">
        <v>4643</v>
      </c>
      <c r="B3210" s="1">
        <v>109.0</v>
      </c>
      <c r="C3210" s="1">
        <v>1.4821531E7</v>
      </c>
      <c r="D3210" s="1" t="s">
        <v>1391</v>
      </c>
      <c r="E3210" s="1" t="s">
        <v>6431</v>
      </c>
      <c r="F3210" s="1" t="s">
        <v>6432</v>
      </c>
      <c r="G3210" s="1">
        <v>6915.0</v>
      </c>
      <c r="H3210" s="1">
        <v>209.0</v>
      </c>
      <c r="I3210" s="1" t="s">
        <v>16</v>
      </c>
      <c r="J3210" s="1">
        <v>6000000.0</v>
      </c>
      <c r="K3210" s="1">
        <v>1997.0</v>
      </c>
      <c r="L3210" s="1">
        <v>7.3</v>
      </c>
      <c r="O3210" s="3"/>
      <c r="S3210" s="4"/>
    </row>
    <row r="3211" ht="14.25" customHeight="1">
      <c r="A3211" s="1" t="s">
        <v>6433</v>
      </c>
      <c r="B3211" s="1">
        <v>101.0</v>
      </c>
      <c r="C3211" s="1">
        <v>1.86564E7</v>
      </c>
      <c r="D3211" s="1" t="s">
        <v>1391</v>
      </c>
      <c r="E3211" s="1" t="s">
        <v>1050</v>
      </c>
      <c r="F3211" s="1" t="s">
        <v>6434</v>
      </c>
      <c r="G3211" s="1">
        <v>86077.0</v>
      </c>
      <c r="H3211" s="1">
        <v>195.0</v>
      </c>
      <c r="I3211" s="1" t="s">
        <v>16</v>
      </c>
      <c r="J3211" s="1">
        <v>5000000.0</v>
      </c>
      <c r="K3211" s="1">
        <v>2014.0</v>
      </c>
      <c r="L3211" s="1">
        <v>7.5</v>
      </c>
      <c r="O3211" s="3"/>
      <c r="S3211" s="4"/>
    </row>
    <row r="3212" ht="14.25" customHeight="1">
      <c r="A3212" s="1" t="s">
        <v>6435</v>
      </c>
      <c r="B3212" s="1">
        <v>100.0</v>
      </c>
      <c r="C3212" s="1">
        <v>1.4343976E7</v>
      </c>
      <c r="D3212" s="1" t="s">
        <v>6436</v>
      </c>
      <c r="E3212" s="1" t="s">
        <v>6437</v>
      </c>
      <c r="F3212" s="1" t="s">
        <v>6438</v>
      </c>
      <c r="G3212" s="1">
        <v>22961.0</v>
      </c>
      <c r="H3212" s="1">
        <v>291.0</v>
      </c>
      <c r="I3212" s="1" t="s">
        <v>16</v>
      </c>
      <c r="J3212" s="1">
        <v>5000000.0</v>
      </c>
      <c r="K3212" s="1">
        <v>1989.0</v>
      </c>
      <c r="L3212" s="1">
        <v>4.5</v>
      </c>
      <c r="O3212" s="3"/>
      <c r="S3212" s="4"/>
    </row>
    <row r="3213" ht="14.25" customHeight="1">
      <c r="A3213" s="1" t="s">
        <v>2319</v>
      </c>
      <c r="B3213" s="1">
        <v>95.0</v>
      </c>
      <c r="C3213" s="1">
        <v>2.41437427E8</v>
      </c>
      <c r="D3213" s="1" t="s">
        <v>1125</v>
      </c>
      <c r="E3213" s="1" t="s">
        <v>4522</v>
      </c>
      <c r="F3213" s="1" t="s">
        <v>6439</v>
      </c>
      <c r="G3213" s="1">
        <v>102071.0</v>
      </c>
      <c r="H3213" s="1">
        <v>756.0</v>
      </c>
      <c r="I3213" s="1" t="s">
        <v>16</v>
      </c>
      <c r="J3213" s="1">
        <v>5000000.0</v>
      </c>
      <c r="K3213" s="1">
        <v>2002.0</v>
      </c>
      <c r="L3213" s="1">
        <v>6.6</v>
      </c>
      <c r="O3213" s="3"/>
      <c r="S3213" s="4"/>
    </row>
    <row r="3214" ht="14.25" customHeight="1">
      <c r="A3214" s="1" t="s">
        <v>6440</v>
      </c>
      <c r="B3214" s="1">
        <v>94.0</v>
      </c>
      <c r="C3214" s="1">
        <v>1.4123773E7</v>
      </c>
      <c r="D3214" s="1" t="s">
        <v>811</v>
      </c>
      <c r="E3214" s="1" t="s">
        <v>861</v>
      </c>
      <c r="F3214" s="1" t="s">
        <v>6441</v>
      </c>
      <c r="G3214" s="1">
        <v>108683.0</v>
      </c>
      <c r="H3214" s="1">
        <v>561.0</v>
      </c>
      <c r="I3214" s="1" t="s">
        <v>16</v>
      </c>
      <c r="J3214" s="1">
        <v>5000000.0</v>
      </c>
      <c r="K3214" s="1">
        <v>2012.0</v>
      </c>
      <c r="L3214" s="1">
        <v>5.3</v>
      </c>
      <c r="O3214" s="3"/>
      <c r="S3214" s="4"/>
    </row>
    <row r="3215" ht="14.25" customHeight="1">
      <c r="A3215" s="1" t="s">
        <v>6442</v>
      </c>
      <c r="B3215" s="1">
        <v>93.0</v>
      </c>
      <c r="C3215" s="1">
        <v>1.5126948E7</v>
      </c>
      <c r="D3215" s="1" t="s">
        <v>2657</v>
      </c>
      <c r="E3215" s="1" t="s">
        <v>3952</v>
      </c>
      <c r="F3215" s="1" t="s">
        <v>6443</v>
      </c>
      <c r="G3215" s="1">
        <v>20815.0</v>
      </c>
      <c r="H3215" s="1">
        <v>335.0</v>
      </c>
      <c r="I3215" s="1" t="s">
        <v>16</v>
      </c>
      <c r="J3215" s="1">
        <v>5000000.0</v>
      </c>
      <c r="K3215" s="1">
        <v>1995.0</v>
      </c>
      <c r="L3215" s="1">
        <v>4.9</v>
      </c>
      <c r="O3215" s="3"/>
      <c r="S3215" s="4"/>
    </row>
    <row r="3216" ht="14.25" customHeight="1">
      <c r="A3216" s="1" t="s">
        <v>510</v>
      </c>
      <c r="B3216" s="1">
        <v>106.0</v>
      </c>
      <c r="C3216" s="1">
        <v>1.3622333E7</v>
      </c>
      <c r="D3216" s="1" t="s">
        <v>4401</v>
      </c>
      <c r="E3216" s="1" t="s">
        <v>6444</v>
      </c>
      <c r="F3216" s="1" t="s">
        <v>6445</v>
      </c>
      <c r="G3216" s="1">
        <v>91377.0</v>
      </c>
      <c r="H3216" s="1">
        <v>385.0</v>
      </c>
      <c r="I3216" s="1" t="s">
        <v>1144</v>
      </c>
      <c r="J3216" s="1">
        <v>2000000.0</v>
      </c>
      <c r="K3216" s="1">
        <v>2001.0</v>
      </c>
      <c r="L3216" s="1">
        <v>7.7</v>
      </c>
      <c r="O3216" s="3"/>
      <c r="S3216" s="4"/>
    </row>
    <row r="3217" ht="14.25" customHeight="1">
      <c r="A3217" s="1" t="s">
        <v>1030</v>
      </c>
      <c r="B3217" s="1">
        <v>99.0</v>
      </c>
      <c r="C3217" s="1">
        <v>1.3464388E7</v>
      </c>
      <c r="D3217" s="1" t="s">
        <v>3008</v>
      </c>
      <c r="E3217" s="1" t="s">
        <v>6446</v>
      </c>
      <c r="F3217" s="1" t="s">
        <v>6447</v>
      </c>
      <c r="G3217" s="1">
        <v>395921.0</v>
      </c>
      <c r="H3217" s="1">
        <v>859.0</v>
      </c>
      <c r="I3217" s="1" t="s">
        <v>16</v>
      </c>
      <c r="J3217" s="1">
        <v>4000000.0</v>
      </c>
      <c r="K3217" s="1">
        <v>2004.0</v>
      </c>
      <c r="L3217" s="1">
        <v>8.0</v>
      </c>
      <c r="O3217" s="3"/>
      <c r="S3217" s="4"/>
    </row>
    <row r="3218" ht="14.25" customHeight="1">
      <c r="A3218" s="1" t="s">
        <v>6448</v>
      </c>
      <c r="B3218" s="1">
        <v>82.0</v>
      </c>
      <c r="C3218" s="1">
        <v>1.3350177E7</v>
      </c>
      <c r="D3218" s="1" t="s">
        <v>1790</v>
      </c>
      <c r="E3218" s="1" t="s">
        <v>6449</v>
      </c>
      <c r="F3218" s="1" t="s">
        <v>6450</v>
      </c>
      <c r="G3218" s="1">
        <v>7904.0</v>
      </c>
      <c r="H3218" s="1">
        <v>113.0</v>
      </c>
      <c r="I3218" s="1" t="s">
        <v>16</v>
      </c>
      <c r="J3218" s="1">
        <v>5000000.0</v>
      </c>
      <c r="K3218" s="1">
        <v>2008.0</v>
      </c>
      <c r="L3218" s="1">
        <v>3.8</v>
      </c>
      <c r="O3218" s="3"/>
      <c r="S3218" s="4"/>
    </row>
    <row r="3219" ht="14.25" customHeight="1">
      <c r="A3219" s="1" t="s">
        <v>5917</v>
      </c>
      <c r="B3219" s="1">
        <v>135.0</v>
      </c>
      <c r="C3219" s="1">
        <v>1.3269963E7</v>
      </c>
      <c r="D3219" s="1" t="s">
        <v>3192</v>
      </c>
      <c r="E3219" s="1" t="s">
        <v>285</v>
      </c>
      <c r="F3219" s="1" t="s">
        <v>6451</v>
      </c>
      <c r="G3219" s="1">
        <v>23202.0</v>
      </c>
      <c r="H3219" s="1">
        <v>173.0</v>
      </c>
      <c r="I3219" s="1" t="s">
        <v>16</v>
      </c>
      <c r="J3219" s="1">
        <v>5000000.0</v>
      </c>
      <c r="K3219" s="1">
        <v>1996.0</v>
      </c>
      <c r="L3219" s="1">
        <v>7.6</v>
      </c>
      <c r="O3219" s="3"/>
      <c r="S3219" s="4"/>
    </row>
    <row r="3220" ht="14.25" customHeight="1">
      <c r="A3220" s="1" t="s">
        <v>3756</v>
      </c>
      <c r="B3220" s="1">
        <v>88.0</v>
      </c>
      <c r="C3220" s="1">
        <v>1.7768E7</v>
      </c>
      <c r="D3220" s="1" t="s">
        <v>2657</v>
      </c>
      <c r="E3220" s="1" t="s">
        <v>3952</v>
      </c>
      <c r="F3220" s="1" t="s">
        <v>6452</v>
      </c>
      <c r="G3220" s="1">
        <v>29629.0</v>
      </c>
      <c r="H3220" s="1">
        <v>374.0</v>
      </c>
      <c r="I3220" s="1" t="s">
        <v>16</v>
      </c>
      <c r="J3220" s="1">
        <v>5000000.0</v>
      </c>
      <c r="K3220" s="1">
        <v>1988.0</v>
      </c>
      <c r="L3220" s="1">
        <v>5.9</v>
      </c>
      <c r="O3220" s="3"/>
      <c r="S3220" s="4"/>
    </row>
    <row r="3221" ht="14.25" customHeight="1">
      <c r="A3221" s="1" t="s">
        <v>6453</v>
      </c>
      <c r="B3221" s="1">
        <v>89.0</v>
      </c>
      <c r="C3221" s="1">
        <v>1.2947763E7</v>
      </c>
      <c r="D3221" s="1" t="s">
        <v>2512</v>
      </c>
      <c r="E3221" s="1" t="s">
        <v>4690</v>
      </c>
      <c r="F3221" s="1" t="s">
        <v>6454</v>
      </c>
      <c r="G3221" s="1">
        <v>10624.0</v>
      </c>
      <c r="H3221" s="1">
        <v>125.0</v>
      </c>
      <c r="I3221" s="1" t="s">
        <v>16</v>
      </c>
      <c r="J3221" s="1">
        <v>5000000.0</v>
      </c>
      <c r="K3221" s="1">
        <v>1986.0</v>
      </c>
      <c r="L3221" s="1">
        <v>6.2</v>
      </c>
      <c r="O3221" s="3"/>
      <c r="S3221" s="4"/>
    </row>
    <row r="3222" ht="14.25" customHeight="1">
      <c r="A3222" s="1" t="s">
        <v>1274</v>
      </c>
      <c r="B3222" s="1">
        <v>110.0</v>
      </c>
      <c r="C3222" s="1">
        <v>1.41E7</v>
      </c>
      <c r="D3222" s="1" t="s">
        <v>1059</v>
      </c>
      <c r="E3222" s="1" t="s">
        <v>4413</v>
      </c>
      <c r="F3222" s="1" t="s">
        <v>6455</v>
      </c>
      <c r="G3222" s="1">
        <v>14995.0</v>
      </c>
      <c r="H3222" s="1">
        <v>87.0</v>
      </c>
      <c r="I3222" s="1" t="s">
        <v>16</v>
      </c>
      <c r="J3222" s="1">
        <v>5000000.0</v>
      </c>
      <c r="K3222" s="1">
        <v>1982.0</v>
      </c>
      <c r="L3222" s="1">
        <v>7.2</v>
      </c>
      <c r="O3222" s="3"/>
      <c r="S3222" s="4"/>
    </row>
    <row r="3223" ht="14.25" customHeight="1">
      <c r="A3223" s="1" t="s">
        <v>6456</v>
      </c>
      <c r="B3223" s="1">
        <v>107.0</v>
      </c>
      <c r="C3223" s="1">
        <v>1.22E7</v>
      </c>
      <c r="D3223" s="1" t="s">
        <v>3989</v>
      </c>
      <c r="E3223" s="1" t="s">
        <v>1882</v>
      </c>
      <c r="F3223" s="1" t="s">
        <v>6457</v>
      </c>
      <c r="G3223" s="1">
        <v>7973.0</v>
      </c>
      <c r="H3223" s="1">
        <v>65.0</v>
      </c>
      <c r="I3223" s="1" t="s">
        <v>16</v>
      </c>
      <c r="J3223" s="1">
        <v>5000000.0</v>
      </c>
      <c r="K3223" s="1">
        <v>1983.0</v>
      </c>
      <c r="L3223" s="1">
        <v>6.3</v>
      </c>
      <c r="O3223" s="3"/>
      <c r="S3223" s="4"/>
    </row>
    <row r="3224" ht="14.25" customHeight="1">
      <c r="A3224" s="1" t="s">
        <v>6458</v>
      </c>
      <c r="B3224" s="1">
        <v>86.0</v>
      </c>
      <c r="C3224" s="1">
        <v>1.768367E7</v>
      </c>
      <c r="D3224" s="1" t="s">
        <v>1742</v>
      </c>
      <c r="E3224" s="1" t="s">
        <v>6459</v>
      </c>
      <c r="F3224" s="1" t="s">
        <v>6460</v>
      </c>
      <c r="G3224" s="1">
        <v>47227.0</v>
      </c>
      <c r="H3224" s="1">
        <v>323.0</v>
      </c>
      <c r="I3224" s="1" t="s">
        <v>16</v>
      </c>
      <c r="J3224" s="1">
        <v>5000000.0</v>
      </c>
      <c r="K3224" s="1">
        <v>2011.0</v>
      </c>
      <c r="L3224" s="1">
        <v>5.2</v>
      </c>
      <c r="O3224" s="3"/>
      <c r="S3224" s="4"/>
    </row>
    <row r="3225" ht="14.25" customHeight="1">
      <c r="A3225" s="1" t="s">
        <v>6461</v>
      </c>
      <c r="B3225" s="1">
        <v>91.0</v>
      </c>
      <c r="C3225" s="1">
        <v>1.2055108E7</v>
      </c>
      <c r="D3225" s="1" t="s">
        <v>1059</v>
      </c>
      <c r="E3225" s="1" t="s">
        <v>1774</v>
      </c>
      <c r="F3225" s="1" t="s">
        <v>6462</v>
      </c>
      <c r="G3225" s="1">
        <v>61151.0</v>
      </c>
      <c r="H3225" s="1">
        <v>134.0</v>
      </c>
      <c r="I3225" s="1" t="s">
        <v>16</v>
      </c>
      <c r="J3225" s="1">
        <v>8000000.0</v>
      </c>
      <c r="K3225" s="1">
        <v>2008.0</v>
      </c>
      <c r="L3225" s="1">
        <v>6.9</v>
      </c>
      <c r="O3225" s="3"/>
      <c r="S3225" s="4"/>
    </row>
    <row r="3226" ht="14.25" customHeight="1">
      <c r="A3226" s="1" t="s">
        <v>5359</v>
      </c>
      <c r="B3226" s="1">
        <v>103.0</v>
      </c>
      <c r="C3226" s="1">
        <v>2.7285953E7</v>
      </c>
      <c r="D3226" s="1" t="s">
        <v>26</v>
      </c>
      <c r="E3226" s="1" t="s">
        <v>6463</v>
      </c>
      <c r="F3226" s="1" t="s">
        <v>6464</v>
      </c>
      <c r="G3226" s="1">
        <v>48675.0</v>
      </c>
      <c r="H3226" s="1">
        <v>214.0</v>
      </c>
      <c r="I3226" s="1" t="s">
        <v>16</v>
      </c>
      <c r="J3226" s="1">
        <v>5000000.0</v>
      </c>
      <c r="K3226" s="1">
        <v>2015.0</v>
      </c>
      <c r="L3226" s="1">
        <v>6.8</v>
      </c>
      <c r="O3226" s="3"/>
      <c r="S3226" s="4"/>
    </row>
    <row r="3227" ht="14.25" customHeight="1">
      <c r="A3227" s="1" t="s">
        <v>6465</v>
      </c>
      <c r="B3227" s="1">
        <v>92.0</v>
      </c>
      <c r="C3227" s="1">
        <v>1.1675178E7</v>
      </c>
      <c r="D3227" s="1" t="s">
        <v>828</v>
      </c>
      <c r="E3227" s="1" t="s">
        <v>6466</v>
      </c>
      <c r="F3227" s="1" t="s">
        <v>6467</v>
      </c>
      <c r="G3227" s="1">
        <v>9509.0</v>
      </c>
      <c r="H3227" s="1">
        <v>53.0</v>
      </c>
      <c r="I3227" s="1" t="s">
        <v>16</v>
      </c>
      <c r="J3227" s="1">
        <v>5000000.0</v>
      </c>
      <c r="K3227" s="1">
        <v>2016.0</v>
      </c>
      <c r="L3227" s="1">
        <v>3.5</v>
      </c>
      <c r="O3227" s="3"/>
      <c r="S3227" s="4"/>
    </row>
    <row r="3228" ht="14.25" customHeight="1">
      <c r="A3228" s="1" t="s">
        <v>2051</v>
      </c>
      <c r="B3228" s="1">
        <v>99.0</v>
      </c>
      <c r="C3228" s="1">
        <v>1.0572742E7</v>
      </c>
      <c r="D3228" s="1" t="s">
        <v>92</v>
      </c>
      <c r="E3228" s="1" t="s">
        <v>3389</v>
      </c>
      <c r="F3228" s="1" t="s">
        <v>6468</v>
      </c>
      <c r="G3228" s="1">
        <v>2326.0</v>
      </c>
      <c r="H3228" s="1">
        <v>21.0</v>
      </c>
      <c r="I3228" s="1" t="s">
        <v>16</v>
      </c>
      <c r="J3228" s="1">
        <v>8000000.0</v>
      </c>
      <c r="K3228" s="1">
        <v>2009.0</v>
      </c>
      <c r="L3228" s="1">
        <v>6.1</v>
      </c>
      <c r="O3228" s="3"/>
      <c r="S3228" s="4"/>
    </row>
    <row r="3229" ht="14.25" customHeight="1">
      <c r="A3229" s="1" t="s">
        <v>4543</v>
      </c>
      <c r="B3229" s="1">
        <v>96.0</v>
      </c>
      <c r="C3229" s="1">
        <v>9658370.0</v>
      </c>
      <c r="D3229" s="1" t="s">
        <v>699</v>
      </c>
      <c r="E3229" s="1" t="s">
        <v>3882</v>
      </c>
      <c r="F3229" s="1" t="s">
        <v>6469</v>
      </c>
      <c r="G3229" s="1">
        <v>1180.0</v>
      </c>
      <c r="H3229" s="1">
        <v>9.0</v>
      </c>
      <c r="I3229" s="1" t="s">
        <v>16</v>
      </c>
      <c r="J3229" s="1">
        <v>5000000.0</v>
      </c>
      <c r="K3229" s="1">
        <v>2016.0</v>
      </c>
      <c r="L3229" s="1">
        <v>4.5</v>
      </c>
      <c r="O3229" s="3"/>
      <c r="S3229" s="4"/>
    </row>
    <row r="3230" ht="14.25" customHeight="1">
      <c r="A3230" s="1" t="s">
        <v>6470</v>
      </c>
      <c r="B3230" s="1">
        <v>82.0</v>
      </c>
      <c r="C3230" s="1">
        <v>9628751.0</v>
      </c>
      <c r="D3230" s="1" t="s">
        <v>1290</v>
      </c>
      <c r="E3230" s="1" t="s">
        <v>6471</v>
      </c>
      <c r="F3230" s="1" t="s">
        <v>6472</v>
      </c>
      <c r="G3230" s="1">
        <v>5164.0</v>
      </c>
      <c r="H3230" s="1">
        <v>65.0</v>
      </c>
      <c r="I3230" s="1" t="s">
        <v>16</v>
      </c>
      <c r="J3230" s="1">
        <v>5000000.0</v>
      </c>
      <c r="K3230" s="1">
        <v>2000.0</v>
      </c>
      <c r="L3230" s="1">
        <v>5.9</v>
      </c>
      <c r="O3230" s="3"/>
      <c r="S3230" s="4"/>
    </row>
    <row r="3231" ht="14.25" customHeight="1">
      <c r="A3231" s="1" t="s">
        <v>6473</v>
      </c>
      <c r="B3231" s="1">
        <v>92.0</v>
      </c>
      <c r="C3231" s="1">
        <v>8786715.0</v>
      </c>
      <c r="D3231" s="1" t="s">
        <v>1059</v>
      </c>
      <c r="E3231" s="1" t="s">
        <v>2603</v>
      </c>
      <c r="F3231" s="1" t="s">
        <v>6474</v>
      </c>
      <c r="G3231" s="1">
        <v>40274.0</v>
      </c>
      <c r="H3231" s="1">
        <v>324.0</v>
      </c>
      <c r="I3231" s="1" t="s">
        <v>16</v>
      </c>
      <c r="J3231" s="1">
        <v>5000000.0</v>
      </c>
      <c r="K3231" s="1">
        <v>2004.0</v>
      </c>
      <c r="L3231" s="1">
        <v>6.9</v>
      </c>
      <c r="O3231" s="3"/>
      <c r="S3231" s="4"/>
    </row>
    <row r="3232" ht="14.25" customHeight="1">
      <c r="A3232" s="1" t="s">
        <v>6475</v>
      </c>
      <c r="B3232" s="1">
        <v>112.0</v>
      </c>
      <c r="C3232" s="1">
        <v>3432342.0</v>
      </c>
      <c r="D3232" s="1" t="s">
        <v>4362</v>
      </c>
      <c r="E3232" s="1" t="s">
        <v>6476</v>
      </c>
      <c r="F3232" s="1" t="s">
        <v>6477</v>
      </c>
      <c r="G3232" s="1">
        <v>24921.0</v>
      </c>
      <c r="H3232" s="1">
        <v>166.0</v>
      </c>
      <c r="I3232" s="1" t="s">
        <v>1189</v>
      </c>
      <c r="J3232" s="1">
        <v>6000000.0</v>
      </c>
      <c r="K3232" s="1">
        <v>2003.0</v>
      </c>
      <c r="L3232" s="1">
        <v>7.7</v>
      </c>
      <c r="O3232" s="3"/>
      <c r="S3232" s="4"/>
    </row>
    <row r="3233" ht="14.25" customHeight="1">
      <c r="A3233" s="1" t="s">
        <v>6478</v>
      </c>
      <c r="B3233" s="1">
        <v>90.0</v>
      </c>
      <c r="C3233" s="1">
        <v>6755271.0</v>
      </c>
      <c r="D3233" s="1" t="s">
        <v>2657</v>
      </c>
      <c r="E3233" s="1" t="s">
        <v>6479</v>
      </c>
      <c r="F3233" s="1" t="s">
        <v>6480</v>
      </c>
      <c r="G3233" s="1">
        <v>7319.0</v>
      </c>
      <c r="H3233" s="1">
        <v>131.0</v>
      </c>
      <c r="I3233" s="1" t="s">
        <v>16</v>
      </c>
      <c r="J3233" s="1">
        <v>5000000.0</v>
      </c>
      <c r="K3233" s="1">
        <v>2001.0</v>
      </c>
      <c r="L3233" s="1">
        <v>5.3</v>
      </c>
      <c r="O3233" s="3"/>
      <c r="S3233" s="4"/>
    </row>
    <row r="3234" ht="14.25" customHeight="1">
      <c r="A3234" s="1" t="s">
        <v>6481</v>
      </c>
      <c r="B3234" s="1">
        <v>150.0</v>
      </c>
      <c r="C3234" s="1">
        <v>6157157.0</v>
      </c>
      <c r="D3234" s="1" t="s">
        <v>1059</v>
      </c>
      <c r="E3234" s="1" t="s">
        <v>6482</v>
      </c>
      <c r="F3234" s="1" t="s">
        <v>6483</v>
      </c>
      <c r="G3234" s="1">
        <v>21416.0</v>
      </c>
      <c r="H3234" s="1">
        <v>198.0</v>
      </c>
      <c r="I3234" s="1" t="s">
        <v>16</v>
      </c>
      <c r="J3234" s="1">
        <v>5000000.0</v>
      </c>
      <c r="K3234" s="1">
        <v>1989.0</v>
      </c>
      <c r="L3234" s="1">
        <v>7.0</v>
      </c>
      <c r="O3234" s="3"/>
      <c r="S3234" s="4"/>
    </row>
    <row r="3235" ht="14.25" customHeight="1">
      <c r="A3235" s="1" t="s">
        <v>6484</v>
      </c>
      <c r="B3235" s="1">
        <v>91.0</v>
      </c>
      <c r="C3235" s="1">
        <v>5480318.0</v>
      </c>
      <c r="D3235" s="1" t="s">
        <v>1059</v>
      </c>
      <c r="E3235" s="1" t="s">
        <v>2290</v>
      </c>
      <c r="F3235" s="1" t="s">
        <v>6485</v>
      </c>
      <c r="G3235" s="1">
        <v>9427.0</v>
      </c>
      <c r="H3235" s="1">
        <v>79.0</v>
      </c>
      <c r="I3235" s="1" t="s">
        <v>16</v>
      </c>
      <c r="J3235" s="1">
        <v>5000000.0</v>
      </c>
      <c r="K3235" s="1">
        <v>1998.0</v>
      </c>
      <c r="L3235" s="1">
        <v>6.6</v>
      </c>
      <c r="O3235" s="3"/>
      <c r="S3235" s="4"/>
    </row>
    <row r="3236" ht="14.25" customHeight="1">
      <c r="A3236" s="1" t="s">
        <v>206</v>
      </c>
      <c r="B3236" s="1">
        <v>95.0</v>
      </c>
      <c r="C3236" s="1">
        <v>5308707.0</v>
      </c>
      <c r="D3236" s="1" t="s">
        <v>2140</v>
      </c>
      <c r="E3236" s="1" t="s">
        <v>206</v>
      </c>
      <c r="F3236" s="1" t="s">
        <v>6486</v>
      </c>
      <c r="G3236" s="1">
        <v>15053.0</v>
      </c>
      <c r="H3236" s="1">
        <v>165.0</v>
      </c>
      <c r="I3236" s="1" t="s">
        <v>16</v>
      </c>
      <c r="J3236" s="1">
        <v>5000000.0</v>
      </c>
      <c r="K3236" s="1">
        <v>2001.0</v>
      </c>
      <c r="L3236" s="1">
        <v>6.4</v>
      </c>
      <c r="O3236" s="3"/>
      <c r="S3236" s="4"/>
    </row>
    <row r="3237" ht="14.25" customHeight="1">
      <c r="A3237" s="1" t="s">
        <v>311</v>
      </c>
      <c r="B3237" s="1">
        <v>97.0</v>
      </c>
      <c r="C3237" s="1">
        <v>5009677.0</v>
      </c>
      <c r="D3237" s="1" t="s">
        <v>2226</v>
      </c>
      <c r="E3237" s="1" t="s">
        <v>52</v>
      </c>
      <c r="F3237" s="1" t="s">
        <v>6487</v>
      </c>
      <c r="G3237" s="1">
        <v>260607.0</v>
      </c>
      <c r="H3237" s="1">
        <v>485.0</v>
      </c>
      <c r="I3237" s="1" t="s">
        <v>16</v>
      </c>
      <c r="J3237" s="1">
        <v>5000000.0</v>
      </c>
      <c r="K3237" s="1">
        <v>2009.0</v>
      </c>
      <c r="L3237" s="1">
        <v>7.9</v>
      </c>
      <c r="O3237" s="3"/>
      <c r="S3237" s="4"/>
    </row>
    <row r="3238" ht="14.25" customHeight="1">
      <c r="A3238" s="1" t="s">
        <v>6488</v>
      </c>
      <c r="B3238" s="1">
        <v>41.0</v>
      </c>
      <c r="C3238" s="1">
        <v>4074023.0</v>
      </c>
      <c r="D3238" s="1" t="s">
        <v>3521</v>
      </c>
      <c r="E3238" s="1" t="s">
        <v>6489</v>
      </c>
      <c r="F3238" s="1" t="s">
        <v>6490</v>
      </c>
      <c r="G3238" s="1">
        <v>296.0</v>
      </c>
      <c r="H3238" s="1">
        <v>4.0</v>
      </c>
      <c r="I3238" s="1" t="s">
        <v>16</v>
      </c>
      <c r="J3238" s="1">
        <v>5000000.0</v>
      </c>
      <c r="K3238" s="1">
        <v>2010.0</v>
      </c>
      <c r="L3238" s="1">
        <v>6.9</v>
      </c>
      <c r="O3238" s="3"/>
      <c r="S3238" s="4"/>
    </row>
    <row r="3239" ht="14.25" customHeight="1">
      <c r="A3239" s="1" t="s">
        <v>3888</v>
      </c>
      <c r="B3239" s="1">
        <v>112.0</v>
      </c>
      <c r="C3239" s="1">
        <v>4306697.0</v>
      </c>
      <c r="D3239" s="1" t="s">
        <v>1391</v>
      </c>
      <c r="E3239" s="1" t="s">
        <v>1157</v>
      </c>
      <c r="F3239" s="1" t="s">
        <v>6491</v>
      </c>
      <c r="G3239" s="1">
        <v>26720.0</v>
      </c>
      <c r="H3239" s="1">
        <v>196.0</v>
      </c>
      <c r="I3239" s="1" t="s">
        <v>16</v>
      </c>
      <c r="J3239" s="1">
        <v>5000000.0</v>
      </c>
      <c r="K3239" s="1">
        <v>1997.0</v>
      </c>
      <c r="L3239" s="1">
        <v>7.7</v>
      </c>
      <c r="O3239" s="3"/>
      <c r="S3239" s="4"/>
    </row>
    <row r="3240" ht="14.25" customHeight="1">
      <c r="A3240" s="1" t="s">
        <v>6492</v>
      </c>
      <c r="B3240" s="1">
        <v>122.0</v>
      </c>
      <c r="C3240" s="1">
        <v>3950029.0</v>
      </c>
      <c r="D3240" s="1" t="s">
        <v>1391</v>
      </c>
      <c r="E3240" s="1" t="s">
        <v>6493</v>
      </c>
      <c r="F3240" s="1" t="s">
        <v>6494</v>
      </c>
      <c r="G3240" s="1">
        <v>12411.0</v>
      </c>
      <c r="H3240" s="1">
        <v>89.0</v>
      </c>
      <c r="I3240" s="1" t="s">
        <v>1189</v>
      </c>
      <c r="J3240" s="1">
        <v>4000000.0</v>
      </c>
      <c r="K3240" s="1">
        <v>2010.0</v>
      </c>
      <c r="L3240" s="1">
        <v>7.2</v>
      </c>
      <c r="O3240" s="3"/>
      <c r="S3240" s="4"/>
    </row>
    <row r="3241" ht="14.25" customHeight="1">
      <c r="A3241" s="1" t="s">
        <v>6495</v>
      </c>
      <c r="B3241" s="1">
        <v>110.0</v>
      </c>
      <c r="C3241" s="1">
        <v>4040588.0</v>
      </c>
      <c r="D3241" s="1" t="s">
        <v>1059</v>
      </c>
      <c r="E3241" s="1" t="s">
        <v>46</v>
      </c>
      <c r="F3241" s="1" t="s">
        <v>6496</v>
      </c>
      <c r="G3241" s="1">
        <v>12233.0</v>
      </c>
      <c r="H3241" s="1">
        <v>89.0</v>
      </c>
      <c r="I3241" s="1" t="s">
        <v>16</v>
      </c>
      <c r="J3241" s="1">
        <v>5000000.0</v>
      </c>
      <c r="K3241" s="1">
        <v>2008.0</v>
      </c>
      <c r="L3241" s="1">
        <v>6.8</v>
      </c>
      <c r="O3241" s="3"/>
      <c r="S3241" s="4"/>
    </row>
    <row r="3242" ht="14.25" customHeight="1">
      <c r="A3242" s="1" t="s">
        <v>73</v>
      </c>
      <c r="B3242" s="1">
        <v>108.0</v>
      </c>
      <c r="C3242" s="1">
        <v>3049135.0</v>
      </c>
      <c r="D3242" s="1" t="s">
        <v>6497</v>
      </c>
      <c r="E3242" s="1" t="s">
        <v>644</v>
      </c>
      <c r="F3242" s="1" t="s">
        <v>6498</v>
      </c>
      <c r="G3242" s="1">
        <v>50197.0</v>
      </c>
      <c r="H3242" s="1">
        <v>265.0</v>
      </c>
      <c r="I3242" s="1" t="s">
        <v>16</v>
      </c>
      <c r="J3242" s="1">
        <v>5000000.0</v>
      </c>
      <c r="K3242" s="1">
        <v>1994.0</v>
      </c>
      <c r="L3242" s="1">
        <v>7.4</v>
      </c>
      <c r="O3242" s="3"/>
      <c r="S3242" s="4"/>
    </row>
    <row r="3243" ht="14.25" customHeight="1">
      <c r="A3243" s="1" t="s">
        <v>5230</v>
      </c>
      <c r="B3243" s="1">
        <v>121.0</v>
      </c>
      <c r="C3243" s="1">
        <v>4700361.0</v>
      </c>
      <c r="D3243" s="1" t="s">
        <v>1391</v>
      </c>
      <c r="E3243" s="1" t="s">
        <v>5898</v>
      </c>
      <c r="F3243" s="1" t="s">
        <v>6499</v>
      </c>
      <c r="G3243" s="1">
        <v>2047.0</v>
      </c>
      <c r="H3243" s="1">
        <v>29.0</v>
      </c>
      <c r="I3243" s="1" t="s">
        <v>16</v>
      </c>
      <c r="J3243" s="1">
        <v>5000000.0</v>
      </c>
      <c r="K3243" s="1">
        <v>2015.0</v>
      </c>
      <c r="L3243" s="1">
        <v>4.6</v>
      </c>
      <c r="O3243" s="3"/>
      <c r="S3243" s="4"/>
    </row>
    <row r="3244" ht="14.25" customHeight="1">
      <c r="A3244" s="1" t="s">
        <v>6500</v>
      </c>
      <c r="B3244" s="1">
        <v>97.0</v>
      </c>
      <c r="C3244" s="1">
        <v>2711210.0</v>
      </c>
      <c r="D3244" s="1" t="s">
        <v>1059</v>
      </c>
      <c r="E3244" s="1" t="s">
        <v>783</v>
      </c>
      <c r="F3244" s="1" t="s">
        <v>6501</v>
      </c>
      <c r="G3244" s="1">
        <v>40305.0</v>
      </c>
      <c r="H3244" s="1">
        <v>86.0</v>
      </c>
      <c r="I3244" s="1" t="s">
        <v>16</v>
      </c>
      <c r="J3244" s="1">
        <v>5000000.0</v>
      </c>
      <c r="K3244" s="1">
        <v>2010.0</v>
      </c>
      <c r="L3244" s="1">
        <v>6.4</v>
      </c>
      <c r="O3244" s="3"/>
      <c r="S3244" s="4"/>
    </row>
    <row r="3245" ht="14.25" customHeight="1">
      <c r="A3245" s="1" t="s">
        <v>2617</v>
      </c>
      <c r="B3245" s="1">
        <v>116.0</v>
      </c>
      <c r="C3245" s="1">
        <v>1980338.0</v>
      </c>
      <c r="D3245" s="1" t="s">
        <v>6502</v>
      </c>
      <c r="E3245" s="1" t="s">
        <v>6503</v>
      </c>
      <c r="F3245" s="1" t="s">
        <v>6504</v>
      </c>
      <c r="G3245" s="1">
        <v>12366.0</v>
      </c>
      <c r="H3245" s="1">
        <v>151.0</v>
      </c>
      <c r="I3245" s="1" t="s">
        <v>16</v>
      </c>
      <c r="J3245" s="1">
        <v>5000000.0</v>
      </c>
      <c r="K3245" s="1">
        <v>1998.0</v>
      </c>
      <c r="L3245" s="1">
        <v>7.0</v>
      </c>
      <c r="O3245" s="3"/>
      <c r="S3245" s="4"/>
    </row>
    <row r="3246" ht="14.25" customHeight="1">
      <c r="A3246" s="1" t="s">
        <v>5035</v>
      </c>
      <c r="B3246" s="1">
        <v>94.0</v>
      </c>
      <c r="C3246" s="1">
        <v>1082044.0</v>
      </c>
      <c r="D3246" s="1" t="s">
        <v>1654</v>
      </c>
      <c r="E3246" s="1" t="s">
        <v>143</v>
      </c>
      <c r="F3246" s="1" t="s">
        <v>6505</v>
      </c>
      <c r="G3246" s="1">
        <v>281649.0</v>
      </c>
      <c r="H3246" s="1">
        <v>458.0</v>
      </c>
      <c r="I3246" s="1" t="s">
        <v>16</v>
      </c>
      <c r="J3246" s="1">
        <v>5000000.0</v>
      </c>
      <c r="K3246" s="1">
        <v>2004.0</v>
      </c>
      <c r="L3246" s="1">
        <v>7.7</v>
      </c>
      <c r="O3246" s="3"/>
      <c r="S3246" s="4"/>
    </row>
    <row r="3247" ht="14.25" customHeight="1">
      <c r="A3247" s="1" t="s">
        <v>6134</v>
      </c>
      <c r="B3247" s="1">
        <v>103.0</v>
      </c>
      <c r="C3247" s="1">
        <v>1100000.0</v>
      </c>
      <c r="D3247" s="1" t="s">
        <v>811</v>
      </c>
      <c r="E3247" s="1" t="s">
        <v>6506</v>
      </c>
      <c r="F3247" s="1" t="s">
        <v>6507</v>
      </c>
      <c r="G3247" s="1">
        <v>3665.0</v>
      </c>
      <c r="H3247" s="1">
        <v>39.0</v>
      </c>
      <c r="I3247" s="1" t="s">
        <v>16</v>
      </c>
      <c r="J3247" s="1">
        <v>5000000.0</v>
      </c>
      <c r="K3247" s="1">
        <v>1992.0</v>
      </c>
      <c r="L3247" s="1">
        <v>6.8</v>
      </c>
      <c r="O3247" s="3"/>
      <c r="S3247" s="4"/>
    </row>
    <row r="3248" ht="14.25" customHeight="1">
      <c r="A3248" s="1" t="s">
        <v>6508</v>
      </c>
      <c r="B3248" s="1">
        <v>112.0</v>
      </c>
      <c r="C3248" s="1">
        <v>2445646.0</v>
      </c>
      <c r="D3248" s="1" t="s">
        <v>6509</v>
      </c>
      <c r="E3248" s="1" t="s">
        <v>550</v>
      </c>
      <c r="F3248" s="1" t="s">
        <v>6510</v>
      </c>
      <c r="G3248" s="1">
        <v>32382.0</v>
      </c>
      <c r="H3248" s="1">
        <v>99.0</v>
      </c>
      <c r="I3248" s="1" t="s">
        <v>16</v>
      </c>
      <c r="J3248" s="1">
        <v>5000000.0</v>
      </c>
      <c r="K3248" s="1">
        <v>2014.0</v>
      </c>
      <c r="L3248" s="1">
        <v>7.0</v>
      </c>
      <c r="O3248" s="3"/>
      <c r="S3248" s="4"/>
    </row>
    <row r="3249" ht="14.25" customHeight="1">
      <c r="A3249" s="1" t="s">
        <v>6298</v>
      </c>
      <c r="B3249" s="1">
        <v>91.0</v>
      </c>
      <c r="C3249" s="1">
        <v>2221809.0</v>
      </c>
      <c r="D3249" s="1" t="s">
        <v>1391</v>
      </c>
      <c r="E3249" s="1" t="s">
        <v>3813</v>
      </c>
      <c r="F3249" s="1" t="s">
        <v>6511</v>
      </c>
      <c r="G3249" s="1">
        <v>40618.0</v>
      </c>
      <c r="H3249" s="1">
        <v>144.0</v>
      </c>
      <c r="I3249" s="1" t="s">
        <v>16</v>
      </c>
      <c r="J3249" s="1">
        <v>5000000.0</v>
      </c>
      <c r="K3249" s="1">
        <v>2010.0</v>
      </c>
      <c r="L3249" s="1">
        <v>7.0</v>
      </c>
      <c r="O3249" s="3"/>
      <c r="S3249" s="4"/>
    </row>
    <row r="3250" ht="14.25" customHeight="1">
      <c r="A3250" s="1" t="s">
        <v>6512</v>
      </c>
      <c r="B3250" s="1">
        <v>98.0</v>
      </c>
      <c r="C3250" s="1">
        <v>296665.0</v>
      </c>
      <c r="D3250" s="1" t="s">
        <v>2265</v>
      </c>
      <c r="E3250" s="1" t="s">
        <v>2603</v>
      </c>
      <c r="F3250" s="1" t="s">
        <v>6513</v>
      </c>
      <c r="G3250" s="1">
        <v>12675.0</v>
      </c>
      <c r="H3250" s="1">
        <v>158.0</v>
      </c>
      <c r="I3250" s="1" t="s">
        <v>16</v>
      </c>
      <c r="J3250" s="1">
        <v>5000000.0</v>
      </c>
      <c r="K3250" s="1">
        <v>2003.0</v>
      </c>
      <c r="L3250" s="1">
        <v>6.3</v>
      </c>
      <c r="O3250" s="3"/>
      <c r="S3250" s="4"/>
    </row>
    <row r="3251" ht="14.25" customHeight="1">
      <c r="A3251" s="1" t="s">
        <v>6514</v>
      </c>
      <c r="B3251" s="1">
        <v>95.0</v>
      </c>
      <c r="C3251" s="1">
        <v>3219029.0</v>
      </c>
      <c r="D3251" s="1" t="s">
        <v>6515</v>
      </c>
      <c r="E3251" s="1" t="s">
        <v>6516</v>
      </c>
      <c r="F3251" s="1" t="s">
        <v>6517</v>
      </c>
      <c r="G3251" s="1">
        <v>28845.0</v>
      </c>
      <c r="H3251" s="1">
        <v>125.0</v>
      </c>
      <c r="I3251" s="1" t="s">
        <v>16</v>
      </c>
      <c r="J3251" s="1">
        <v>5000000.0</v>
      </c>
      <c r="K3251" s="1">
        <v>2015.0</v>
      </c>
      <c r="L3251" s="1">
        <v>7.1</v>
      </c>
      <c r="O3251" s="3"/>
      <c r="S3251" s="4"/>
    </row>
    <row r="3252" ht="14.25" customHeight="1">
      <c r="A3252" s="1" t="s">
        <v>6518</v>
      </c>
      <c r="B3252" s="1">
        <v>99.0</v>
      </c>
      <c r="C3252" s="1">
        <v>830210.0</v>
      </c>
      <c r="D3252" s="1" t="s">
        <v>2226</v>
      </c>
      <c r="E3252" s="1" t="s">
        <v>2555</v>
      </c>
      <c r="F3252" s="1" t="s">
        <v>6519</v>
      </c>
      <c r="G3252" s="1">
        <v>1900.0</v>
      </c>
      <c r="H3252" s="1">
        <v>56.0</v>
      </c>
      <c r="I3252" s="1" t="s">
        <v>16</v>
      </c>
      <c r="J3252" s="1">
        <v>5000000.0</v>
      </c>
      <c r="K3252" s="1">
        <v>2014.0</v>
      </c>
      <c r="L3252" s="1">
        <v>4.4</v>
      </c>
      <c r="O3252" s="3"/>
      <c r="S3252" s="4"/>
    </row>
    <row r="3253" ht="14.25" customHeight="1">
      <c r="A3253" s="1" t="s">
        <v>2161</v>
      </c>
      <c r="B3253" s="1">
        <v>91.0</v>
      </c>
      <c r="C3253" s="1">
        <v>1040879.0</v>
      </c>
      <c r="D3253" s="1" t="s">
        <v>3596</v>
      </c>
      <c r="E3253" s="1" t="s">
        <v>6008</v>
      </c>
      <c r="F3253" s="1" t="s">
        <v>6520</v>
      </c>
      <c r="G3253" s="1">
        <v>54478.0</v>
      </c>
      <c r="H3253" s="1">
        <v>184.0</v>
      </c>
      <c r="I3253" s="1" t="s">
        <v>16</v>
      </c>
      <c r="J3253" s="1">
        <v>7000000.0</v>
      </c>
      <c r="K3253" s="1">
        <v>1996.0</v>
      </c>
      <c r="L3253" s="1">
        <v>7.1</v>
      </c>
      <c r="O3253" s="3"/>
      <c r="S3253" s="4"/>
    </row>
    <row r="3254" ht="14.25" customHeight="1">
      <c r="A3254" s="1" t="s">
        <v>52</v>
      </c>
      <c r="B3254" s="1">
        <v>97.0</v>
      </c>
      <c r="C3254" s="1">
        <v>326308.0</v>
      </c>
      <c r="D3254" s="1" t="s">
        <v>901</v>
      </c>
      <c r="E3254" s="1" t="s">
        <v>2098</v>
      </c>
      <c r="F3254" s="1" t="s">
        <v>6521</v>
      </c>
      <c r="G3254" s="1">
        <v>6632.0</v>
      </c>
      <c r="H3254" s="1">
        <v>69.0</v>
      </c>
      <c r="I3254" s="1" t="s">
        <v>16</v>
      </c>
      <c r="J3254" s="1">
        <v>5000000.0</v>
      </c>
      <c r="K3254" s="1">
        <v>1996.0</v>
      </c>
      <c r="L3254" s="1">
        <v>6.1</v>
      </c>
      <c r="O3254" s="3"/>
      <c r="S3254" s="4"/>
    </row>
    <row r="3255" ht="14.25" customHeight="1">
      <c r="A3255" s="1" t="s">
        <v>6522</v>
      </c>
      <c r="B3255" s="1">
        <v>90.0</v>
      </c>
      <c r="C3255" s="1">
        <v>124720.0</v>
      </c>
      <c r="D3255" s="1" t="s">
        <v>92</v>
      </c>
      <c r="E3255" s="1" t="s">
        <v>896</v>
      </c>
      <c r="F3255" s="1" t="s">
        <v>6523</v>
      </c>
      <c r="G3255" s="1">
        <v>1560.0</v>
      </c>
      <c r="H3255" s="1">
        <v>15.0</v>
      </c>
      <c r="I3255" s="1" t="s">
        <v>16</v>
      </c>
      <c r="J3255" s="1">
        <v>5000000.0</v>
      </c>
      <c r="K3255" s="1">
        <v>2008.0</v>
      </c>
      <c r="L3255" s="1">
        <v>7.3</v>
      </c>
      <c r="O3255" s="3"/>
      <c r="S3255" s="4"/>
    </row>
    <row r="3256" ht="14.25" customHeight="1">
      <c r="A3256" s="1" t="s">
        <v>6524</v>
      </c>
      <c r="B3256" s="1">
        <v>90.0</v>
      </c>
      <c r="C3256" s="1">
        <v>99147.0</v>
      </c>
      <c r="D3256" s="1" t="s">
        <v>1391</v>
      </c>
      <c r="E3256" s="1" t="s">
        <v>4741</v>
      </c>
      <c r="F3256" s="1" t="s">
        <v>6525</v>
      </c>
      <c r="G3256" s="1">
        <v>1884.0</v>
      </c>
      <c r="H3256" s="1">
        <v>28.0</v>
      </c>
      <c r="I3256" s="1" t="s">
        <v>16</v>
      </c>
      <c r="J3256" s="1">
        <v>2000000.0</v>
      </c>
      <c r="K3256" s="1">
        <v>1998.0</v>
      </c>
      <c r="L3256" s="1">
        <v>6.2</v>
      </c>
      <c r="O3256" s="3"/>
      <c r="S3256" s="4"/>
    </row>
    <row r="3257" ht="14.25" customHeight="1">
      <c r="A3257" s="1" t="s">
        <v>387</v>
      </c>
      <c r="B3257" s="1">
        <v>94.0</v>
      </c>
      <c r="C3257" s="1">
        <v>6.506914E7</v>
      </c>
      <c r="D3257" s="1" t="s">
        <v>2657</v>
      </c>
      <c r="E3257" s="1" t="s">
        <v>6526</v>
      </c>
      <c r="F3257" s="1" t="s">
        <v>6527</v>
      </c>
      <c r="G3257" s="1">
        <v>65299.0</v>
      </c>
      <c r="H3257" s="1">
        <v>455.0</v>
      </c>
      <c r="I3257" s="1" t="s">
        <v>16</v>
      </c>
      <c r="J3257" s="1">
        <v>5000000.0</v>
      </c>
      <c r="K3257" s="1">
        <v>2015.0</v>
      </c>
      <c r="L3257" s="1">
        <v>6.2</v>
      </c>
      <c r="O3257" s="3"/>
      <c r="S3257" s="4"/>
    </row>
    <row r="3258" ht="14.25" customHeight="1">
      <c r="A3258" s="1" t="s">
        <v>950</v>
      </c>
      <c r="B3258" s="1">
        <v>90.0</v>
      </c>
      <c r="C3258" s="1">
        <v>65087.0</v>
      </c>
      <c r="D3258" s="1" t="s">
        <v>6528</v>
      </c>
      <c r="E3258" s="1" t="s">
        <v>6529</v>
      </c>
      <c r="F3258" s="1" t="s">
        <v>6530</v>
      </c>
      <c r="G3258" s="1">
        <v>8824.0</v>
      </c>
      <c r="H3258" s="1">
        <v>108.0</v>
      </c>
      <c r="I3258" s="1" t="s">
        <v>16</v>
      </c>
      <c r="J3258" s="1">
        <v>5000000.0</v>
      </c>
      <c r="K3258" s="1">
        <v>2007.0</v>
      </c>
      <c r="L3258" s="1">
        <v>6.2</v>
      </c>
      <c r="O3258" s="3"/>
      <c r="S3258" s="4"/>
    </row>
    <row r="3259" ht="14.25" customHeight="1">
      <c r="A3259" s="1" t="s">
        <v>6531</v>
      </c>
      <c r="B3259" s="1">
        <v>103.0</v>
      </c>
      <c r="C3259" s="1">
        <v>16066.0</v>
      </c>
      <c r="D3259" s="1" t="s">
        <v>6192</v>
      </c>
      <c r="E3259" s="1" t="s">
        <v>2305</v>
      </c>
      <c r="F3259" s="1" t="s">
        <v>6532</v>
      </c>
      <c r="G3259" s="1">
        <v>1207.0</v>
      </c>
      <c r="H3259" s="1">
        <v>44.0</v>
      </c>
      <c r="I3259" s="1" t="s">
        <v>16</v>
      </c>
      <c r="J3259" s="1">
        <v>5000000.0</v>
      </c>
      <c r="K3259" s="1">
        <v>2004.0</v>
      </c>
      <c r="L3259" s="1">
        <v>3.3</v>
      </c>
      <c r="O3259" s="3"/>
      <c r="S3259" s="4"/>
    </row>
    <row r="3260" ht="14.25" customHeight="1">
      <c r="A3260" s="1" t="s">
        <v>6533</v>
      </c>
      <c r="B3260" s="1">
        <v>105.0</v>
      </c>
      <c r="C3260" s="1">
        <v>37440.0</v>
      </c>
      <c r="D3260" s="1" t="s">
        <v>3479</v>
      </c>
      <c r="E3260" s="1" t="s">
        <v>4185</v>
      </c>
      <c r="F3260" s="1" t="s">
        <v>6534</v>
      </c>
      <c r="G3260" s="1">
        <v>12672.0</v>
      </c>
      <c r="H3260" s="1">
        <v>60.0</v>
      </c>
      <c r="I3260" s="1" t="s">
        <v>16</v>
      </c>
      <c r="J3260" s="1">
        <v>5000000.0</v>
      </c>
      <c r="K3260" s="1">
        <v>2014.0</v>
      </c>
      <c r="L3260" s="1">
        <v>7.5</v>
      </c>
      <c r="O3260" s="3"/>
      <c r="S3260" s="4"/>
    </row>
    <row r="3261" ht="14.25" customHeight="1">
      <c r="A3261" s="1" t="s">
        <v>6535</v>
      </c>
      <c r="B3261" s="1">
        <v>113.0</v>
      </c>
      <c r="C3261" s="1">
        <v>617228.0</v>
      </c>
      <c r="D3261" s="1" t="s">
        <v>6536</v>
      </c>
      <c r="E3261" s="1" t="s">
        <v>6537</v>
      </c>
      <c r="F3261" s="1" t="s">
        <v>6538</v>
      </c>
      <c r="G3261" s="1">
        <v>6183.0</v>
      </c>
      <c r="H3261" s="1">
        <v>27.0</v>
      </c>
      <c r="I3261" s="1" t="s">
        <v>6539</v>
      </c>
      <c r="J3261" s="1">
        <v>8.445E7</v>
      </c>
      <c r="K3261" s="1">
        <v>2006.0</v>
      </c>
      <c r="L3261" s="1">
        <v>7.4</v>
      </c>
      <c r="O3261" s="3"/>
      <c r="S3261" s="4"/>
    </row>
    <row r="3262" ht="14.25" customHeight="1">
      <c r="A3262" s="1" t="s">
        <v>6540</v>
      </c>
      <c r="B3262" s="1">
        <v>99.0</v>
      </c>
      <c r="C3262" s="1">
        <v>274385.0</v>
      </c>
      <c r="D3262" s="1" t="s">
        <v>1059</v>
      </c>
      <c r="E3262" s="1" t="s">
        <v>6541</v>
      </c>
      <c r="F3262" s="1" t="s">
        <v>6542</v>
      </c>
      <c r="G3262" s="1">
        <v>29203.0</v>
      </c>
      <c r="H3262" s="1">
        <v>26.0</v>
      </c>
      <c r="I3262" s="1" t="s">
        <v>4449</v>
      </c>
      <c r="J3262" s="1">
        <v>4000000.0</v>
      </c>
      <c r="K3262" s="1">
        <v>2009.0</v>
      </c>
      <c r="L3262" s="1">
        <v>7.3</v>
      </c>
      <c r="O3262" s="3"/>
      <c r="S3262" s="4"/>
    </row>
    <row r="3263" ht="14.25" customHeight="1">
      <c r="A3263" s="1" t="s">
        <v>2367</v>
      </c>
      <c r="B3263" s="1">
        <v>148.0</v>
      </c>
      <c r="C3263" s="1">
        <v>2.4475416E7</v>
      </c>
      <c r="D3263" s="1" t="s">
        <v>1391</v>
      </c>
      <c r="E3263" s="1" t="s">
        <v>1057</v>
      </c>
      <c r="F3263" s="1" t="s">
        <v>6543</v>
      </c>
      <c r="G3263" s="1">
        <v>72443.0</v>
      </c>
      <c r="H3263" s="1">
        <v>309.0</v>
      </c>
      <c r="I3263" s="1" t="s">
        <v>16</v>
      </c>
      <c r="J3263" s="1">
        <v>890000.0</v>
      </c>
      <c r="K3263" s="1">
        <v>1996.0</v>
      </c>
      <c r="L3263" s="1">
        <v>8.0</v>
      </c>
      <c r="O3263" s="3"/>
      <c r="S3263" s="4"/>
    </row>
    <row r="3264" ht="14.25" customHeight="1">
      <c r="A3264" s="1" t="s">
        <v>6035</v>
      </c>
      <c r="B3264" s="1">
        <v>93.0</v>
      </c>
      <c r="C3264" s="1">
        <v>4.7277326E7</v>
      </c>
      <c r="D3264" s="1" t="s">
        <v>2551</v>
      </c>
      <c r="E3264" s="1" t="s">
        <v>2747</v>
      </c>
      <c r="F3264" s="1" t="s">
        <v>6544</v>
      </c>
      <c r="G3264" s="1">
        <v>138814.0</v>
      </c>
      <c r="H3264" s="1">
        <v>1516.0</v>
      </c>
      <c r="I3264" s="1" t="s">
        <v>16</v>
      </c>
      <c r="J3264" s="1">
        <v>4800000.0</v>
      </c>
      <c r="K3264" s="1">
        <v>2005.0</v>
      </c>
      <c r="L3264" s="1">
        <v>5.9</v>
      </c>
      <c r="O3264" s="3"/>
      <c r="S3264" s="4"/>
    </row>
    <row r="3265" ht="14.25" customHeight="1">
      <c r="A3265" s="1" t="s">
        <v>4998</v>
      </c>
      <c r="B3265" s="1">
        <v>94.0</v>
      </c>
      <c r="C3265" s="1">
        <v>1247453.0</v>
      </c>
      <c r="D3265" s="1" t="s">
        <v>1059</v>
      </c>
      <c r="E3265" s="1" t="s">
        <v>1216</v>
      </c>
      <c r="F3265" s="1" t="s">
        <v>6545</v>
      </c>
      <c r="G3265" s="1">
        <v>11202.0</v>
      </c>
      <c r="H3265" s="1">
        <v>123.0</v>
      </c>
      <c r="I3265" s="1" t="s">
        <v>16</v>
      </c>
      <c r="J3265" s="1">
        <v>2800000.0</v>
      </c>
      <c r="K3265" s="1">
        <v>2005.0</v>
      </c>
      <c r="L3265" s="1">
        <v>6.8</v>
      </c>
      <c r="O3265" s="3"/>
      <c r="S3265" s="4"/>
    </row>
    <row r="3266" ht="14.25" customHeight="1">
      <c r="A3266" s="1" t="s">
        <v>4613</v>
      </c>
      <c r="B3266" s="1">
        <v>121.0</v>
      </c>
      <c r="C3266" s="1">
        <v>1729969.0</v>
      </c>
      <c r="D3266" s="1" t="s">
        <v>1654</v>
      </c>
      <c r="E3266" s="1" t="s">
        <v>6546</v>
      </c>
      <c r="F3266" s="1" t="s">
        <v>6547</v>
      </c>
      <c r="G3266" s="1">
        <v>68211.0</v>
      </c>
      <c r="H3266" s="1">
        <v>219.0</v>
      </c>
      <c r="I3266" s="1" t="s">
        <v>16</v>
      </c>
      <c r="J3266" s="1">
        <v>5000000.0</v>
      </c>
      <c r="K3266" s="1">
        <v>2011.0</v>
      </c>
      <c r="L3266" s="1">
        <v>7.4</v>
      </c>
      <c r="O3266" s="3"/>
      <c r="S3266" s="4"/>
    </row>
    <row r="3267" ht="14.25" customHeight="1">
      <c r="A3267" s="1" t="s">
        <v>6548</v>
      </c>
      <c r="B3267" s="1">
        <v>118.0</v>
      </c>
      <c r="C3267" s="1">
        <v>1705139.0</v>
      </c>
      <c r="D3267" s="1" t="s">
        <v>1103</v>
      </c>
      <c r="E3267" s="1" t="s">
        <v>6549</v>
      </c>
      <c r="F3267" s="1" t="s">
        <v>6550</v>
      </c>
      <c r="G3267" s="1">
        <v>4695.0</v>
      </c>
      <c r="H3267" s="1">
        <v>69.0</v>
      </c>
      <c r="I3267" s="1" t="s">
        <v>16</v>
      </c>
      <c r="J3267" s="1">
        <v>4700000.0</v>
      </c>
      <c r="K3267" s="1">
        <v>1988.0</v>
      </c>
      <c r="L3267" s="1">
        <v>6.7</v>
      </c>
      <c r="O3267" s="3"/>
      <c r="S3267" s="4"/>
    </row>
    <row r="3268" ht="14.25" customHeight="1">
      <c r="A3268" s="1" t="s">
        <v>2944</v>
      </c>
      <c r="B3268" s="1">
        <v>101.0</v>
      </c>
      <c r="C3268" s="1">
        <v>8025872.0</v>
      </c>
      <c r="D3268" s="1" t="s">
        <v>3008</v>
      </c>
      <c r="E3268" s="1" t="s">
        <v>6551</v>
      </c>
      <c r="F3268" s="1" t="s">
        <v>6552</v>
      </c>
      <c r="G3268" s="1">
        <v>19234.0</v>
      </c>
      <c r="H3268" s="1">
        <v>258.0</v>
      </c>
      <c r="I3268" s="1" t="s">
        <v>16</v>
      </c>
      <c r="J3268" s="1">
        <v>4700000.0</v>
      </c>
      <c r="K3268" s="1">
        <v>1986.0</v>
      </c>
      <c r="L3268" s="1">
        <v>5.5</v>
      </c>
      <c r="O3268" s="3"/>
      <c r="S3268" s="4"/>
    </row>
    <row r="3269" ht="14.25" customHeight="1">
      <c r="A3269" s="1" t="s">
        <v>4903</v>
      </c>
      <c r="B3269" s="1">
        <v>90.0</v>
      </c>
      <c r="C3269" s="1">
        <v>778565.0</v>
      </c>
      <c r="D3269" s="1" t="s">
        <v>811</v>
      </c>
      <c r="E3269" s="1" t="s">
        <v>1717</v>
      </c>
      <c r="F3269" s="1" t="s">
        <v>6553</v>
      </c>
      <c r="G3269" s="1">
        <v>83234.0</v>
      </c>
      <c r="H3269" s="1">
        <v>475.0</v>
      </c>
      <c r="I3269" s="1" t="s">
        <v>16</v>
      </c>
      <c r="J3269" s="1">
        <v>4800000.0</v>
      </c>
      <c r="K3269" s="1">
        <v>2013.0</v>
      </c>
      <c r="L3269" s="1">
        <v>5.7</v>
      </c>
      <c r="O3269" s="3"/>
      <c r="S3269" s="4"/>
    </row>
    <row r="3270" ht="14.25" customHeight="1">
      <c r="A3270" s="1" t="s">
        <v>6554</v>
      </c>
      <c r="B3270" s="1">
        <v>100.0</v>
      </c>
      <c r="C3270" s="1">
        <v>513836.0</v>
      </c>
      <c r="D3270" s="1" t="s">
        <v>593</v>
      </c>
      <c r="E3270" s="1" t="s">
        <v>6555</v>
      </c>
      <c r="F3270" s="1" t="s">
        <v>6556</v>
      </c>
      <c r="G3270" s="1">
        <v>6304.0</v>
      </c>
      <c r="H3270" s="1">
        <v>21.0</v>
      </c>
      <c r="I3270" s="1" t="s">
        <v>1189</v>
      </c>
      <c r="J3270" s="1">
        <v>4600000.0</v>
      </c>
      <c r="K3270" s="1">
        <v>2010.0</v>
      </c>
      <c r="L3270" s="1">
        <v>7.2</v>
      </c>
      <c r="O3270" s="3"/>
      <c r="S3270" s="4"/>
    </row>
    <row r="3271" ht="14.25" customHeight="1">
      <c r="A3271" s="1" t="s">
        <v>6557</v>
      </c>
      <c r="B3271" s="1">
        <v>97.0</v>
      </c>
      <c r="C3271" s="1">
        <v>434417.0</v>
      </c>
      <c r="D3271" s="1" t="s">
        <v>1391</v>
      </c>
      <c r="E3271" s="1" t="s">
        <v>1929</v>
      </c>
      <c r="F3271" s="1" t="s">
        <v>6558</v>
      </c>
      <c r="G3271" s="1">
        <v>8867.0</v>
      </c>
      <c r="H3271" s="1">
        <v>65.0</v>
      </c>
      <c r="I3271" s="1" t="s">
        <v>16</v>
      </c>
      <c r="J3271" s="1">
        <v>4600000.0</v>
      </c>
      <c r="K3271" s="1">
        <v>2007.0</v>
      </c>
      <c r="L3271" s="1">
        <v>5.9</v>
      </c>
      <c r="O3271" s="3"/>
      <c r="S3271" s="4"/>
    </row>
    <row r="3272" ht="14.25" customHeight="1">
      <c r="A3272" s="1" t="s">
        <v>2976</v>
      </c>
      <c r="B3272" s="1">
        <v>96.0</v>
      </c>
      <c r="C3272" s="1">
        <v>8.12E7</v>
      </c>
      <c r="D3272" s="1" t="s">
        <v>828</v>
      </c>
      <c r="E3272" s="1" t="s">
        <v>4413</v>
      </c>
      <c r="F3272" s="1" t="s">
        <v>6559</v>
      </c>
      <c r="G3272" s="1">
        <v>87739.0</v>
      </c>
      <c r="H3272" s="1">
        <v>133.0</v>
      </c>
      <c r="I3272" s="1" t="s">
        <v>16</v>
      </c>
      <c r="J3272" s="1">
        <v>4500000.0</v>
      </c>
      <c r="K3272" s="1">
        <v>1984.0</v>
      </c>
      <c r="L3272" s="1">
        <v>6.7</v>
      </c>
      <c r="O3272" s="3"/>
      <c r="S3272" s="4"/>
    </row>
    <row r="3273" ht="14.25" customHeight="1">
      <c r="A3273" s="1" t="s">
        <v>161</v>
      </c>
      <c r="B3273" s="1">
        <v>117.0</v>
      </c>
      <c r="C3273" s="1">
        <v>5.2700832E7</v>
      </c>
      <c r="D3273" s="1" t="s">
        <v>593</v>
      </c>
      <c r="E3273" s="1" t="s">
        <v>4535</v>
      </c>
      <c r="F3273" s="1" t="s">
        <v>6560</v>
      </c>
      <c r="G3273" s="1">
        <v>107923.0</v>
      </c>
      <c r="H3273" s="1">
        <v>197.0</v>
      </c>
      <c r="I3273" s="1" t="s">
        <v>16</v>
      </c>
      <c r="J3273" s="1">
        <v>4500000.0</v>
      </c>
      <c r="K3273" s="1">
        <v>1994.0</v>
      </c>
      <c r="L3273" s="1">
        <v>7.1</v>
      </c>
      <c r="O3273" s="3"/>
      <c r="S3273" s="4"/>
    </row>
    <row r="3274" ht="14.25" customHeight="1">
      <c r="A3274" s="1" t="s">
        <v>2048</v>
      </c>
      <c r="B3274" s="1">
        <v>108.0</v>
      </c>
      <c r="C3274" s="1">
        <v>1.3060843E7</v>
      </c>
      <c r="D3274" s="1" t="s">
        <v>1391</v>
      </c>
      <c r="E3274" s="1" t="s">
        <v>390</v>
      </c>
      <c r="F3274" s="1" t="s">
        <v>6561</v>
      </c>
      <c r="G3274" s="1">
        <v>149528.0</v>
      </c>
      <c r="H3274" s="1">
        <v>454.0</v>
      </c>
      <c r="I3274" s="1" t="s">
        <v>16</v>
      </c>
      <c r="J3274" s="1">
        <v>1.5E7</v>
      </c>
      <c r="K3274" s="1">
        <v>2002.0</v>
      </c>
      <c r="L3274" s="1">
        <v>7.7</v>
      </c>
      <c r="O3274" s="3"/>
      <c r="S3274" s="4"/>
    </row>
    <row r="3275" ht="14.25" customHeight="1">
      <c r="A3275" s="1" t="s">
        <v>190</v>
      </c>
      <c r="B3275" s="1">
        <v>109.0</v>
      </c>
      <c r="C3275" s="1">
        <v>3798532.0</v>
      </c>
      <c r="D3275" s="1" t="s">
        <v>2126</v>
      </c>
      <c r="E3275" s="1" t="s">
        <v>6562</v>
      </c>
      <c r="F3275" s="1" t="s">
        <v>6563</v>
      </c>
      <c r="G3275" s="1">
        <v>41138.0</v>
      </c>
      <c r="H3275" s="1">
        <v>208.0</v>
      </c>
      <c r="I3275" s="1" t="s">
        <v>16</v>
      </c>
      <c r="J3275" s="1">
        <v>4500000.0</v>
      </c>
      <c r="K3275" s="1">
        <v>1996.0</v>
      </c>
      <c r="L3275" s="1">
        <v>7.4</v>
      </c>
      <c r="O3275" s="3"/>
      <c r="S3275" s="4"/>
    </row>
    <row r="3276" ht="14.25" customHeight="1">
      <c r="A3276" s="1" t="s">
        <v>505</v>
      </c>
      <c r="B3276" s="1">
        <v>102.0</v>
      </c>
      <c r="C3276" s="1">
        <v>3609278.0</v>
      </c>
      <c r="D3276" s="1" t="s">
        <v>1391</v>
      </c>
      <c r="E3276" s="1" t="s">
        <v>3562</v>
      </c>
      <c r="F3276" s="1" t="s">
        <v>6564</v>
      </c>
      <c r="G3276" s="1">
        <v>573541.0</v>
      </c>
      <c r="H3276" s="1">
        <v>1916.0</v>
      </c>
      <c r="I3276" s="1" t="s">
        <v>16</v>
      </c>
      <c r="J3276" s="1">
        <v>4500000.0</v>
      </c>
      <c r="K3276" s="1">
        <v>2000.0</v>
      </c>
      <c r="L3276" s="1">
        <v>8.4</v>
      </c>
      <c r="O3276" s="3"/>
      <c r="S3276" s="4"/>
    </row>
    <row r="3277" ht="14.25" customHeight="1">
      <c r="A3277" s="1" t="s">
        <v>6565</v>
      </c>
      <c r="B3277" s="1">
        <v>115.0</v>
      </c>
      <c r="C3277" s="1">
        <v>1687311.0</v>
      </c>
      <c r="D3277" s="1" t="s">
        <v>6566</v>
      </c>
      <c r="E3277" s="1" t="s">
        <v>6567</v>
      </c>
      <c r="F3277" s="1" t="s">
        <v>6568</v>
      </c>
      <c r="G3277" s="1">
        <v>2412.0</v>
      </c>
      <c r="H3277" s="1">
        <v>40.0</v>
      </c>
      <c r="I3277" s="1" t="s">
        <v>1144</v>
      </c>
      <c r="J3277" s="1">
        <v>7.0E8</v>
      </c>
      <c r="K3277" s="1">
        <v>1998.0</v>
      </c>
      <c r="L3277" s="1">
        <v>7.2</v>
      </c>
      <c r="O3277" s="3"/>
      <c r="S3277" s="4"/>
    </row>
    <row r="3278" ht="14.25" customHeight="1">
      <c r="A3278" s="1" t="s">
        <v>6569</v>
      </c>
      <c r="B3278" s="1">
        <v>98.0</v>
      </c>
      <c r="C3278" s="1">
        <v>1.0429707E7</v>
      </c>
      <c r="D3278" s="1" t="s">
        <v>828</v>
      </c>
      <c r="E3278" s="1" t="s">
        <v>6570</v>
      </c>
      <c r="F3278" s="1" t="s">
        <v>6571</v>
      </c>
      <c r="G3278" s="1">
        <v>10483.0</v>
      </c>
      <c r="H3278" s="1">
        <v>125.0</v>
      </c>
      <c r="I3278" s="1" t="s">
        <v>16</v>
      </c>
      <c r="J3278" s="1">
        <v>5000000.0</v>
      </c>
      <c r="K3278" s="1">
        <v>2014.0</v>
      </c>
      <c r="L3278" s="1">
        <v>5.4</v>
      </c>
      <c r="O3278" s="3"/>
      <c r="S3278" s="4"/>
    </row>
    <row r="3279" ht="14.25" customHeight="1">
      <c r="A3279" s="1" t="s">
        <v>3819</v>
      </c>
      <c r="B3279" s="1">
        <v>133.0</v>
      </c>
      <c r="C3279" s="1">
        <v>727883.0</v>
      </c>
      <c r="D3279" s="1" t="s">
        <v>1112</v>
      </c>
      <c r="E3279" s="1" t="s">
        <v>162</v>
      </c>
      <c r="F3279" s="1" t="s">
        <v>6572</v>
      </c>
      <c r="G3279" s="1">
        <v>580999.0</v>
      </c>
      <c r="H3279" s="1">
        <v>2110.0</v>
      </c>
      <c r="I3279" s="1" t="s">
        <v>16</v>
      </c>
      <c r="J3279" s="1">
        <v>4500000.0</v>
      </c>
      <c r="K3279" s="1">
        <v>2001.0</v>
      </c>
      <c r="L3279" s="1">
        <v>8.1</v>
      </c>
      <c r="O3279" s="3"/>
      <c r="S3279" s="4"/>
    </row>
    <row r="3280" ht="14.25" customHeight="1">
      <c r="A3280" s="1" t="s">
        <v>6573</v>
      </c>
      <c r="B3280" s="1">
        <v>122.0</v>
      </c>
      <c r="C3280" s="1">
        <v>713413.0</v>
      </c>
      <c r="D3280" s="1" t="s">
        <v>4443</v>
      </c>
      <c r="E3280" s="1" t="s">
        <v>6574</v>
      </c>
      <c r="F3280" s="1" t="s">
        <v>6575</v>
      </c>
      <c r="G3280" s="1">
        <v>9171.0</v>
      </c>
      <c r="H3280" s="1">
        <v>68.0</v>
      </c>
      <c r="I3280" s="1" t="s">
        <v>4061</v>
      </c>
      <c r="J3280" s="1">
        <v>4500000.0</v>
      </c>
      <c r="K3280" s="1">
        <v>1997.0</v>
      </c>
      <c r="L3280" s="1">
        <v>7.8</v>
      </c>
      <c r="O3280" s="3"/>
      <c r="S3280" s="4"/>
    </row>
    <row r="3281" ht="14.25" customHeight="1">
      <c r="A3281" s="1" t="s">
        <v>6576</v>
      </c>
      <c r="B3281" s="1">
        <v>106.0</v>
      </c>
      <c r="C3281" s="1">
        <v>410241.0</v>
      </c>
      <c r="D3281" s="1" t="s">
        <v>3596</v>
      </c>
      <c r="E3281" s="1" t="s">
        <v>1605</v>
      </c>
      <c r="F3281" s="1" t="s">
        <v>6577</v>
      </c>
      <c r="G3281" s="1">
        <v>32357.0</v>
      </c>
      <c r="H3281" s="1">
        <v>199.0</v>
      </c>
      <c r="I3281" s="1" t="s">
        <v>16</v>
      </c>
      <c r="J3281" s="1">
        <v>2000000.0</v>
      </c>
      <c r="K3281" s="1">
        <v>2002.0</v>
      </c>
      <c r="L3281" s="1">
        <v>6.8</v>
      </c>
      <c r="O3281" s="3"/>
      <c r="S3281" s="4"/>
    </row>
    <row r="3282" ht="14.25" customHeight="1">
      <c r="A3282" s="1" t="s">
        <v>5442</v>
      </c>
      <c r="B3282" s="1">
        <v>112.0</v>
      </c>
      <c r="C3282" s="1">
        <v>211667.0</v>
      </c>
      <c r="D3282" s="1" t="s">
        <v>811</v>
      </c>
      <c r="E3282" s="1" t="s">
        <v>5314</v>
      </c>
      <c r="F3282" s="1" t="s">
        <v>6578</v>
      </c>
      <c r="G3282" s="1">
        <v>53508.0</v>
      </c>
      <c r="H3282" s="1">
        <v>131.0</v>
      </c>
      <c r="I3282" s="1" t="s">
        <v>5316</v>
      </c>
      <c r="J3282" s="1">
        <v>4.2E9</v>
      </c>
      <c r="K3282" s="1">
        <v>2005.0</v>
      </c>
      <c r="L3282" s="1">
        <v>7.7</v>
      </c>
      <c r="O3282" s="3"/>
      <c r="S3282" s="4"/>
    </row>
    <row r="3283" ht="14.25" customHeight="1">
      <c r="A3283" s="1" t="s">
        <v>6579</v>
      </c>
      <c r="B3283" s="1">
        <v>99.0</v>
      </c>
      <c r="C3283" s="1">
        <v>92191.0</v>
      </c>
      <c r="D3283" s="1" t="s">
        <v>2500</v>
      </c>
      <c r="E3283" s="1" t="s">
        <v>147</v>
      </c>
      <c r="F3283" s="1" t="s">
        <v>6580</v>
      </c>
      <c r="G3283" s="1">
        <v>29463.0</v>
      </c>
      <c r="H3283" s="1">
        <v>84.0</v>
      </c>
      <c r="I3283" s="1" t="s">
        <v>16</v>
      </c>
      <c r="J3283" s="1">
        <v>2500000.0</v>
      </c>
      <c r="K3283" s="1">
        <v>2001.0</v>
      </c>
      <c r="L3283" s="1">
        <v>6.5</v>
      </c>
      <c r="O3283" s="3"/>
      <c r="S3283" s="4"/>
    </row>
    <row r="3284" ht="14.25" customHeight="1">
      <c r="A3284" s="1" t="s">
        <v>6581</v>
      </c>
      <c r="B3284" s="1">
        <v>110.0</v>
      </c>
      <c r="C3284" s="1">
        <v>49413.0</v>
      </c>
      <c r="D3284" s="1" t="s">
        <v>146</v>
      </c>
      <c r="E3284" s="1" t="s">
        <v>6582</v>
      </c>
      <c r="F3284" s="1" t="s">
        <v>6583</v>
      </c>
      <c r="G3284" s="1">
        <v>6919.0</v>
      </c>
      <c r="H3284" s="1">
        <v>26.0</v>
      </c>
      <c r="I3284" s="1" t="s">
        <v>2884</v>
      </c>
      <c r="J3284" s="1">
        <v>3.5E7</v>
      </c>
      <c r="K3284" s="1">
        <v>2006.0</v>
      </c>
      <c r="L3284" s="1">
        <v>7.3</v>
      </c>
      <c r="O3284" s="3"/>
      <c r="S3284" s="4"/>
    </row>
    <row r="3285" ht="14.25" customHeight="1">
      <c r="A3285" s="1" t="s">
        <v>6584</v>
      </c>
      <c r="B3285" s="1">
        <v>104.0</v>
      </c>
      <c r="C3285" s="1">
        <v>108229.0</v>
      </c>
      <c r="D3285" s="1" t="s">
        <v>2439</v>
      </c>
      <c r="E3285" s="1" t="s">
        <v>100</v>
      </c>
      <c r="F3285" s="1" t="s">
        <v>6585</v>
      </c>
      <c r="G3285" s="1">
        <v>30836.0</v>
      </c>
      <c r="H3285" s="1">
        <v>137.0</v>
      </c>
      <c r="I3285" s="1" t="s">
        <v>16</v>
      </c>
      <c r="J3285" s="1">
        <v>4500000.0</v>
      </c>
      <c r="K3285" s="1">
        <v>2009.0</v>
      </c>
      <c r="L3285" s="1">
        <v>5.9</v>
      </c>
      <c r="O3285" s="3"/>
      <c r="S3285" s="4"/>
    </row>
    <row r="3286" ht="14.25" customHeight="1">
      <c r="A3286" s="1" t="s">
        <v>2003</v>
      </c>
      <c r="B3286" s="1">
        <v>133.0</v>
      </c>
      <c r="C3286" s="1">
        <v>1.12E8</v>
      </c>
      <c r="D3286" s="1" t="s">
        <v>1391</v>
      </c>
      <c r="E3286" s="1" t="s">
        <v>6586</v>
      </c>
      <c r="F3286" s="1" t="s">
        <v>6587</v>
      </c>
      <c r="G3286" s="1">
        <v>680041.0</v>
      </c>
      <c r="H3286" s="1">
        <v>760.0</v>
      </c>
      <c r="I3286" s="1" t="s">
        <v>16</v>
      </c>
      <c r="J3286" s="1">
        <v>4400000.0</v>
      </c>
      <c r="K3286" s="1">
        <v>1975.0</v>
      </c>
      <c r="L3286" s="1">
        <v>8.7</v>
      </c>
      <c r="O3286" s="3"/>
      <c r="S3286" s="4"/>
    </row>
    <row r="3287" ht="14.25" customHeight="1">
      <c r="A3287" s="1" t="s">
        <v>6588</v>
      </c>
      <c r="B3287" s="1">
        <v>103.0</v>
      </c>
      <c r="C3287" s="1">
        <v>8691.0</v>
      </c>
      <c r="D3287" s="1" t="s">
        <v>55</v>
      </c>
      <c r="E3287" s="1" t="s">
        <v>2561</v>
      </c>
      <c r="F3287" s="1" t="s">
        <v>6589</v>
      </c>
      <c r="G3287" s="1">
        <v>4952.0</v>
      </c>
      <c r="H3287" s="1">
        <v>32.0</v>
      </c>
      <c r="I3287" s="1" t="s">
        <v>16</v>
      </c>
      <c r="J3287" s="1">
        <v>4500000.0</v>
      </c>
      <c r="K3287" s="1">
        <v>2014.0</v>
      </c>
      <c r="L3287" s="1">
        <v>5.8</v>
      </c>
      <c r="O3287" s="3"/>
      <c r="S3287" s="4"/>
    </row>
    <row r="3288" ht="14.25" customHeight="1">
      <c r="A3288" s="1" t="s">
        <v>6590</v>
      </c>
      <c r="B3288" s="1">
        <v>112.0</v>
      </c>
      <c r="C3288" s="1">
        <v>26345.0</v>
      </c>
      <c r="D3288" s="1" t="s">
        <v>5713</v>
      </c>
      <c r="E3288" s="1" t="s">
        <v>842</v>
      </c>
      <c r="F3288" s="1" t="s">
        <v>6591</v>
      </c>
      <c r="G3288" s="1">
        <v>16445.0</v>
      </c>
      <c r="H3288" s="1">
        <v>99.0</v>
      </c>
      <c r="I3288" s="1" t="s">
        <v>16</v>
      </c>
      <c r="J3288" s="1">
        <v>3000000.0</v>
      </c>
      <c r="K3288" s="1">
        <v>2012.0</v>
      </c>
      <c r="L3288" s="1">
        <v>6.1</v>
      </c>
      <c r="O3288" s="3"/>
      <c r="S3288" s="4"/>
    </row>
    <row r="3289" ht="14.25" customHeight="1">
      <c r="A3289" s="1" t="s">
        <v>3377</v>
      </c>
      <c r="B3289" s="1">
        <v>101.0</v>
      </c>
      <c r="C3289" s="1">
        <v>2.0772796E7</v>
      </c>
      <c r="D3289" s="1" t="s">
        <v>2844</v>
      </c>
      <c r="E3289" s="1" t="s">
        <v>2963</v>
      </c>
      <c r="F3289" s="1" t="s">
        <v>6592</v>
      </c>
      <c r="G3289" s="1">
        <v>34232.0</v>
      </c>
      <c r="H3289" s="1">
        <v>346.0</v>
      </c>
      <c r="I3289" s="1" t="s">
        <v>16</v>
      </c>
      <c r="J3289" s="1">
        <v>6000000.0</v>
      </c>
      <c r="K3289" s="1">
        <v>2002.0</v>
      </c>
      <c r="L3289" s="1">
        <v>7.6</v>
      </c>
      <c r="O3289" s="3"/>
      <c r="S3289" s="4"/>
    </row>
    <row r="3290" ht="14.25" customHeight="1">
      <c r="A3290" s="1" t="s">
        <v>6593</v>
      </c>
      <c r="B3290" s="1">
        <v>133.0</v>
      </c>
      <c r="C3290" s="1">
        <v>199228.0</v>
      </c>
      <c r="D3290" s="1" t="s">
        <v>1059</v>
      </c>
      <c r="E3290" s="1" t="s">
        <v>6594</v>
      </c>
      <c r="F3290" s="1" t="s">
        <v>6595</v>
      </c>
      <c r="G3290" s="1">
        <v>7295.0</v>
      </c>
      <c r="H3290" s="1">
        <v>49.0</v>
      </c>
      <c r="I3290" s="1" t="s">
        <v>5555</v>
      </c>
      <c r="J3290" s="1">
        <v>1.5E8</v>
      </c>
      <c r="K3290" s="1">
        <v>2009.0</v>
      </c>
      <c r="L3290" s="1">
        <v>7.2</v>
      </c>
      <c r="O3290" s="3"/>
      <c r="S3290" s="4"/>
    </row>
    <row r="3291" ht="14.25" customHeight="1">
      <c r="A3291" s="1" t="s">
        <v>399</v>
      </c>
      <c r="B3291" s="1">
        <v>111.0</v>
      </c>
      <c r="C3291" s="1">
        <v>3.4964818E7</v>
      </c>
      <c r="D3291" s="1" t="s">
        <v>86</v>
      </c>
      <c r="E3291" s="1" t="s">
        <v>115</v>
      </c>
      <c r="F3291" s="1" t="s">
        <v>400</v>
      </c>
      <c r="G3291" s="1">
        <v>39975.0</v>
      </c>
      <c r="H3291" s="1">
        <v>186.0</v>
      </c>
      <c r="I3291" s="1" t="s">
        <v>16</v>
      </c>
      <c r="J3291" s="1">
        <v>1.5E8</v>
      </c>
      <c r="K3291" s="1">
        <v>2015.0</v>
      </c>
      <c r="L3291" s="1">
        <v>5.8</v>
      </c>
      <c r="O3291" s="3"/>
      <c r="S3291" s="4"/>
    </row>
    <row r="3292" ht="14.25" customHeight="1">
      <c r="A3292" s="1" t="s">
        <v>1230</v>
      </c>
      <c r="B3292" s="1">
        <v>104.0</v>
      </c>
      <c r="C3292" s="1">
        <v>1487477.0</v>
      </c>
      <c r="D3292" s="1" t="s">
        <v>6596</v>
      </c>
      <c r="E3292" s="1" t="s">
        <v>6597</v>
      </c>
      <c r="F3292" s="1" t="s">
        <v>6598</v>
      </c>
      <c r="G3292" s="1">
        <v>47097.0</v>
      </c>
      <c r="H3292" s="1">
        <v>310.0</v>
      </c>
      <c r="I3292" s="1" t="s">
        <v>6599</v>
      </c>
      <c r="J3292" s="1">
        <v>4200000.0</v>
      </c>
      <c r="K3292" s="1">
        <v>2004.0</v>
      </c>
      <c r="L3292" s="1">
        <v>6.5</v>
      </c>
      <c r="O3292" s="3"/>
      <c r="S3292" s="4"/>
    </row>
    <row r="3293" ht="14.25" customHeight="1">
      <c r="A3293" s="1" t="s">
        <v>2038</v>
      </c>
      <c r="B3293" s="1">
        <v>112.0</v>
      </c>
      <c r="C3293" s="1">
        <v>6.2549E7</v>
      </c>
      <c r="D3293" s="1" t="s">
        <v>2126</v>
      </c>
      <c r="E3293" s="1" t="s">
        <v>194</v>
      </c>
      <c r="F3293" s="1" t="s">
        <v>6600</v>
      </c>
      <c r="G3293" s="1">
        <v>41361.0</v>
      </c>
      <c r="H3293" s="1">
        <v>148.0</v>
      </c>
      <c r="I3293" s="1" t="s">
        <v>16</v>
      </c>
      <c r="J3293" s="1">
        <v>2300000.0</v>
      </c>
      <c r="K3293" s="1">
        <v>1992.0</v>
      </c>
      <c r="L3293" s="1">
        <v>7.3</v>
      </c>
      <c r="O3293" s="3"/>
      <c r="S3293" s="4"/>
    </row>
    <row r="3294" ht="14.25" customHeight="1">
      <c r="A3294" s="1" t="s">
        <v>4355</v>
      </c>
      <c r="B3294" s="1">
        <v>94.0</v>
      </c>
      <c r="C3294" s="1">
        <v>1.055E8</v>
      </c>
      <c r="D3294" s="1" t="s">
        <v>828</v>
      </c>
      <c r="E3294" s="1" t="s">
        <v>6601</v>
      </c>
      <c r="F3294" s="1" t="s">
        <v>6602</v>
      </c>
      <c r="G3294" s="1">
        <v>31260.0</v>
      </c>
      <c r="H3294" s="1">
        <v>152.0</v>
      </c>
      <c r="I3294" s="1" t="s">
        <v>16</v>
      </c>
      <c r="J3294" s="1">
        <v>4000000.0</v>
      </c>
      <c r="K3294" s="1">
        <v>1981.0</v>
      </c>
      <c r="L3294" s="1">
        <v>6.2</v>
      </c>
      <c r="O3294" s="3"/>
      <c r="S3294" s="4"/>
    </row>
    <row r="3295" ht="14.25" customHeight="1">
      <c r="A3295" s="1" t="s">
        <v>4496</v>
      </c>
      <c r="B3295" s="1">
        <v>90.0</v>
      </c>
      <c r="C3295" s="1">
        <v>101055.0</v>
      </c>
      <c r="D3295" s="1" t="s">
        <v>2551</v>
      </c>
      <c r="E3295" s="1" t="s">
        <v>6603</v>
      </c>
      <c r="F3295" s="1" t="s">
        <v>6604</v>
      </c>
      <c r="G3295" s="1">
        <v>17478.0</v>
      </c>
      <c r="H3295" s="1">
        <v>159.0</v>
      </c>
      <c r="I3295" s="1" t="s">
        <v>16</v>
      </c>
      <c r="J3295" s="1">
        <v>4000000.0</v>
      </c>
      <c r="K3295" s="1">
        <v>2009.0</v>
      </c>
      <c r="L3295" s="1">
        <v>5.0</v>
      </c>
      <c r="O3295" s="3"/>
      <c r="S3295" s="4"/>
    </row>
    <row r="3296" ht="14.25" customHeight="1">
      <c r="A3296" s="1" t="s">
        <v>2677</v>
      </c>
      <c r="B3296" s="1">
        <v>101.0</v>
      </c>
      <c r="C3296" s="1">
        <v>4.4566004E7</v>
      </c>
      <c r="D3296" s="1" t="s">
        <v>1391</v>
      </c>
      <c r="E3296" s="1" t="s">
        <v>237</v>
      </c>
      <c r="F3296" s="1" t="s">
        <v>6605</v>
      </c>
      <c r="G3296" s="1">
        <v>321283.0</v>
      </c>
      <c r="H3296" s="1">
        <v>1848.0</v>
      </c>
      <c r="I3296" s="1" t="s">
        <v>16</v>
      </c>
      <c r="J3296" s="1">
        <v>4000000.0</v>
      </c>
      <c r="K3296" s="1">
        <v>2003.0</v>
      </c>
      <c r="L3296" s="1">
        <v>7.8</v>
      </c>
      <c r="O3296" s="3"/>
      <c r="S3296" s="4"/>
    </row>
    <row r="3297" ht="14.25" customHeight="1">
      <c r="A3297" s="1" t="s">
        <v>3268</v>
      </c>
      <c r="B3297" s="1">
        <v>93.0</v>
      </c>
      <c r="C3297" s="1">
        <v>3.92E7</v>
      </c>
      <c r="D3297" s="1" t="s">
        <v>699</v>
      </c>
      <c r="E3297" s="1" t="s">
        <v>3268</v>
      </c>
      <c r="F3297" s="1" t="s">
        <v>6606</v>
      </c>
      <c r="G3297" s="1">
        <v>192940.0</v>
      </c>
      <c r="H3297" s="1">
        <v>491.0</v>
      </c>
      <c r="I3297" s="1" t="s">
        <v>16</v>
      </c>
      <c r="J3297" s="1">
        <v>4000000.0</v>
      </c>
      <c r="K3297" s="1">
        <v>1977.0</v>
      </c>
      <c r="L3297" s="1">
        <v>8.1</v>
      </c>
      <c r="O3297" s="3"/>
      <c r="S3297" s="4"/>
    </row>
    <row r="3298" ht="14.25" customHeight="1">
      <c r="A3298" s="1" t="s">
        <v>6607</v>
      </c>
      <c r="B3298" s="1">
        <v>152.0</v>
      </c>
      <c r="C3298" s="1">
        <v>3.6E7</v>
      </c>
      <c r="D3298" s="1" t="s">
        <v>4861</v>
      </c>
      <c r="E3298" s="1" t="s">
        <v>6608</v>
      </c>
      <c r="F3298" s="1" t="s">
        <v>6609</v>
      </c>
      <c r="G3298" s="1">
        <v>9456.0</v>
      </c>
      <c r="H3298" s="1">
        <v>107.0</v>
      </c>
      <c r="I3298" s="1" t="s">
        <v>16</v>
      </c>
      <c r="J3298" s="1">
        <v>4000000.0</v>
      </c>
      <c r="K3298" s="1">
        <v>1952.0</v>
      </c>
      <c r="L3298" s="1">
        <v>6.7</v>
      </c>
      <c r="O3298" s="3"/>
      <c r="S3298" s="4"/>
    </row>
    <row r="3299" ht="14.25" customHeight="1">
      <c r="A3299" s="1" t="s">
        <v>80</v>
      </c>
      <c r="B3299" s="1">
        <v>150.0</v>
      </c>
      <c r="C3299" s="1">
        <v>6.5007045E7</v>
      </c>
      <c r="D3299" s="1" t="s">
        <v>433</v>
      </c>
      <c r="E3299" s="1" t="s">
        <v>143</v>
      </c>
      <c r="F3299" s="1" t="s">
        <v>434</v>
      </c>
      <c r="G3299" s="1">
        <v>128694.0</v>
      </c>
      <c r="H3299" s="1">
        <v>657.0</v>
      </c>
      <c r="I3299" s="1" t="s">
        <v>16</v>
      </c>
      <c r="J3299" s="1">
        <v>1.4E8</v>
      </c>
      <c r="K3299" s="1">
        <v>2014.0</v>
      </c>
      <c r="L3299" s="1">
        <v>6.1</v>
      </c>
      <c r="O3299" s="3"/>
      <c r="S3299" s="4"/>
    </row>
    <row r="3300" ht="14.25" customHeight="1">
      <c r="A3300" s="1" t="s">
        <v>54</v>
      </c>
      <c r="B3300" s="1">
        <v>112.0</v>
      </c>
      <c r="C3300" s="1">
        <v>3.1252964E7</v>
      </c>
      <c r="D3300" s="1" t="s">
        <v>92</v>
      </c>
      <c r="E3300" s="1" t="s">
        <v>637</v>
      </c>
      <c r="F3300" s="1" t="s">
        <v>6610</v>
      </c>
      <c r="G3300" s="1">
        <v>71495.0</v>
      </c>
      <c r="H3300" s="1">
        <v>522.0</v>
      </c>
      <c r="I3300" s="1" t="s">
        <v>16</v>
      </c>
      <c r="J3300" s="1">
        <v>4000000.0</v>
      </c>
      <c r="K3300" s="1">
        <v>2001.0</v>
      </c>
      <c r="L3300" s="1">
        <v>7.1</v>
      </c>
      <c r="O3300" s="3"/>
      <c r="S3300" s="4"/>
    </row>
    <row r="3301" ht="14.25" customHeight="1">
      <c r="A3301" s="1" t="s">
        <v>6611</v>
      </c>
      <c r="B3301" s="1">
        <v>95.0</v>
      </c>
      <c r="C3301" s="1">
        <v>131175.0</v>
      </c>
      <c r="D3301" s="1" t="s">
        <v>5971</v>
      </c>
      <c r="E3301" s="1" t="s">
        <v>6039</v>
      </c>
      <c r="F3301" s="1" t="s">
        <v>6612</v>
      </c>
      <c r="G3301" s="1">
        <v>30219.0</v>
      </c>
      <c r="H3301" s="1">
        <v>200.0</v>
      </c>
      <c r="I3301" s="1" t="s">
        <v>16</v>
      </c>
      <c r="J3301" s="1">
        <v>8500000.0</v>
      </c>
      <c r="K3301" s="1">
        <v>2015.0</v>
      </c>
      <c r="L3301" s="1">
        <v>5.6</v>
      </c>
      <c r="O3301" s="3"/>
      <c r="S3301" s="4"/>
    </row>
    <row r="3302" ht="14.25" customHeight="1">
      <c r="A3302" s="1" t="s">
        <v>6613</v>
      </c>
      <c r="B3302" s="1">
        <v>111.0</v>
      </c>
      <c r="C3302" s="1">
        <v>3.1968347E7</v>
      </c>
      <c r="D3302" s="1" t="s">
        <v>92</v>
      </c>
      <c r="E3302" s="1" t="s">
        <v>301</v>
      </c>
      <c r="F3302" s="1" t="s">
        <v>6614</v>
      </c>
      <c r="G3302" s="1">
        <v>93894.0</v>
      </c>
      <c r="H3302" s="1">
        <v>286.0</v>
      </c>
      <c r="I3302" s="1" t="s">
        <v>16</v>
      </c>
      <c r="J3302" s="1">
        <v>3600000.0</v>
      </c>
      <c r="K3302" s="1">
        <v>1995.0</v>
      </c>
      <c r="L3302" s="1">
        <v>7.6</v>
      </c>
      <c r="O3302" s="3"/>
      <c r="S3302" s="4"/>
    </row>
    <row r="3303" ht="14.25" customHeight="1">
      <c r="A3303" s="1" t="s">
        <v>214</v>
      </c>
      <c r="B3303" s="1">
        <v>91.0</v>
      </c>
      <c r="C3303" s="1">
        <v>3.538556E7</v>
      </c>
      <c r="D3303" s="1" t="s">
        <v>362</v>
      </c>
      <c r="E3303" s="1" t="s">
        <v>3099</v>
      </c>
      <c r="F3303" s="1" t="s">
        <v>6615</v>
      </c>
      <c r="G3303" s="1">
        <v>27198.0</v>
      </c>
      <c r="H3303" s="1">
        <v>131.0</v>
      </c>
      <c r="I3303" s="1" t="s">
        <v>16</v>
      </c>
      <c r="J3303" s="1">
        <v>4000000.0</v>
      </c>
      <c r="K3303" s="1">
        <v>2015.0</v>
      </c>
      <c r="L3303" s="1">
        <v>4.6</v>
      </c>
      <c r="O3303" s="3"/>
      <c r="S3303" s="4"/>
    </row>
    <row r="3304" ht="14.25" customHeight="1">
      <c r="A3304" s="1" t="s">
        <v>6616</v>
      </c>
      <c r="B3304" s="1">
        <v>106.0</v>
      </c>
      <c r="C3304" s="1">
        <v>2.0803237E7</v>
      </c>
      <c r="D3304" s="1" t="s">
        <v>1059</v>
      </c>
      <c r="E3304" s="1" t="s">
        <v>753</v>
      </c>
      <c r="F3304" s="1" t="s">
        <v>6617</v>
      </c>
      <c r="G3304" s="1">
        <v>110616.0</v>
      </c>
      <c r="H3304" s="1">
        <v>291.0</v>
      </c>
      <c r="I3304" s="1" t="s">
        <v>16</v>
      </c>
      <c r="J3304" s="1">
        <v>3500000.0</v>
      </c>
      <c r="K3304" s="1">
        <v>2010.0</v>
      </c>
      <c r="L3304" s="1">
        <v>7.1</v>
      </c>
      <c r="O3304" s="3"/>
      <c r="S3304" s="4"/>
    </row>
    <row r="3305" ht="14.25" customHeight="1">
      <c r="A3305" s="1" t="s">
        <v>2158</v>
      </c>
      <c r="B3305" s="1">
        <v>93.0</v>
      </c>
      <c r="C3305" s="1">
        <v>1.3008928E7</v>
      </c>
      <c r="D3305" s="1" t="s">
        <v>1764</v>
      </c>
      <c r="E3305" s="1" t="s">
        <v>6618</v>
      </c>
      <c r="F3305" s="1" t="s">
        <v>6619</v>
      </c>
      <c r="G3305" s="1">
        <v>73501.0</v>
      </c>
      <c r="H3305" s="1">
        <v>333.0</v>
      </c>
      <c r="I3305" s="1" t="s">
        <v>16</v>
      </c>
      <c r="J3305" s="1">
        <v>4000000.0</v>
      </c>
      <c r="K3305" s="1">
        <v>1988.0</v>
      </c>
      <c r="L3305" s="1">
        <v>7.3</v>
      </c>
      <c r="O3305" s="3"/>
      <c r="S3305" s="4"/>
    </row>
    <row r="3306" ht="14.25" customHeight="1">
      <c r="A3306" s="1" t="s">
        <v>6620</v>
      </c>
      <c r="B3306" s="1">
        <v>93.0</v>
      </c>
      <c r="C3306" s="1">
        <v>1.5152879E7</v>
      </c>
      <c r="D3306" s="1" t="s">
        <v>1790</v>
      </c>
      <c r="E3306" s="1" t="s">
        <v>2147</v>
      </c>
      <c r="F3306" s="1" t="s">
        <v>6621</v>
      </c>
      <c r="G3306" s="1">
        <v>13506.0</v>
      </c>
      <c r="H3306" s="1">
        <v>68.0</v>
      </c>
      <c r="I3306" s="1" t="s">
        <v>16</v>
      </c>
      <c r="J3306" s="1">
        <v>5000000.0</v>
      </c>
      <c r="K3306" s="1">
        <v>2013.0</v>
      </c>
      <c r="L3306" s="1">
        <v>4.0</v>
      </c>
      <c r="O3306" s="3"/>
      <c r="S3306" s="4"/>
    </row>
    <row r="3307" ht="14.25" customHeight="1">
      <c r="A3307" s="1" t="s">
        <v>3582</v>
      </c>
      <c r="B3307" s="1">
        <v>165.0</v>
      </c>
      <c r="C3307" s="1">
        <v>2.53592E7</v>
      </c>
      <c r="D3307" s="1" t="s">
        <v>1391</v>
      </c>
      <c r="E3307" s="1" t="s">
        <v>6622</v>
      </c>
      <c r="F3307" s="1" t="s">
        <v>6623</v>
      </c>
      <c r="G3307" s="1">
        <v>266020.0</v>
      </c>
      <c r="H3307" s="1">
        <v>836.0</v>
      </c>
      <c r="I3307" s="1" t="s">
        <v>16</v>
      </c>
      <c r="J3307" s="1">
        <v>4000000.0</v>
      </c>
      <c r="K3307" s="1">
        <v>2014.0</v>
      </c>
      <c r="L3307" s="1">
        <v>8.0</v>
      </c>
      <c r="O3307" s="3"/>
      <c r="S3307" s="4"/>
    </row>
    <row r="3308" ht="14.25" customHeight="1">
      <c r="A3308" s="1" t="s">
        <v>3268</v>
      </c>
      <c r="B3308" s="1">
        <v>96.0</v>
      </c>
      <c r="C3308" s="1">
        <v>1.0515579E7</v>
      </c>
      <c r="D3308" s="1" t="s">
        <v>4782</v>
      </c>
      <c r="E3308" s="1" t="s">
        <v>237</v>
      </c>
      <c r="F3308" s="1" t="s">
        <v>6624</v>
      </c>
      <c r="G3308" s="1">
        <v>66840.0</v>
      </c>
      <c r="H3308" s="1">
        <v>248.0</v>
      </c>
      <c r="I3308" s="1" t="s">
        <v>16</v>
      </c>
      <c r="J3308" s="1">
        <v>4000000.0</v>
      </c>
      <c r="K3308" s="1">
        <v>2006.0</v>
      </c>
      <c r="L3308" s="1">
        <v>6.7</v>
      </c>
      <c r="O3308" s="3"/>
      <c r="S3308" s="4"/>
    </row>
    <row r="3309" ht="14.25" customHeight="1">
      <c r="A3309" s="1" t="s">
        <v>111</v>
      </c>
      <c r="B3309" s="1">
        <v>119.0</v>
      </c>
      <c r="C3309" s="1">
        <v>1.8001174E8</v>
      </c>
      <c r="D3309" s="1" t="s">
        <v>99</v>
      </c>
      <c r="E3309" s="1" t="s">
        <v>710</v>
      </c>
      <c r="F3309" s="1" t="s">
        <v>711</v>
      </c>
      <c r="G3309" s="1">
        <v>177729.0</v>
      </c>
      <c r="H3309" s="1">
        <v>1368.0</v>
      </c>
      <c r="I3309" s="1" t="s">
        <v>16</v>
      </c>
      <c r="J3309" s="1">
        <v>1.0E8</v>
      </c>
      <c r="K3309" s="1">
        <v>2001.0</v>
      </c>
      <c r="L3309" s="1">
        <v>5.7</v>
      </c>
      <c r="O3309" s="3"/>
      <c r="S3309" s="4"/>
    </row>
    <row r="3310" ht="14.25" customHeight="1">
      <c r="A3310" s="1" t="s">
        <v>6625</v>
      </c>
      <c r="B3310" s="1">
        <v>93.0</v>
      </c>
      <c r="C3310" s="1">
        <v>1.0097096E7</v>
      </c>
      <c r="D3310" s="1" t="s">
        <v>828</v>
      </c>
      <c r="E3310" s="1" t="s">
        <v>6626</v>
      </c>
      <c r="F3310" s="1" t="s">
        <v>6627</v>
      </c>
      <c r="G3310" s="1">
        <v>5612.0</v>
      </c>
      <c r="H3310" s="1">
        <v>38.0</v>
      </c>
      <c r="I3310" s="1" t="s">
        <v>16</v>
      </c>
      <c r="J3310" s="1">
        <v>4000000.0</v>
      </c>
      <c r="K3310" s="1">
        <v>2001.0</v>
      </c>
      <c r="L3310" s="1">
        <v>4.6</v>
      </c>
      <c r="O3310" s="3"/>
      <c r="S3310" s="4"/>
    </row>
    <row r="3311" ht="14.25" customHeight="1">
      <c r="A3311" s="1" t="s">
        <v>6625</v>
      </c>
      <c r="B3311" s="1">
        <v>82.0</v>
      </c>
      <c r="C3311" s="1">
        <v>9821335.0</v>
      </c>
      <c r="D3311" s="1" t="s">
        <v>828</v>
      </c>
      <c r="E3311" s="1" t="s">
        <v>2803</v>
      </c>
      <c r="F3311" s="1" t="s">
        <v>6628</v>
      </c>
      <c r="G3311" s="1">
        <v>1415.0</v>
      </c>
      <c r="H3311" s="1">
        <v>10.0</v>
      </c>
      <c r="I3311" s="1" t="s">
        <v>16</v>
      </c>
      <c r="J3311" s="1">
        <v>6000000.0</v>
      </c>
      <c r="K3311" s="1">
        <v>2000.0</v>
      </c>
      <c r="L3311" s="1">
        <v>4.0</v>
      </c>
      <c r="O3311" s="3"/>
      <c r="S3311" s="4"/>
    </row>
    <row r="3312" ht="14.25" customHeight="1">
      <c r="A3312" s="1" t="s">
        <v>4703</v>
      </c>
      <c r="B3312" s="1">
        <v>101.0</v>
      </c>
      <c r="C3312" s="1">
        <v>8243880.0</v>
      </c>
      <c r="D3312" s="1" t="s">
        <v>6629</v>
      </c>
      <c r="E3312" s="1" t="s">
        <v>1657</v>
      </c>
      <c r="F3312" s="1" t="s">
        <v>6630</v>
      </c>
      <c r="G3312" s="1">
        <v>28714.0</v>
      </c>
      <c r="H3312" s="1">
        <v>215.0</v>
      </c>
      <c r="I3312" s="1" t="s">
        <v>16</v>
      </c>
      <c r="J3312" s="1">
        <v>3200000.0</v>
      </c>
      <c r="K3312" s="1">
        <v>2003.0</v>
      </c>
      <c r="L3312" s="1">
        <v>7.0</v>
      </c>
      <c r="O3312" s="3"/>
      <c r="S3312" s="4"/>
    </row>
    <row r="3313" ht="14.25" customHeight="1">
      <c r="A3313" s="1" t="s">
        <v>6631</v>
      </c>
      <c r="B3313" s="1">
        <v>81.0</v>
      </c>
      <c r="C3313" s="1">
        <v>7825820.0</v>
      </c>
      <c r="D3313" s="1" t="s">
        <v>938</v>
      </c>
      <c r="E3313" s="1" t="s">
        <v>346</v>
      </c>
      <c r="F3313" s="1" t="s">
        <v>6632</v>
      </c>
      <c r="G3313" s="1">
        <v>13086.0</v>
      </c>
      <c r="H3313" s="1">
        <v>156.0</v>
      </c>
      <c r="I3313" s="1" t="s">
        <v>16</v>
      </c>
      <c r="J3313" s="1">
        <v>4000000.0</v>
      </c>
      <c r="K3313" s="1">
        <v>2006.0</v>
      </c>
      <c r="L3313" s="1">
        <v>5.9</v>
      </c>
      <c r="O3313" s="3"/>
      <c r="S3313" s="4"/>
    </row>
    <row r="3314" ht="14.25" customHeight="1">
      <c r="A3314" s="1" t="s">
        <v>2682</v>
      </c>
      <c r="B3314" s="1">
        <v>105.0</v>
      </c>
      <c r="C3314" s="1">
        <v>7159147.0</v>
      </c>
      <c r="D3314" s="1" t="s">
        <v>806</v>
      </c>
      <c r="E3314" s="1" t="s">
        <v>6633</v>
      </c>
      <c r="F3314" s="1" t="s">
        <v>6634</v>
      </c>
      <c r="G3314" s="1">
        <v>120189.0</v>
      </c>
      <c r="H3314" s="1">
        <v>308.0</v>
      </c>
      <c r="I3314" s="1" t="s">
        <v>1144</v>
      </c>
      <c r="J3314" s="1">
        <v>3400000.0</v>
      </c>
      <c r="K3314" s="1">
        <v>2007.0</v>
      </c>
      <c r="L3314" s="1">
        <v>7.5</v>
      </c>
      <c r="O3314" s="3"/>
      <c r="S3314" s="4"/>
    </row>
    <row r="3315" ht="14.25" customHeight="1">
      <c r="A3315" s="1" t="s">
        <v>6465</v>
      </c>
      <c r="B3315" s="1">
        <v>86.0</v>
      </c>
      <c r="C3315" s="1">
        <v>1.7314483E7</v>
      </c>
      <c r="D3315" s="1" t="s">
        <v>1148</v>
      </c>
      <c r="E3315" s="1" t="s">
        <v>6635</v>
      </c>
      <c r="F3315" s="1" t="s">
        <v>6636</v>
      </c>
      <c r="G3315" s="1">
        <v>14621.0</v>
      </c>
      <c r="H3315" s="1">
        <v>48.0</v>
      </c>
      <c r="I3315" s="1" t="s">
        <v>16</v>
      </c>
      <c r="J3315" s="1">
        <v>4000000.0</v>
      </c>
      <c r="K3315" s="1">
        <v>2014.0</v>
      </c>
      <c r="L3315" s="1">
        <v>4.7</v>
      </c>
      <c r="O3315" s="3"/>
      <c r="S3315" s="4"/>
    </row>
    <row r="3316" ht="14.25" customHeight="1">
      <c r="A3316" s="1" t="s">
        <v>6637</v>
      </c>
      <c r="B3316" s="1">
        <v>110.0</v>
      </c>
      <c r="C3316" s="1">
        <v>6525762.0</v>
      </c>
      <c r="D3316" s="1" t="s">
        <v>593</v>
      </c>
      <c r="E3316" s="1" t="s">
        <v>4118</v>
      </c>
      <c r="F3316" s="1" t="s">
        <v>6638</v>
      </c>
      <c r="G3316" s="1">
        <v>44339.0</v>
      </c>
      <c r="H3316" s="1">
        <v>425.0</v>
      </c>
      <c r="I3316" s="1" t="s">
        <v>16</v>
      </c>
      <c r="J3316" s="1">
        <v>4000000.0</v>
      </c>
      <c r="K3316" s="1">
        <v>2002.0</v>
      </c>
      <c r="L3316" s="1">
        <v>6.7</v>
      </c>
      <c r="O3316" s="3"/>
      <c r="S3316" s="4"/>
    </row>
    <row r="3317" ht="14.25" customHeight="1">
      <c r="A3317" s="1" t="s">
        <v>6639</v>
      </c>
      <c r="B3317" s="1">
        <v>110.0</v>
      </c>
      <c r="C3317" s="1">
        <v>4301331.0</v>
      </c>
      <c r="D3317" s="1" t="s">
        <v>1148</v>
      </c>
      <c r="E3317" s="1" t="s">
        <v>500</v>
      </c>
      <c r="F3317" s="1" t="s">
        <v>6640</v>
      </c>
      <c r="G3317" s="1">
        <v>78241.0</v>
      </c>
      <c r="H3317" s="1">
        <v>177.0</v>
      </c>
      <c r="I3317" s="1" t="s">
        <v>16</v>
      </c>
      <c r="J3317" s="1">
        <v>4000000.0</v>
      </c>
      <c r="K3317" s="1">
        <v>1995.0</v>
      </c>
      <c r="L3317" s="1">
        <v>6.7</v>
      </c>
      <c r="O3317" s="3"/>
      <c r="S3317" s="4"/>
    </row>
    <row r="3318" ht="14.25" customHeight="1">
      <c r="A3318" s="1" t="s">
        <v>4723</v>
      </c>
      <c r="B3318" s="1">
        <v>104.0</v>
      </c>
      <c r="C3318" s="1">
        <v>4046737.0</v>
      </c>
      <c r="D3318" s="1" t="s">
        <v>593</v>
      </c>
      <c r="E3318" s="1" t="s">
        <v>5433</v>
      </c>
      <c r="F3318" s="1" t="s">
        <v>6641</v>
      </c>
      <c r="G3318" s="1">
        <v>67949.0</v>
      </c>
      <c r="H3318" s="1">
        <v>390.0</v>
      </c>
      <c r="I3318" s="1" t="s">
        <v>16</v>
      </c>
      <c r="J3318" s="1">
        <v>4000000.0</v>
      </c>
      <c r="K3318" s="1">
        <v>2002.0</v>
      </c>
      <c r="L3318" s="1">
        <v>7.1</v>
      </c>
      <c r="O3318" s="3"/>
      <c r="S3318" s="4"/>
    </row>
    <row r="3319" ht="14.25" customHeight="1">
      <c r="A3319" s="1" t="s">
        <v>6642</v>
      </c>
      <c r="B3319" s="1">
        <v>96.0</v>
      </c>
      <c r="C3319" s="1">
        <v>3713002.0</v>
      </c>
      <c r="D3319" s="1" t="s">
        <v>3521</v>
      </c>
      <c r="E3319" s="1" t="s">
        <v>3822</v>
      </c>
      <c r="F3319" s="1" t="s">
        <v>6643</v>
      </c>
      <c r="G3319" s="1">
        <v>3611.0</v>
      </c>
      <c r="H3319" s="1">
        <v>62.0</v>
      </c>
      <c r="I3319" s="1" t="s">
        <v>16</v>
      </c>
      <c r="J3319" s="1">
        <v>8000000.0</v>
      </c>
      <c r="K3319" s="1">
        <v>2003.0</v>
      </c>
      <c r="L3319" s="1">
        <v>2.7</v>
      </c>
      <c r="O3319" s="3"/>
      <c r="S3319" s="4"/>
    </row>
    <row r="3320" ht="14.25" customHeight="1">
      <c r="A3320" s="1" t="s">
        <v>324</v>
      </c>
      <c r="B3320" s="1">
        <v>110.0</v>
      </c>
      <c r="C3320" s="1">
        <v>3468572.0</v>
      </c>
      <c r="D3320" s="1" t="s">
        <v>1391</v>
      </c>
      <c r="E3320" s="1" t="s">
        <v>2615</v>
      </c>
      <c r="F3320" s="1" t="s">
        <v>6644</v>
      </c>
      <c r="G3320" s="1">
        <v>10073.0</v>
      </c>
      <c r="H3320" s="1">
        <v>78.0</v>
      </c>
      <c r="I3320" s="1" t="s">
        <v>16</v>
      </c>
      <c r="J3320" s="1">
        <v>4000000.0</v>
      </c>
      <c r="K3320" s="1">
        <v>1988.0</v>
      </c>
      <c r="L3320" s="1">
        <v>7.3</v>
      </c>
      <c r="O3320" s="3"/>
      <c r="S3320" s="4"/>
    </row>
    <row r="3321" ht="14.25" customHeight="1">
      <c r="A3321" s="1" t="s">
        <v>5416</v>
      </c>
      <c r="B3321" s="1">
        <v>84.0</v>
      </c>
      <c r="C3321" s="1">
        <v>2892582.0</v>
      </c>
      <c r="D3321" s="1" t="s">
        <v>828</v>
      </c>
      <c r="E3321" s="1" t="s">
        <v>750</v>
      </c>
      <c r="F3321" s="1" t="s">
        <v>6645</v>
      </c>
      <c r="G3321" s="1">
        <v>22697.0</v>
      </c>
      <c r="H3321" s="1">
        <v>202.0</v>
      </c>
      <c r="I3321" s="1" t="s">
        <v>16</v>
      </c>
      <c r="J3321" s="1">
        <v>4000000.0</v>
      </c>
      <c r="K3321" s="1">
        <v>1996.0</v>
      </c>
      <c r="L3321" s="1">
        <v>7.6</v>
      </c>
      <c r="O3321" s="3"/>
      <c r="S3321" s="4"/>
    </row>
    <row r="3322" ht="14.25" customHeight="1">
      <c r="A3322" s="1" t="s">
        <v>6646</v>
      </c>
      <c r="B3322" s="1">
        <v>94.0</v>
      </c>
      <c r="C3322" s="1">
        <v>2800000.0</v>
      </c>
      <c r="D3322" s="1" t="s">
        <v>828</v>
      </c>
      <c r="E3322" s="1" t="s">
        <v>1680</v>
      </c>
      <c r="F3322" s="1" t="s">
        <v>6647</v>
      </c>
      <c r="G3322" s="1">
        <v>4377.0</v>
      </c>
      <c r="H3322" s="1">
        <v>85.0</v>
      </c>
      <c r="I3322" s="1" t="s">
        <v>16</v>
      </c>
      <c r="J3322" s="1">
        <v>4000000.0</v>
      </c>
      <c r="K3322" s="1">
        <v>1999.0</v>
      </c>
      <c r="L3322" s="1">
        <v>5.8</v>
      </c>
      <c r="O3322" s="3"/>
      <c r="S3322" s="4"/>
    </row>
    <row r="3323" ht="14.25" customHeight="1">
      <c r="A3323" s="1" t="s">
        <v>1803</v>
      </c>
      <c r="B3323" s="1">
        <v>93.0</v>
      </c>
      <c r="C3323" s="1">
        <v>2426851.0</v>
      </c>
      <c r="D3323" s="1" t="s">
        <v>1725</v>
      </c>
      <c r="E3323" s="1" t="s">
        <v>3519</v>
      </c>
      <c r="F3323" s="1" t="s">
        <v>6648</v>
      </c>
      <c r="G3323" s="1">
        <v>16224.0</v>
      </c>
      <c r="H3323" s="1">
        <v>76.0</v>
      </c>
      <c r="I3323" s="1" t="s">
        <v>16</v>
      </c>
      <c r="J3323" s="1">
        <v>4000000.0</v>
      </c>
      <c r="K3323" s="1">
        <v>2007.0</v>
      </c>
      <c r="L3323" s="1">
        <v>6.5</v>
      </c>
      <c r="O3323" s="3"/>
      <c r="S3323" s="4"/>
    </row>
    <row r="3324" ht="14.25" customHeight="1">
      <c r="A3324" s="1" t="s">
        <v>6649</v>
      </c>
      <c r="B3324" s="1">
        <v>96.0</v>
      </c>
      <c r="C3324" s="1">
        <v>1325073.0</v>
      </c>
      <c r="D3324" s="1" t="s">
        <v>1059</v>
      </c>
      <c r="E3324" s="1" t="s">
        <v>371</v>
      </c>
      <c r="F3324" s="1" t="s">
        <v>6650</v>
      </c>
      <c r="G3324" s="1">
        <v>18762.0</v>
      </c>
      <c r="H3324" s="1">
        <v>91.0</v>
      </c>
      <c r="I3324" s="1" t="s">
        <v>16</v>
      </c>
      <c r="J3324" s="1">
        <v>4000000.0</v>
      </c>
      <c r="K3324" s="1">
        <v>2005.0</v>
      </c>
      <c r="L3324" s="1">
        <v>6.6</v>
      </c>
      <c r="O3324" s="3"/>
      <c r="S3324" s="4"/>
    </row>
    <row r="3325" ht="14.25" customHeight="1">
      <c r="A3325" s="1" t="s">
        <v>6651</v>
      </c>
      <c r="B3325" s="1">
        <v>101.0</v>
      </c>
      <c r="C3325" s="1">
        <v>864959.0</v>
      </c>
      <c r="D3325" s="1" t="s">
        <v>74</v>
      </c>
      <c r="E3325" s="1" t="s">
        <v>6652</v>
      </c>
      <c r="F3325" s="1" t="s">
        <v>6653</v>
      </c>
      <c r="G3325" s="1">
        <v>20275.0</v>
      </c>
      <c r="H3325" s="1">
        <v>151.0</v>
      </c>
      <c r="I3325" s="1" t="s">
        <v>16</v>
      </c>
      <c r="J3325" s="1">
        <v>4000000.0</v>
      </c>
      <c r="K3325" s="1">
        <v>2005.0</v>
      </c>
      <c r="L3325" s="1">
        <v>6.9</v>
      </c>
      <c r="O3325" s="3"/>
      <c r="S3325" s="4"/>
    </row>
    <row r="3326" ht="14.25" customHeight="1">
      <c r="A3326" s="1" t="s">
        <v>6654</v>
      </c>
      <c r="B3326" s="1">
        <v>87.0</v>
      </c>
      <c r="C3326" s="1">
        <v>800000.0</v>
      </c>
      <c r="D3326" s="1" t="s">
        <v>74</v>
      </c>
      <c r="E3326" s="1" t="s">
        <v>6310</v>
      </c>
      <c r="F3326" s="1" t="s">
        <v>6655</v>
      </c>
      <c r="G3326" s="1">
        <v>2308.0</v>
      </c>
      <c r="H3326" s="1">
        <v>35.0</v>
      </c>
      <c r="I3326" s="1" t="s">
        <v>16</v>
      </c>
      <c r="J3326" s="1">
        <v>4000000.0</v>
      </c>
      <c r="K3326" s="1">
        <v>1987.0</v>
      </c>
      <c r="L3326" s="1">
        <v>4.8</v>
      </c>
      <c r="O3326" s="3"/>
      <c r="S3326" s="4"/>
    </row>
    <row r="3327" ht="14.25" customHeight="1">
      <c r="A3327" s="1" t="s">
        <v>6656</v>
      </c>
      <c r="B3327" s="1">
        <v>99.0</v>
      </c>
      <c r="C3327" s="1">
        <v>562059.0</v>
      </c>
      <c r="D3327" s="1" t="s">
        <v>1654</v>
      </c>
      <c r="E3327" s="1" t="s">
        <v>689</v>
      </c>
      <c r="F3327" s="1" t="s">
        <v>6657</v>
      </c>
      <c r="G3327" s="1">
        <v>8535.0</v>
      </c>
      <c r="H3327" s="1">
        <v>113.0</v>
      </c>
      <c r="I3327" s="1" t="s">
        <v>16</v>
      </c>
      <c r="J3327" s="1">
        <v>4000000.0</v>
      </c>
      <c r="K3327" s="1">
        <v>2002.0</v>
      </c>
      <c r="L3327" s="1">
        <v>7.0</v>
      </c>
      <c r="O3327" s="3"/>
      <c r="S3327" s="4"/>
    </row>
    <row r="3328" ht="14.25" customHeight="1">
      <c r="A3328" s="1" t="s">
        <v>6613</v>
      </c>
      <c r="B3328" s="1">
        <v>106.0</v>
      </c>
      <c r="C3328" s="1">
        <v>399793.0</v>
      </c>
      <c r="D3328" s="1" t="s">
        <v>1391</v>
      </c>
      <c r="E3328" s="1" t="s">
        <v>172</v>
      </c>
      <c r="F3328" s="1" t="s">
        <v>6658</v>
      </c>
      <c r="G3328" s="1">
        <v>2877.0</v>
      </c>
      <c r="H3328" s="1">
        <v>70.0</v>
      </c>
      <c r="I3328" s="1" t="s">
        <v>16</v>
      </c>
      <c r="J3328" s="1">
        <v>4000000.0</v>
      </c>
      <c r="K3328" s="1">
        <v>1999.0</v>
      </c>
      <c r="L3328" s="1">
        <v>5.4</v>
      </c>
      <c r="O3328" s="3"/>
      <c r="S3328" s="4"/>
    </row>
    <row r="3329" ht="14.25" customHeight="1">
      <c r="A3329" s="1" t="s">
        <v>2176</v>
      </c>
      <c r="B3329" s="1">
        <v>117.0</v>
      </c>
      <c r="C3329" s="1">
        <v>371897.0</v>
      </c>
      <c r="D3329" s="1" t="s">
        <v>1391</v>
      </c>
      <c r="E3329" s="1" t="s">
        <v>301</v>
      </c>
      <c r="F3329" s="1" t="s">
        <v>6659</v>
      </c>
      <c r="G3329" s="1">
        <v>36494.0</v>
      </c>
      <c r="H3329" s="1">
        <v>118.0</v>
      </c>
      <c r="I3329" s="1" t="s">
        <v>16</v>
      </c>
      <c r="J3329" s="1">
        <v>4000000.0</v>
      </c>
      <c r="K3329" s="1">
        <v>2013.0</v>
      </c>
      <c r="L3329" s="1">
        <v>6.9</v>
      </c>
      <c r="O3329" s="3"/>
      <c r="S3329" s="4"/>
    </row>
    <row r="3330" ht="14.25" customHeight="1">
      <c r="A3330" s="1" t="s">
        <v>6660</v>
      </c>
      <c r="B3330" s="1">
        <v>99.0</v>
      </c>
      <c r="C3330" s="1">
        <v>302204.0</v>
      </c>
      <c r="D3330" s="1" t="s">
        <v>1737</v>
      </c>
      <c r="E3330" s="1" t="s">
        <v>6661</v>
      </c>
      <c r="F3330" s="1" t="s">
        <v>6662</v>
      </c>
      <c r="G3330" s="1">
        <v>6705.0</v>
      </c>
      <c r="H3330" s="1">
        <v>53.0</v>
      </c>
      <c r="I3330" s="1" t="s">
        <v>16</v>
      </c>
      <c r="J3330" s="1">
        <v>3000000.0</v>
      </c>
      <c r="K3330" s="1">
        <v>1997.0</v>
      </c>
      <c r="L3330" s="1">
        <v>6.6</v>
      </c>
      <c r="O3330" s="3"/>
      <c r="S3330" s="4"/>
    </row>
    <row r="3331" ht="14.25" customHeight="1">
      <c r="A3331" s="1" t="s">
        <v>875</v>
      </c>
      <c r="B3331" s="1">
        <v>102.0</v>
      </c>
      <c r="C3331" s="1">
        <v>354704.0</v>
      </c>
      <c r="D3331" s="1" t="s">
        <v>2646</v>
      </c>
      <c r="E3331" s="1" t="s">
        <v>2098</v>
      </c>
      <c r="F3331" s="1" t="s">
        <v>6663</v>
      </c>
      <c r="G3331" s="1">
        <v>2705.0</v>
      </c>
      <c r="H3331" s="1">
        <v>38.0</v>
      </c>
      <c r="I3331" s="1" t="s">
        <v>16</v>
      </c>
      <c r="J3331" s="1">
        <v>1300000.0</v>
      </c>
      <c r="K3331" s="1">
        <v>1987.0</v>
      </c>
      <c r="L3331" s="1">
        <v>5.9</v>
      </c>
      <c r="O3331" s="3"/>
      <c r="S3331" s="4"/>
    </row>
    <row r="3332" ht="14.25" customHeight="1">
      <c r="A3332" s="1" t="s">
        <v>6664</v>
      </c>
      <c r="B3332" s="1">
        <v>85.0</v>
      </c>
      <c r="C3332" s="1">
        <v>265107.0</v>
      </c>
      <c r="D3332" s="1" t="s">
        <v>6665</v>
      </c>
      <c r="E3332" s="1" t="s">
        <v>6666</v>
      </c>
      <c r="F3332" s="1" t="s">
        <v>6667</v>
      </c>
      <c r="G3332" s="1">
        <v>4617.0</v>
      </c>
      <c r="H3332" s="1">
        <v>93.0</v>
      </c>
      <c r="I3332" s="1" t="s">
        <v>16</v>
      </c>
      <c r="J3332" s="1">
        <v>1500000.0</v>
      </c>
      <c r="K3332" s="1">
        <v>2000.0</v>
      </c>
      <c r="L3332" s="1">
        <v>6.3</v>
      </c>
      <c r="O3332" s="3"/>
      <c r="S3332" s="4"/>
    </row>
    <row r="3333" ht="14.25" customHeight="1">
      <c r="A3333" s="1" t="s">
        <v>3630</v>
      </c>
      <c r="B3333" s="1">
        <v>86.0</v>
      </c>
      <c r="C3333" s="1">
        <v>185577.0</v>
      </c>
      <c r="D3333" s="1" t="s">
        <v>828</v>
      </c>
      <c r="E3333" s="1" t="s">
        <v>3340</v>
      </c>
      <c r="F3333" s="1" t="s">
        <v>6668</v>
      </c>
      <c r="G3333" s="1">
        <v>2133.0</v>
      </c>
      <c r="H3333" s="1">
        <v>31.0</v>
      </c>
      <c r="I3333" s="1" t="s">
        <v>16</v>
      </c>
      <c r="J3333" s="1">
        <v>4000000.0</v>
      </c>
      <c r="K3333" s="1">
        <v>1999.0</v>
      </c>
      <c r="L3333" s="1">
        <v>6.3</v>
      </c>
      <c r="O3333" s="3"/>
      <c r="S3333" s="4"/>
    </row>
    <row r="3334" ht="14.25" customHeight="1">
      <c r="A3334" s="1" t="s">
        <v>6669</v>
      </c>
      <c r="B3334" s="1">
        <v>120.0</v>
      </c>
      <c r="C3334" s="1">
        <v>100412.0</v>
      </c>
      <c r="D3334" s="1" t="s">
        <v>1391</v>
      </c>
      <c r="E3334" s="1" t="s">
        <v>6670</v>
      </c>
      <c r="F3334" s="1" t="s">
        <v>6671</v>
      </c>
      <c r="G3334" s="1">
        <v>2112.0</v>
      </c>
      <c r="H3334" s="1">
        <v>7.0</v>
      </c>
      <c r="I3334" s="1" t="s">
        <v>4449</v>
      </c>
      <c r="J3334" s="1">
        <v>4000000.0</v>
      </c>
      <c r="K3334" s="1">
        <v>2013.0</v>
      </c>
      <c r="L3334" s="1">
        <v>7.7</v>
      </c>
      <c r="O3334" s="3"/>
      <c r="S3334" s="4"/>
    </row>
    <row r="3335" ht="14.25" customHeight="1">
      <c r="A3335" s="1" t="s">
        <v>6672</v>
      </c>
      <c r="B3335" s="1">
        <v>106.0</v>
      </c>
      <c r="C3335" s="1">
        <v>58214.0</v>
      </c>
      <c r="D3335" s="1" t="s">
        <v>901</v>
      </c>
      <c r="E3335" s="1" t="s">
        <v>6673</v>
      </c>
      <c r="F3335" s="1" t="s">
        <v>6674</v>
      </c>
      <c r="G3335" s="1">
        <v>34224.0</v>
      </c>
      <c r="H3335" s="1">
        <v>137.0</v>
      </c>
      <c r="I3335" s="1" t="s">
        <v>16</v>
      </c>
      <c r="J3335" s="1">
        <v>9500000.0</v>
      </c>
      <c r="K3335" s="1">
        <v>2010.0</v>
      </c>
      <c r="L3335" s="1">
        <v>7.0</v>
      </c>
      <c r="O3335" s="3"/>
      <c r="S3335" s="4"/>
    </row>
    <row r="3336" ht="14.25" customHeight="1">
      <c r="A3336" s="1" t="s">
        <v>1274</v>
      </c>
      <c r="B3336" s="1">
        <v>103.0</v>
      </c>
      <c r="C3336" s="1">
        <v>75078.0</v>
      </c>
      <c r="D3336" s="1" t="s">
        <v>828</v>
      </c>
      <c r="E3336" s="1" t="s">
        <v>6675</v>
      </c>
      <c r="F3336" s="1" t="s">
        <v>6676</v>
      </c>
      <c r="G3336" s="1">
        <v>1398.0</v>
      </c>
      <c r="H3336" s="1">
        <v>26.0</v>
      </c>
      <c r="I3336" s="1" t="s">
        <v>16</v>
      </c>
      <c r="J3336" s="1">
        <v>1.4E7</v>
      </c>
      <c r="K3336" s="1">
        <v>2000.0</v>
      </c>
      <c r="L3336" s="1">
        <v>6.3</v>
      </c>
      <c r="O3336" s="3"/>
      <c r="S3336" s="4"/>
    </row>
    <row r="3337" ht="14.25" customHeight="1">
      <c r="A3337" s="1" t="s">
        <v>5215</v>
      </c>
      <c r="B3337" s="1">
        <v>93.0</v>
      </c>
      <c r="C3337" s="1">
        <v>64359.0</v>
      </c>
      <c r="D3337" s="1" t="s">
        <v>699</v>
      </c>
      <c r="E3337" s="1" t="s">
        <v>6677</v>
      </c>
      <c r="F3337" s="1" t="s">
        <v>6678</v>
      </c>
      <c r="G3337" s="1">
        <v>811.0</v>
      </c>
      <c r="H3337" s="1">
        <v>26.0</v>
      </c>
      <c r="I3337" s="1" t="s">
        <v>16</v>
      </c>
      <c r="J3337" s="1">
        <v>2500000.0</v>
      </c>
      <c r="K3337" s="1">
        <v>1998.0</v>
      </c>
      <c r="L3337" s="1">
        <v>5.9</v>
      </c>
      <c r="O3337" s="3"/>
      <c r="S3337" s="4"/>
    </row>
    <row r="3338" ht="14.25" customHeight="1">
      <c r="A3338" s="1" t="s">
        <v>3991</v>
      </c>
      <c r="B3338" s="1">
        <v>112.0</v>
      </c>
      <c r="C3338" s="1">
        <v>317125.0</v>
      </c>
      <c r="D3338" s="1" t="s">
        <v>92</v>
      </c>
      <c r="E3338" s="1" t="s">
        <v>188</v>
      </c>
      <c r="F3338" s="1" t="s">
        <v>6679</v>
      </c>
      <c r="G3338" s="1">
        <v>23334.0</v>
      </c>
      <c r="H3338" s="1">
        <v>87.0</v>
      </c>
      <c r="I3338" s="1" t="s">
        <v>16</v>
      </c>
      <c r="J3338" s="1">
        <v>1.6E7</v>
      </c>
      <c r="K3338" s="1">
        <v>2013.0</v>
      </c>
      <c r="L3338" s="1">
        <v>6.2</v>
      </c>
      <c r="O3338" s="3"/>
      <c r="S3338" s="4"/>
    </row>
    <row r="3339" ht="14.25" customHeight="1">
      <c r="A3339" s="1" t="s">
        <v>6680</v>
      </c>
      <c r="B3339" s="1">
        <v>113.0</v>
      </c>
      <c r="C3339" s="1">
        <v>146402.0</v>
      </c>
      <c r="D3339" s="1" t="s">
        <v>1059</v>
      </c>
      <c r="E3339" s="1" t="s">
        <v>6681</v>
      </c>
      <c r="F3339" s="1" t="s">
        <v>6682</v>
      </c>
      <c r="G3339" s="1">
        <v>9913.0</v>
      </c>
      <c r="H3339" s="1">
        <v>38.0</v>
      </c>
      <c r="I3339" s="1" t="s">
        <v>1144</v>
      </c>
      <c r="J3339" s="1">
        <v>4000000.0</v>
      </c>
      <c r="K3339" s="1">
        <v>2002.0</v>
      </c>
      <c r="L3339" s="1">
        <v>7.7</v>
      </c>
      <c r="O3339" s="3"/>
      <c r="S3339" s="4"/>
    </row>
    <row r="3340" ht="14.25" customHeight="1">
      <c r="A3340" s="1" t="s">
        <v>6683</v>
      </c>
      <c r="B3340" s="1">
        <v>98.0</v>
      </c>
      <c r="C3340" s="1">
        <v>18469.0</v>
      </c>
      <c r="D3340" s="1" t="s">
        <v>333</v>
      </c>
      <c r="E3340" s="1" t="s">
        <v>6684</v>
      </c>
      <c r="F3340" s="1" t="s">
        <v>6685</v>
      </c>
      <c r="G3340" s="1">
        <v>34263.0</v>
      </c>
      <c r="H3340" s="1">
        <v>141.0</v>
      </c>
      <c r="I3340" s="1" t="s">
        <v>16</v>
      </c>
      <c r="J3340" s="1">
        <v>650000.0</v>
      </c>
      <c r="K3340" s="1">
        <v>2010.0</v>
      </c>
      <c r="L3340" s="1">
        <v>6.5</v>
      </c>
      <c r="O3340" s="3"/>
      <c r="S3340" s="4"/>
    </row>
    <row r="3341" ht="14.25" customHeight="1">
      <c r="A3341" s="1" t="s">
        <v>2680</v>
      </c>
      <c r="B3341" s="1">
        <v>92.0</v>
      </c>
      <c r="C3341" s="1">
        <v>12836.0</v>
      </c>
      <c r="D3341" s="1" t="s">
        <v>646</v>
      </c>
      <c r="E3341" s="1" t="s">
        <v>252</v>
      </c>
      <c r="F3341" s="1" t="s">
        <v>6686</v>
      </c>
      <c r="G3341" s="1">
        <v>1686.0</v>
      </c>
      <c r="H3341" s="1">
        <v>28.0</v>
      </c>
      <c r="I3341" s="1" t="s">
        <v>16</v>
      </c>
      <c r="J3341" s="1">
        <v>4000000.0</v>
      </c>
      <c r="K3341" s="1">
        <v>1997.0</v>
      </c>
      <c r="L3341" s="1">
        <v>5.8</v>
      </c>
      <c r="O3341" s="3"/>
      <c r="S3341" s="4"/>
    </row>
    <row r="3342" ht="14.25" customHeight="1">
      <c r="A3342" s="1" t="s">
        <v>6687</v>
      </c>
      <c r="B3342" s="1">
        <v>106.0</v>
      </c>
      <c r="C3342" s="1">
        <v>20262.0</v>
      </c>
      <c r="D3342" s="1" t="s">
        <v>1391</v>
      </c>
      <c r="E3342" s="1" t="s">
        <v>6180</v>
      </c>
      <c r="F3342" s="1" t="s">
        <v>6688</v>
      </c>
      <c r="G3342" s="1">
        <v>1738.0</v>
      </c>
      <c r="H3342" s="1">
        <v>10.0</v>
      </c>
      <c r="I3342" s="1" t="s">
        <v>6182</v>
      </c>
      <c r="J3342" s="1">
        <v>4000000.0</v>
      </c>
      <c r="K3342" s="1">
        <v>2014.0</v>
      </c>
      <c r="L3342" s="1">
        <v>6.1</v>
      </c>
      <c r="O3342" s="3"/>
      <c r="S3342" s="4"/>
    </row>
    <row r="3343" ht="14.25" customHeight="1">
      <c r="A3343" s="1" t="s">
        <v>6689</v>
      </c>
      <c r="B3343" s="1">
        <v>93.0</v>
      </c>
      <c r="C3343" s="1">
        <v>4063.0</v>
      </c>
      <c r="D3343" s="1" t="s">
        <v>1339</v>
      </c>
      <c r="E3343" s="1" t="s">
        <v>6690</v>
      </c>
      <c r="F3343" s="1" t="s">
        <v>6691</v>
      </c>
      <c r="G3343" s="1">
        <v>2086.0</v>
      </c>
      <c r="H3343" s="1">
        <v>20.0</v>
      </c>
      <c r="I3343" s="1" t="s">
        <v>16</v>
      </c>
      <c r="J3343" s="1">
        <v>4000000.0</v>
      </c>
      <c r="K3343" s="1">
        <v>2012.0</v>
      </c>
      <c r="L3343" s="1">
        <v>5.2</v>
      </c>
      <c r="O3343" s="3"/>
      <c r="S3343" s="4"/>
    </row>
    <row r="3344" ht="14.25" customHeight="1">
      <c r="A3344" s="1" t="s">
        <v>6692</v>
      </c>
      <c r="B3344" s="1">
        <v>226.0</v>
      </c>
      <c r="C3344" s="1">
        <v>1.98655278E8</v>
      </c>
      <c r="D3344" s="1" t="s">
        <v>814</v>
      </c>
      <c r="E3344" s="1" t="s">
        <v>6693</v>
      </c>
      <c r="F3344" s="1" t="s">
        <v>6694</v>
      </c>
      <c r="G3344" s="1">
        <v>215340.0</v>
      </c>
      <c r="H3344" s="1">
        <v>706.0</v>
      </c>
      <c r="I3344" s="1" t="s">
        <v>16</v>
      </c>
      <c r="J3344" s="1">
        <v>3977000.0</v>
      </c>
      <c r="K3344" s="1">
        <v>1939.0</v>
      </c>
      <c r="L3344" s="1">
        <v>8.2</v>
      </c>
      <c r="O3344" s="3"/>
      <c r="S3344" s="4"/>
    </row>
    <row r="3345" ht="14.25" customHeight="1">
      <c r="A3345" s="1" t="s">
        <v>6695</v>
      </c>
      <c r="B3345" s="1">
        <v>104.0</v>
      </c>
      <c r="C3345" s="1">
        <v>143653.0</v>
      </c>
      <c r="D3345" s="1" t="s">
        <v>646</v>
      </c>
      <c r="E3345" s="1" t="s">
        <v>6696</v>
      </c>
      <c r="F3345" s="1" t="s">
        <v>6697</v>
      </c>
      <c r="G3345" s="1">
        <v>1177.0</v>
      </c>
      <c r="H3345" s="1">
        <v>10.0</v>
      </c>
      <c r="I3345" s="1" t="s">
        <v>16</v>
      </c>
      <c r="J3345" s="1">
        <v>4000000.0</v>
      </c>
      <c r="K3345" s="1">
        <v>2014.0</v>
      </c>
      <c r="L3345" s="1">
        <v>6.0</v>
      </c>
      <c r="O3345" s="3"/>
      <c r="S3345" s="4"/>
    </row>
    <row r="3346" ht="14.25" customHeight="1">
      <c r="A3346" s="1" t="s">
        <v>6698</v>
      </c>
      <c r="B3346" s="1">
        <v>152.0</v>
      </c>
      <c r="C3346" s="1">
        <v>14873.0</v>
      </c>
      <c r="D3346" s="1" t="s">
        <v>6699</v>
      </c>
      <c r="E3346" s="1" t="s">
        <v>3124</v>
      </c>
      <c r="F3346" s="1" t="s">
        <v>6700</v>
      </c>
      <c r="G3346" s="1">
        <v>5294.0</v>
      </c>
      <c r="H3346" s="1">
        <v>67.0</v>
      </c>
      <c r="I3346" s="1" t="s">
        <v>16</v>
      </c>
      <c r="J3346" s="1">
        <v>3800000.0</v>
      </c>
      <c r="K3346" s="1">
        <v>1965.0</v>
      </c>
      <c r="L3346" s="1">
        <v>6.8</v>
      </c>
      <c r="O3346" s="3"/>
      <c r="S3346" s="4"/>
    </row>
    <row r="3347" ht="14.25" customHeight="1">
      <c r="A3347" s="1" t="s">
        <v>6701</v>
      </c>
      <c r="B3347" s="1">
        <v>107.0</v>
      </c>
      <c r="C3347" s="1">
        <v>8000000.0</v>
      </c>
      <c r="D3347" s="1" t="s">
        <v>6702</v>
      </c>
      <c r="E3347" s="1" t="s">
        <v>6703</v>
      </c>
      <c r="F3347" s="1" t="s">
        <v>6704</v>
      </c>
      <c r="G3347" s="1">
        <v>3167.0</v>
      </c>
      <c r="H3347" s="1">
        <v>90.0</v>
      </c>
      <c r="I3347" s="1" t="s">
        <v>16</v>
      </c>
      <c r="J3347" s="1">
        <v>3768785.0</v>
      </c>
      <c r="K3347" s="1">
        <v>1950.0</v>
      </c>
      <c r="L3347" s="1">
        <v>7.0</v>
      </c>
      <c r="O3347" s="3"/>
      <c r="S3347" s="4"/>
    </row>
    <row r="3348" ht="14.25" customHeight="1">
      <c r="A3348" s="1" t="s">
        <v>6705</v>
      </c>
      <c r="B3348" s="1">
        <v>95.0</v>
      </c>
      <c r="C3348" s="1">
        <v>37606.0</v>
      </c>
      <c r="D3348" s="1" t="s">
        <v>3596</v>
      </c>
      <c r="E3348" s="1" t="s">
        <v>1560</v>
      </c>
      <c r="F3348" s="1" t="s">
        <v>6706</v>
      </c>
      <c r="G3348" s="1">
        <v>31836.0</v>
      </c>
      <c r="H3348" s="1">
        <v>90.0</v>
      </c>
      <c r="I3348" s="1" t="s">
        <v>16</v>
      </c>
      <c r="J3348" s="1">
        <v>3500000.0</v>
      </c>
      <c r="K3348" s="1">
        <v>2009.0</v>
      </c>
      <c r="L3348" s="1">
        <v>6.8</v>
      </c>
      <c r="O3348" s="3"/>
      <c r="S3348" s="4"/>
    </row>
    <row r="3349" ht="14.25" customHeight="1">
      <c r="A3349" s="1" t="s">
        <v>6707</v>
      </c>
      <c r="B3349" s="1">
        <v>102.0</v>
      </c>
      <c r="C3349" s="1">
        <v>2956000.0</v>
      </c>
      <c r="D3349" s="1" t="s">
        <v>6708</v>
      </c>
      <c r="E3349" s="1" t="s">
        <v>6709</v>
      </c>
      <c r="F3349" s="1" t="s">
        <v>6710</v>
      </c>
      <c r="G3349" s="1">
        <v>3258.0</v>
      </c>
      <c r="H3349" s="1">
        <v>54.0</v>
      </c>
      <c r="I3349" s="1" t="s">
        <v>16</v>
      </c>
      <c r="J3349" s="1">
        <v>3700000.0</v>
      </c>
      <c r="K3349" s="1">
        <v>1948.0</v>
      </c>
      <c r="L3349" s="1">
        <v>7.1</v>
      </c>
      <c r="O3349" s="3"/>
      <c r="S3349" s="4"/>
    </row>
    <row r="3350" ht="14.25" customHeight="1">
      <c r="A3350" s="1" t="s">
        <v>6711</v>
      </c>
      <c r="B3350" s="1">
        <v>99.0</v>
      </c>
      <c r="C3350" s="1">
        <v>19959.0</v>
      </c>
      <c r="D3350" s="1" t="s">
        <v>1391</v>
      </c>
      <c r="E3350" s="1" t="s">
        <v>6712</v>
      </c>
      <c r="F3350" s="1" t="s">
        <v>6713</v>
      </c>
      <c r="G3350" s="1">
        <v>3579.0</v>
      </c>
      <c r="H3350" s="1">
        <v>14.0</v>
      </c>
      <c r="I3350" s="1" t="s">
        <v>16</v>
      </c>
      <c r="J3350" s="1">
        <v>3800000.0</v>
      </c>
      <c r="K3350" s="1">
        <v>2009.0</v>
      </c>
      <c r="L3350" s="1">
        <v>6.9</v>
      </c>
      <c r="O3350" s="3"/>
      <c r="S3350" s="4"/>
    </row>
    <row r="3351" ht="14.25" customHeight="1">
      <c r="A3351" s="1" t="s">
        <v>4568</v>
      </c>
      <c r="B3351" s="1">
        <v>109.0</v>
      </c>
      <c r="C3351" s="1">
        <v>2706659.0</v>
      </c>
      <c r="D3351" s="1" t="s">
        <v>1059</v>
      </c>
      <c r="E3351" s="1" t="s">
        <v>312</v>
      </c>
      <c r="F3351" s="1" t="s">
        <v>6714</v>
      </c>
      <c r="G3351" s="1">
        <v>17770.0</v>
      </c>
      <c r="H3351" s="1">
        <v>172.0</v>
      </c>
      <c r="I3351" s="1" t="s">
        <v>16</v>
      </c>
      <c r="J3351" s="1">
        <v>2000000.0</v>
      </c>
      <c r="K3351" s="1">
        <v>2006.0</v>
      </c>
      <c r="L3351" s="1">
        <v>6.9</v>
      </c>
      <c r="O3351" s="3"/>
      <c r="S3351" s="4"/>
    </row>
    <row r="3352" ht="14.25" customHeight="1">
      <c r="A3352" s="1" t="s">
        <v>2066</v>
      </c>
      <c r="B3352" s="1">
        <v>113.0</v>
      </c>
      <c r="C3352" s="1">
        <v>6.1094903E7</v>
      </c>
      <c r="D3352" s="1" t="s">
        <v>485</v>
      </c>
      <c r="E3352" s="1" t="s">
        <v>100</v>
      </c>
      <c r="F3352" s="1" t="s">
        <v>2566</v>
      </c>
      <c r="G3352" s="1">
        <v>210548.0</v>
      </c>
      <c r="H3352" s="1">
        <v>332.0</v>
      </c>
      <c r="I3352" s="1" t="s">
        <v>16</v>
      </c>
      <c r="J3352" s="1">
        <v>3.0E7</v>
      </c>
      <c r="K3352" s="1">
        <v>2011.0</v>
      </c>
      <c r="L3352" s="1">
        <v>6.9</v>
      </c>
      <c r="O3352" s="3"/>
      <c r="S3352" s="4"/>
    </row>
    <row r="3353" ht="14.25" customHeight="1">
      <c r="A3353" s="1" t="s">
        <v>5013</v>
      </c>
      <c r="B3353" s="1">
        <v>91.0</v>
      </c>
      <c r="C3353" s="1">
        <v>4.5857453E7</v>
      </c>
      <c r="D3353" s="1" t="s">
        <v>3479</v>
      </c>
      <c r="E3353" s="1" t="s">
        <v>1907</v>
      </c>
      <c r="F3353" s="1" t="s">
        <v>6715</v>
      </c>
      <c r="G3353" s="1">
        <v>82232.0</v>
      </c>
      <c r="H3353" s="1">
        <v>174.0</v>
      </c>
      <c r="I3353" s="1" t="s">
        <v>16</v>
      </c>
      <c r="J3353" s="1">
        <v>3500000.0</v>
      </c>
      <c r="K3353" s="1">
        <v>1997.0</v>
      </c>
      <c r="L3353" s="1">
        <v>7.2</v>
      </c>
      <c r="O3353" s="3"/>
      <c r="S3353" s="4"/>
    </row>
    <row r="3354" ht="14.25" customHeight="1">
      <c r="A3354" s="1" t="s">
        <v>6716</v>
      </c>
      <c r="B3354" s="1">
        <v>88.0</v>
      </c>
      <c r="C3354" s="1">
        <v>8.34E7</v>
      </c>
      <c r="D3354" s="1" t="s">
        <v>828</v>
      </c>
      <c r="E3354" s="1" t="s">
        <v>6717</v>
      </c>
      <c r="F3354" s="1" t="s">
        <v>6718</v>
      </c>
      <c r="G3354" s="1">
        <v>160281.0</v>
      </c>
      <c r="H3354" s="1">
        <v>427.0</v>
      </c>
      <c r="I3354" s="1" t="s">
        <v>16</v>
      </c>
      <c r="J3354" s="1">
        <v>3500000.0</v>
      </c>
      <c r="K3354" s="1">
        <v>1980.0</v>
      </c>
      <c r="L3354" s="1">
        <v>7.8</v>
      </c>
      <c r="O3354" s="3"/>
      <c r="S3354" s="4"/>
    </row>
    <row r="3355" ht="14.25" customHeight="1">
      <c r="A3355" s="1" t="s">
        <v>1258</v>
      </c>
      <c r="B3355" s="1">
        <v>97.0</v>
      </c>
      <c r="C3355" s="1">
        <v>2.79E7</v>
      </c>
      <c r="D3355" s="1" t="s">
        <v>1059</v>
      </c>
      <c r="E3355" s="1" t="s">
        <v>3090</v>
      </c>
      <c r="F3355" s="1" t="s">
        <v>6719</v>
      </c>
      <c r="G3355" s="1">
        <v>74626.0</v>
      </c>
      <c r="H3355" s="1">
        <v>157.0</v>
      </c>
      <c r="I3355" s="1" t="s">
        <v>16</v>
      </c>
      <c r="J3355" s="1">
        <v>3500000.0</v>
      </c>
      <c r="K3355" s="1">
        <v>1995.0</v>
      </c>
      <c r="L3355" s="1">
        <v>7.3</v>
      </c>
      <c r="O3355" s="3"/>
      <c r="S3355" s="4"/>
    </row>
    <row r="3356" ht="14.25" customHeight="1">
      <c r="A3356" s="1" t="s">
        <v>1098</v>
      </c>
      <c r="B3356" s="1">
        <v>97.0</v>
      </c>
      <c r="C3356" s="1">
        <v>2.79E7</v>
      </c>
      <c r="D3356" s="1" t="s">
        <v>901</v>
      </c>
      <c r="E3356" s="1" t="s">
        <v>406</v>
      </c>
      <c r="F3356" s="1" t="s">
        <v>6720</v>
      </c>
      <c r="G3356" s="1">
        <v>39508.0</v>
      </c>
      <c r="H3356" s="1">
        <v>96.0</v>
      </c>
      <c r="I3356" s="1" t="s">
        <v>16</v>
      </c>
      <c r="J3356" s="1">
        <v>3500000.0</v>
      </c>
      <c r="K3356" s="1">
        <v>1993.0</v>
      </c>
      <c r="L3356" s="1">
        <v>7.5</v>
      </c>
      <c r="O3356" s="3"/>
      <c r="S3356" s="4"/>
    </row>
    <row r="3357" ht="14.25" customHeight="1">
      <c r="A3357" s="1" t="s">
        <v>6721</v>
      </c>
      <c r="B3357" s="1">
        <v>85.0</v>
      </c>
      <c r="C3357" s="1">
        <v>1.4E7</v>
      </c>
      <c r="D3357" s="1" t="s">
        <v>3194</v>
      </c>
      <c r="E3357" s="1" t="s">
        <v>3171</v>
      </c>
      <c r="F3357" s="1" t="s">
        <v>6722</v>
      </c>
      <c r="G3357" s="1">
        <v>15956.0</v>
      </c>
      <c r="H3357" s="1">
        <v>118.0</v>
      </c>
      <c r="I3357" s="1" t="s">
        <v>16</v>
      </c>
      <c r="J3357" s="1">
        <v>3500000.0</v>
      </c>
      <c r="K3357" s="1">
        <v>1987.0</v>
      </c>
      <c r="L3357" s="1">
        <v>6.0</v>
      </c>
      <c r="O3357" s="3"/>
      <c r="S3357" s="4"/>
    </row>
    <row r="3358" ht="14.25" customHeight="1">
      <c r="A3358" s="1" t="s">
        <v>6723</v>
      </c>
      <c r="B3358" s="1">
        <v>92.0</v>
      </c>
      <c r="C3358" s="1">
        <v>2.5138292E7</v>
      </c>
      <c r="D3358" s="1" t="s">
        <v>2512</v>
      </c>
      <c r="E3358" s="1" t="s">
        <v>6603</v>
      </c>
      <c r="F3358" s="1" t="s">
        <v>6724</v>
      </c>
      <c r="G3358" s="1">
        <v>66483.0</v>
      </c>
      <c r="H3358" s="1">
        <v>452.0</v>
      </c>
      <c r="I3358" s="1" t="s">
        <v>16</v>
      </c>
      <c r="J3358" s="1">
        <v>3500000.0</v>
      </c>
      <c r="K3358" s="1">
        <v>2015.0</v>
      </c>
      <c r="L3358" s="1">
        <v>6.8</v>
      </c>
      <c r="O3358" s="3"/>
      <c r="S3358" s="4"/>
    </row>
    <row r="3359" ht="14.25" customHeight="1">
      <c r="A3359" s="1" t="s">
        <v>6725</v>
      </c>
      <c r="B3359" s="1">
        <v>93.0</v>
      </c>
      <c r="C3359" s="1">
        <v>1.0305534E7</v>
      </c>
      <c r="D3359" s="1" t="s">
        <v>828</v>
      </c>
      <c r="E3359" s="1" t="s">
        <v>6726</v>
      </c>
      <c r="F3359" s="1" t="s">
        <v>6727</v>
      </c>
      <c r="G3359" s="1">
        <v>1721.0</v>
      </c>
      <c r="H3359" s="1">
        <v>38.0</v>
      </c>
      <c r="I3359" s="1" t="s">
        <v>16</v>
      </c>
      <c r="J3359" s="1">
        <v>3500000.0</v>
      </c>
      <c r="K3359" s="1">
        <v>1998.0</v>
      </c>
      <c r="L3359" s="1">
        <v>3.9</v>
      </c>
      <c r="O3359" s="3"/>
      <c r="S3359" s="4"/>
    </row>
    <row r="3360" ht="14.25" customHeight="1">
      <c r="A3360" s="1" t="s">
        <v>6728</v>
      </c>
      <c r="B3360" s="1">
        <v>96.0</v>
      </c>
      <c r="C3360" s="1">
        <v>9449219.0</v>
      </c>
      <c r="D3360" s="1" t="s">
        <v>593</v>
      </c>
      <c r="E3360" s="1" t="s">
        <v>6729</v>
      </c>
      <c r="F3360" s="1" t="s">
        <v>6730</v>
      </c>
      <c r="G3360" s="1">
        <v>13949.0</v>
      </c>
      <c r="H3360" s="1">
        <v>98.0</v>
      </c>
      <c r="I3360" s="1" t="s">
        <v>16</v>
      </c>
      <c r="J3360" s="1">
        <v>3500000.0</v>
      </c>
      <c r="K3360" s="1">
        <v>1996.0</v>
      </c>
      <c r="L3360" s="1">
        <v>6.1</v>
      </c>
      <c r="O3360" s="3"/>
      <c r="S3360" s="4"/>
    </row>
    <row r="3361" ht="14.25" customHeight="1">
      <c r="A3361" s="1" t="s">
        <v>467</v>
      </c>
      <c r="B3361" s="1">
        <v>105.0</v>
      </c>
      <c r="C3361" s="1">
        <v>6390032.0</v>
      </c>
      <c r="D3361" s="1" t="s">
        <v>646</v>
      </c>
      <c r="E3361" s="1" t="s">
        <v>1168</v>
      </c>
      <c r="F3361" s="1" t="s">
        <v>6731</v>
      </c>
      <c r="G3361" s="1">
        <v>24977.0</v>
      </c>
      <c r="H3361" s="1">
        <v>229.0</v>
      </c>
      <c r="I3361" s="1" t="s">
        <v>16</v>
      </c>
      <c r="J3361" s="1">
        <v>3500000.0</v>
      </c>
      <c r="K3361" s="1">
        <v>1998.0</v>
      </c>
      <c r="L3361" s="1">
        <v>7.5</v>
      </c>
      <c r="O3361" s="3"/>
      <c r="S3361" s="4"/>
    </row>
    <row r="3362" ht="14.25" customHeight="1">
      <c r="A3362" s="1" t="s">
        <v>6732</v>
      </c>
      <c r="B3362" s="1">
        <v>129.0</v>
      </c>
      <c r="C3362" s="1">
        <v>2.0167424E7</v>
      </c>
      <c r="D3362" s="1" t="s">
        <v>806</v>
      </c>
      <c r="E3362" s="1" t="s">
        <v>6733</v>
      </c>
      <c r="F3362" s="1" t="s">
        <v>6734</v>
      </c>
      <c r="G3362" s="1">
        <v>131831.0</v>
      </c>
      <c r="H3362" s="1">
        <v>231.0</v>
      </c>
      <c r="I3362" s="1" t="s">
        <v>1144</v>
      </c>
      <c r="J3362" s="1">
        <v>2000000.0</v>
      </c>
      <c r="K3362" s="1">
        <v>2009.0</v>
      </c>
      <c r="L3362" s="1">
        <v>8.2</v>
      </c>
      <c r="O3362" s="3"/>
      <c r="S3362" s="4"/>
    </row>
    <row r="3363" ht="14.25" customHeight="1">
      <c r="A3363" s="1" t="s">
        <v>33</v>
      </c>
      <c r="B3363" s="1">
        <v>37.0</v>
      </c>
      <c r="C3363" s="1">
        <v>5923044.0</v>
      </c>
      <c r="D3363" s="1" t="s">
        <v>3194</v>
      </c>
      <c r="E3363" s="1" t="s">
        <v>6735</v>
      </c>
      <c r="F3363" s="1" t="s">
        <v>6736</v>
      </c>
      <c r="G3363" s="1">
        <v>113451.0</v>
      </c>
      <c r="H3363" s="1">
        <v>537.0</v>
      </c>
      <c r="I3363" s="1" t="s">
        <v>16</v>
      </c>
      <c r="J3363" s="1">
        <v>3600000.0</v>
      </c>
      <c r="K3363" s="1">
        <v>1987.0</v>
      </c>
      <c r="L3363" s="1">
        <v>7.8</v>
      </c>
      <c r="O3363" s="3"/>
      <c r="S3363" s="4"/>
    </row>
    <row r="3364" ht="14.25" customHeight="1">
      <c r="A3364" s="1" t="s">
        <v>6737</v>
      </c>
      <c r="B3364" s="1">
        <v>81.0</v>
      </c>
      <c r="C3364" s="1">
        <v>3293258.0</v>
      </c>
      <c r="D3364" s="1" t="s">
        <v>6738</v>
      </c>
      <c r="E3364" s="1" t="s">
        <v>6739</v>
      </c>
      <c r="F3364" s="1" t="s">
        <v>6740</v>
      </c>
      <c r="G3364" s="1">
        <v>11399.0</v>
      </c>
      <c r="H3364" s="1">
        <v>131.0</v>
      </c>
      <c r="I3364" s="1" t="s">
        <v>16</v>
      </c>
      <c r="J3364" s="1">
        <v>3000000.0</v>
      </c>
      <c r="K3364" s="1">
        <v>2001.0</v>
      </c>
      <c r="L3364" s="1">
        <v>5.2</v>
      </c>
      <c r="O3364" s="3"/>
      <c r="S3364" s="4"/>
    </row>
    <row r="3365" ht="14.25" customHeight="1">
      <c r="A3365" s="1" t="s">
        <v>6741</v>
      </c>
      <c r="B3365" s="1">
        <v>106.0</v>
      </c>
      <c r="C3365" s="1">
        <v>886410.0</v>
      </c>
      <c r="D3365" s="1" t="s">
        <v>2596</v>
      </c>
      <c r="E3365" s="1" t="s">
        <v>6742</v>
      </c>
      <c r="F3365" s="1" t="s">
        <v>6743</v>
      </c>
      <c r="G3365" s="1">
        <v>1024.0</v>
      </c>
      <c r="H3365" s="1">
        <v>494.0</v>
      </c>
      <c r="I3365" s="1" t="s">
        <v>1144</v>
      </c>
      <c r="J3365" s="1">
        <v>3500000.0</v>
      </c>
      <c r="K3365" s="1">
        <v>1998.0</v>
      </c>
      <c r="L3365" s="1">
        <v>6.8</v>
      </c>
      <c r="O3365" s="3"/>
      <c r="S3365" s="4"/>
    </row>
    <row r="3366" ht="14.25" customHeight="1">
      <c r="A3366" s="1" t="s">
        <v>6744</v>
      </c>
      <c r="B3366" s="1">
        <v>103.0</v>
      </c>
      <c r="C3366" s="1">
        <v>252652.0</v>
      </c>
      <c r="D3366" s="1" t="s">
        <v>6745</v>
      </c>
      <c r="E3366" s="1" t="s">
        <v>6746</v>
      </c>
      <c r="F3366" s="1" t="s">
        <v>6747</v>
      </c>
      <c r="G3366" s="1">
        <v>54104.0</v>
      </c>
      <c r="H3366" s="1">
        <v>199.0</v>
      </c>
      <c r="I3366" s="1" t="s">
        <v>6375</v>
      </c>
      <c r="J3366" s="1">
        <v>1.99E7</v>
      </c>
      <c r="K3366" s="1">
        <v>2010.0</v>
      </c>
      <c r="L3366" s="1">
        <v>7.0</v>
      </c>
      <c r="O3366" s="3"/>
      <c r="S3366" s="4"/>
    </row>
    <row r="3367" ht="14.25" customHeight="1">
      <c r="A3367" s="1" t="s">
        <v>6748</v>
      </c>
      <c r="B3367" s="1">
        <v>101.0</v>
      </c>
      <c r="C3367" s="1">
        <v>220234.0</v>
      </c>
      <c r="D3367" s="1" t="s">
        <v>699</v>
      </c>
      <c r="E3367" s="1" t="s">
        <v>777</v>
      </c>
      <c r="F3367" s="1" t="s">
        <v>6749</v>
      </c>
      <c r="G3367" s="1">
        <v>1950.0</v>
      </c>
      <c r="H3367" s="1">
        <v>24.0</v>
      </c>
      <c r="I3367" s="1" t="s">
        <v>16</v>
      </c>
      <c r="J3367" s="1">
        <v>3500000.0</v>
      </c>
      <c r="K3367" s="1">
        <v>2006.0</v>
      </c>
      <c r="L3367" s="1">
        <v>6.5</v>
      </c>
      <c r="O3367" s="3"/>
      <c r="S3367" s="4"/>
    </row>
    <row r="3368" ht="14.25" customHeight="1">
      <c r="A3368" s="1" t="s">
        <v>1912</v>
      </c>
      <c r="B3368" s="1">
        <v>102.0</v>
      </c>
      <c r="C3368" s="1">
        <v>3.4350553E7</v>
      </c>
      <c r="D3368" s="1" t="s">
        <v>797</v>
      </c>
      <c r="E3368" s="1" t="s">
        <v>890</v>
      </c>
      <c r="F3368" s="1" t="s">
        <v>1913</v>
      </c>
      <c r="G3368" s="1">
        <v>104072.0</v>
      </c>
      <c r="H3368" s="1">
        <v>207.0</v>
      </c>
      <c r="I3368" s="1" t="s">
        <v>16</v>
      </c>
      <c r="J3368" s="1">
        <v>6.8E7</v>
      </c>
      <c r="K3368" s="1">
        <v>2012.0</v>
      </c>
      <c r="L3368" s="1">
        <v>5.7</v>
      </c>
      <c r="O3368" s="3"/>
      <c r="S3368" s="4"/>
    </row>
    <row r="3369" ht="14.25" customHeight="1">
      <c r="A3369" s="1" t="s">
        <v>6750</v>
      </c>
      <c r="B3369" s="1">
        <v>98.0</v>
      </c>
      <c r="C3369" s="1">
        <v>101228.0</v>
      </c>
      <c r="D3369" s="1" t="s">
        <v>1059</v>
      </c>
      <c r="E3369" s="1" t="s">
        <v>1662</v>
      </c>
      <c r="F3369" s="1" t="s">
        <v>6751</v>
      </c>
      <c r="G3369" s="1">
        <v>7228.0</v>
      </c>
      <c r="H3369" s="1">
        <v>53.0</v>
      </c>
      <c r="I3369" s="1" t="s">
        <v>16</v>
      </c>
      <c r="J3369" s="1">
        <v>3500000.0</v>
      </c>
      <c r="K3369" s="1">
        <v>2005.0</v>
      </c>
      <c r="L3369" s="1">
        <v>6.4</v>
      </c>
      <c r="O3369" s="3"/>
      <c r="S3369" s="4"/>
    </row>
    <row r="3370" ht="14.25" customHeight="1">
      <c r="A3370" s="1" t="s">
        <v>2077</v>
      </c>
      <c r="B3370" s="1">
        <v>91.0</v>
      </c>
      <c r="C3370" s="1">
        <v>96793.0</v>
      </c>
      <c r="D3370" s="1" t="s">
        <v>597</v>
      </c>
      <c r="E3370" s="1" t="s">
        <v>4877</v>
      </c>
      <c r="F3370" s="1" t="s">
        <v>6752</v>
      </c>
      <c r="G3370" s="1">
        <v>12188.0</v>
      </c>
      <c r="H3370" s="1">
        <v>135.0</v>
      </c>
      <c r="I3370" s="1" t="s">
        <v>16</v>
      </c>
      <c r="J3370" s="1">
        <v>3500000.0</v>
      </c>
      <c r="K3370" s="1">
        <v>2004.0</v>
      </c>
      <c r="L3370" s="1">
        <v>5.3</v>
      </c>
      <c r="O3370" s="3"/>
      <c r="S3370" s="4"/>
    </row>
    <row r="3371" ht="14.25" customHeight="1">
      <c r="A3371" s="1" t="s">
        <v>6753</v>
      </c>
      <c r="B3371" s="1">
        <v>105.0</v>
      </c>
      <c r="C3371" s="1">
        <v>123777.0</v>
      </c>
      <c r="D3371" s="1" t="s">
        <v>6754</v>
      </c>
      <c r="E3371" s="1" t="s">
        <v>6755</v>
      </c>
      <c r="F3371" s="1" t="s">
        <v>6756</v>
      </c>
      <c r="G3371" s="1">
        <v>342.0</v>
      </c>
      <c r="H3371" s="1">
        <v>15.0</v>
      </c>
      <c r="I3371" s="1" t="s">
        <v>16</v>
      </c>
      <c r="J3371" s="1">
        <v>3500000.0</v>
      </c>
      <c r="K3371" s="1">
        <v>2016.0</v>
      </c>
      <c r="L3371" s="1">
        <v>4.7</v>
      </c>
      <c r="O3371" s="3"/>
      <c r="S3371" s="4"/>
    </row>
    <row r="3372" ht="14.25" customHeight="1">
      <c r="A3372" s="1" t="s">
        <v>6757</v>
      </c>
      <c r="B3372" s="1">
        <v>100.0</v>
      </c>
      <c r="C3372" s="1">
        <v>29233.0</v>
      </c>
      <c r="D3372" s="1" t="s">
        <v>3521</v>
      </c>
      <c r="E3372" s="1" t="s">
        <v>6758</v>
      </c>
      <c r="F3372" s="1" t="s">
        <v>6759</v>
      </c>
      <c r="G3372" s="1">
        <v>75.0</v>
      </c>
      <c r="H3372" s="1">
        <v>2.0</v>
      </c>
      <c r="I3372" s="1" t="s">
        <v>16</v>
      </c>
      <c r="J3372" s="1">
        <v>3500000.0</v>
      </c>
      <c r="K3372" s="1">
        <v>2015.0</v>
      </c>
      <c r="L3372" s="1">
        <v>7.0</v>
      </c>
      <c r="O3372" s="3"/>
      <c r="S3372" s="4"/>
    </row>
    <row r="3373" ht="14.25" customHeight="1">
      <c r="A3373" s="1" t="s">
        <v>6760</v>
      </c>
      <c r="B3373" s="1">
        <v>80.0</v>
      </c>
      <c r="C3373" s="1">
        <v>7.7413017E7</v>
      </c>
      <c r="D3373" s="1" t="s">
        <v>3521</v>
      </c>
      <c r="E3373" s="1" t="s">
        <v>600</v>
      </c>
      <c r="F3373" s="1" t="s">
        <v>6761</v>
      </c>
      <c r="G3373" s="1">
        <v>45984.0</v>
      </c>
      <c r="H3373" s="1">
        <v>331.0</v>
      </c>
      <c r="I3373" s="1" t="s">
        <v>1189</v>
      </c>
      <c r="J3373" s="1">
        <v>8000000.0</v>
      </c>
      <c r="K3373" s="1">
        <v>2005.0</v>
      </c>
      <c r="L3373" s="1">
        <v>7.6</v>
      </c>
      <c r="O3373" s="3"/>
      <c r="S3373" s="4"/>
    </row>
    <row r="3374" ht="14.25" customHeight="1">
      <c r="A3374" s="1" t="s">
        <v>4392</v>
      </c>
      <c r="B3374" s="1">
        <v>107.0</v>
      </c>
      <c r="C3374" s="1">
        <v>5354039.0</v>
      </c>
      <c r="D3374" s="1" t="s">
        <v>1464</v>
      </c>
      <c r="E3374" s="1" t="s">
        <v>52</v>
      </c>
      <c r="F3374" s="1" t="s">
        <v>6762</v>
      </c>
      <c r="G3374" s="1">
        <v>92599.0</v>
      </c>
      <c r="H3374" s="1">
        <v>225.0</v>
      </c>
      <c r="I3374" s="1" t="s">
        <v>16</v>
      </c>
      <c r="J3374" s="1">
        <v>3500000.0</v>
      </c>
      <c r="K3374" s="1">
        <v>2011.0</v>
      </c>
      <c r="L3374" s="1">
        <v>7.1</v>
      </c>
      <c r="O3374" s="3"/>
      <c r="S3374" s="4"/>
    </row>
    <row r="3375" ht="14.25" customHeight="1">
      <c r="A3375" s="1" t="s">
        <v>6763</v>
      </c>
      <c r="B3375" s="1">
        <v>92.0</v>
      </c>
      <c r="C3375" s="1">
        <v>2926565.0</v>
      </c>
      <c r="D3375" s="1" t="s">
        <v>1059</v>
      </c>
      <c r="E3375" s="1" t="s">
        <v>1617</v>
      </c>
      <c r="F3375" s="1" t="s">
        <v>6764</v>
      </c>
      <c r="G3375" s="1">
        <v>28573.0</v>
      </c>
      <c r="H3375" s="1">
        <v>72.0</v>
      </c>
      <c r="I3375" s="1" t="s">
        <v>16</v>
      </c>
      <c r="J3375" s="1">
        <v>3000000.0</v>
      </c>
      <c r="K3375" s="1">
        <v>2008.0</v>
      </c>
      <c r="L3375" s="1">
        <v>6.5</v>
      </c>
      <c r="O3375" s="3"/>
      <c r="S3375" s="4"/>
    </row>
    <row r="3376" ht="14.25" customHeight="1">
      <c r="A3376" s="1" t="s">
        <v>6765</v>
      </c>
      <c r="B3376" s="1">
        <v>107.0</v>
      </c>
      <c r="C3376" s="1">
        <v>1.3092E7</v>
      </c>
      <c r="D3376" s="1" t="s">
        <v>2466</v>
      </c>
      <c r="E3376" s="1" t="s">
        <v>35</v>
      </c>
      <c r="F3376" s="1" t="s">
        <v>6766</v>
      </c>
      <c r="G3376" s="1">
        <v>399138.0</v>
      </c>
      <c r="H3376" s="1">
        <v>731.0</v>
      </c>
      <c r="I3376" s="1" t="s">
        <v>16</v>
      </c>
      <c r="J3376" s="1">
        <v>3300000.0</v>
      </c>
      <c r="K3376" s="1">
        <v>2014.0</v>
      </c>
      <c r="L3376" s="1">
        <v>8.5</v>
      </c>
      <c r="O3376" s="3"/>
      <c r="S3376" s="4"/>
    </row>
    <row r="3377" ht="14.25" customHeight="1">
      <c r="A3377" s="1" t="s">
        <v>3655</v>
      </c>
      <c r="B3377" s="1">
        <v>135.0</v>
      </c>
      <c r="C3377" s="1">
        <v>7563397.0</v>
      </c>
      <c r="D3377" s="1" t="s">
        <v>811</v>
      </c>
      <c r="E3377" s="1" t="s">
        <v>3162</v>
      </c>
      <c r="F3377" s="1" t="s">
        <v>6767</v>
      </c>
      <c r="G3377" s="1">
        <v>533200.0</v>
      </c>
      <c r="H3377" s="1">
        <v>749.0</v>
      </c>
      <c r="I3377" s="1" t="s">
        <v>6182</v>
      </c>
      <c r="J3377" s="1">
        <v>3300000.0</v>
      </c>
      <c r="K3377" s="1">
        <v>2002.0</v>
      </c>
      <c r="L3377" s="1">
        <v>8.7</v>
      </c>
      <c r="O3377" s="3"/>
      <c r="S3377" s="4"/>
    </row>
    <row r="3378" ht="14.25" customHeight="1">
      <c r="A3378" s="1" t="s">
        <v>6768</v>
      </c>
      <c r="B3378" s="1">
        <v>99.0</v>
      </c>
      <c r="C3378" s="1">
        <v>104257.0</v>
      </c>
      <c r="D3378" s="1" t="s">
        <v>3022</v>
      </c>
      <c r="E3378" s="1" t="s">
        <v>5793</v>
      </c>
      <c r="F3378" s="1" t="s">
        <v>6769</v>
      </c>
      <c r="G3378" s="1">
        <v>19194.0</v>
      </c>
      <c r="H3378" s="1">
        <v>160.0</v>
      </c>
      <c r="I3378" s="1" t="s">
        <v>16</v>
      </c>
      <c r="J3378" s="1">
        <v>2200000.0</v>
      </c>
      <c r="K3378" s="1">
        <v>1999.0</v>
      </c>
      <c r="L3378" s="1">
        <v>7.1</v>
      </c>
      <c r="O3378" s="3"/>
      <c r="S3378" s="4"/>
    </row>
    <row r="3379" ht="14.25" customHeight="1">
      <c r="A3379" s="1" t="s">
        <v>6016</v>
      </c>
      <c r="B3379" s="1">
        <v>115.0</v>
      </c>
      <c r="C3379" s="1">
        <v>610968.0</v>
      </c>
      <c r="D3379" s="1" t="s">
        <v>1391</v>
      </c>
      <c r="E3379" s="1" t="s">
        <v>6770</v>
      </c>
      <c r="F3379" s="1" t="s">
        <v>6771</v>
      </c>
      <c r="G3379" s="1">
        <v>170155.0</v>
      </c>
      <c r="H3379" s="1">
        <v>249.0</v>
      </c>
      <c r="I3379" s="1" t="s">
        <v>5892</v>
      </c>
      <c r="J3379" s="1">
        <v>3800000.0</v>
      </c>
      <c r="K3379" s="1">
        <v>2012.0</v>
      </c>
      <c r="L3379" s="1">
        <v>8.3</v>
      </c>
      <c r="O3379" s="3"/>
      <c r="S3379" s="4"/>
    </row>
    <row r="3380" ht="14.25" customHeight="1">
      <c r="A3380" s="1" t="s">
        <v>4380</v>
      </c>
      <c r="B3380" s="1">
        <v>91.0</v>
      </c>
      <c r="C3380" s="1">
        <v>8108247.0</v>
      </c>
      <c r="D3380" s="1" t="s">
        <v>92</v>
      </c>
      <c r="E3380" s="1" t="s">
        <v>6772</v>
      </c>
      <c r="F3380" s="1" t="s">
        <v>6773</v>
      </c>
      <c r="G3380" s="1">
        <v>9607.0</v>
      </c>
      <c r="H3380" s="1">
        <v>174.0</v>
      </c>
      <c r="I3380" s="1" t="s">
        <v>16</v>
      </c>
      <c r="J3380" s="1">
        <v>3300000.0</v>
      </c>
      <c r="K3380" s="1">
        <v>2006.0</v>
      </c>
      <c r="L3380" s="1">
        <v>7.4</v>
      </c>
      <c r="O3380" s="3"/>
      <c r="S3380" s="4"/>
    </row>
    <row r="3381" ht="14.25" customHeight="1">
      <c r="A3381" s="1" t="s">
        <v>6774</v>
      </c>
      <c r="B3381" s="1">
        <v>92.0</v>
      </c>
      <c r="C3381" s="1">
        <v>7680.0</v>
      </c>
      <c r="D3381" s="1" t="s">
        <v>92</v>
      </c>
      <c r="E3381" s="1" t="s">
        <v>6055</v>
      </c>
      <c r="F3381" s="1" t="s">
        <v>6775</v>
      </c>
      <c r="G3381" s="1">
        <v>704.0</v>
      </c>
      <c r="H3381" s="1">
        <v>18.0</v>
      </c>
      <c r="I3381" s="1" t="s">
        <v>16</v>
      </c>
      <c r="J3381" s="1">
        <v>2000000.0</v>
      </c>
      <c r="K3381" s="1">
        <v>1999.0</v>
      </c>
      <c r="L3381" s="1">
        <v>6.4</v>
      </c>
      <c r="O3381" s="3"/>
      <c r="S3381" s="4"/>
    </row>
    <row r="3382" ht="14.25" customHeight="1">
      <c r="A3382" s="1" t="s">
        <v>6776</v>
      </c>
      <c r="B3382" s="1">
        <v>101.0</v>
      </c>
      <c r="C3382" s="1">
        <v>6517198.0</v>
      </c>
      <c r="D3382" s="1" t="s">
        <v>811</v>
      </c>
      <c r="E3382" s="1" t="s">
        <v>6777</v>
      </c>
      <c r="F3382" s="1" t="s">
        <v>6778</v>
      </c>
      <c r="G3382" s="1">
        <v>30474.0</v>
      </c>
      <c r="H3382" s="1">
        <v>172.0</v>
      </c>
      <c r="I3382" s="1" t="s">
        <v>1144</v>
      </c>
      <c r="J3382" s="1">
        <v>3000000.0</v>
      </c>
      <c r="K3382" s="1">
        <v>2004.0</v>
      </c>
      <c r="L3382" s="1">
        <v>7.5</v>
      </c>
      <c r="O3382" s="3"/>
      <c r="S3382" s="4"/>
    </row>
    <row r="3383" ht="14.25" customHeight="1">
      <c r="A3383" s="1" t="s">
        <v>6649</v>
      </c>
      <c r="B3383" s="1">
        <v>105.0</v>
      </c>
      <c r="C3383" s="1">
        <v>5776314.0</v>
      </c>
      <c r="D3383" s="1" t="s">
        <v>593</v>
      </c>
      <c r="E3383" s="1" t="s">
        <v>1483</v>
      </c>
      <c r="F3383" s="1" t="s">
        <v>6779</v>
      </c>
      <c r="G3383" s="1">
        <v>73349.0</v>
      </c>
      <c r="H3383" s="1">
        <v>142.0</v>
      </c>
      <c r="I3383" s="1" t="s">
        <v>16</v>
      </c>
      <c r="J3383" s="1">
        <v>3200000.0</v>
      </c>
      <c r="K3383" s="1">
        <v>2010.0</v>
      </c>
      <c r="L3383" s="1">
        <v>7.2</v>
      </c>
      <c r="O3383" s="3"/>
      <c r="S3383" s="4"/>
    </row>
    <row r="3384" ht="14.25" customHeight="1">
      <c r="A3384" s="1" t="s">
        <v>2114</v>
      </c>
      <c r="B3384" s="1">
        <v>109.0</v>
      </c>
      <c r="C3384" s="1">
        <v>1.416E8</v>
      </c>
      <c r="D3384" s="1" t="s">
        <v>828</v>
      </c>
      <c r="E3384" s="1" t="s">
        <v>3566</v>
      </c>
      <c r="F3384" s="1" t="s">
        <v>6780</v>
      </c>
      <c r="G3384" s="1">
        <v>90177.0</v>
      </c>
      <c r="H3384" s="1">
        <v>257.0</v>
      </c>
      <c r="I3384" s="1" t="s">
        <v>16</v>
      </c>
      <c r="J3384" s="1">
        <v>3000000.0</v>
      </c>
      <c r="K3384" s="1">
        <v>1978.0</v>
      </c>
      <c r="L3384" s="1">
        <v>7.6</v>
      </c>
      <c r="O3384" s="3"/>
      <c r="S3384" s="4"/>
    </row>
    <row r="3385" ht="14.25" customHeight="1">
      <c r="A3385" s="1" t="s">
        <v>6072</v>
      </c>
      <c r="B3385" s="1">
        <v>110.0</v>
      </c>
      <c r="C3385" s="1">
        <v>5.11E7</v>
      </c>
      <c r="D3385" s="1" t="s">
        <v>22</v>
      </c>
      <c r="E3385" s="1" t="s">
        <v>6781</v>
      </c>
      <c r="F3385" s="1" t="s">
        <v>6782</v>
      </c>
      <c r="G3385" s="1">
        <v>139432.0</v>
      </c>
      <c r="H3385" s="1">
        <v>418.0</v>
      </c>
      <c r="I3385" s="1" t="s">
        <v>16</v>
      </c>
      <c r="J3385" s="1">
        <v>3000000.0</v>
      </c>
      <c r="K3385" s="1">
        <v>1964.0</v>
      </c>
      <c r="L3385" s="1">
        <v>7.8</v>
      </c>
      <c r="O3385" s="3"/>
      <c r="S3385" s="4"/>
    </row>
    <row r="3386" ht="14.25" customHeight="1">
      <c r="A3386" s="1" t="s">
        <v>2132</v>
      </c>
      <c r="B3386" s="1">
        <v>94.0</v>
      </c>
      <c r="C3386" s="1">
        <v>1.6501785E7</v>
      </c>
      <c r="D3386" s="1" t="s">
        <v>1391</v>
      </c>
      <c r="E3386" s="1" t="s">
        <v>172</v>
      </c>
      <c r="F3386" s="1" t="s">
        <v>6783</v>
      </c>
      <c r="G3386" s="1">
        <v>469561.0</v>
      </c>
      <c r="H3386" s="1">
        <v>514.0</v>
      </c>
      <c r="I3386" s="1" t="s">
        <v>16</v>
      </c>
      <c r="J3386" s="1">
        <v>3500000.0</v>
      </c>
      <c r="K3386" s="1">
        <v>1996.0</v>
      </c>
      <c r="L3386" s="1">
        <v>8.2</v>
      </c>
      <c r="O3386" s="3"/>
      <c r="S3386" s="4"/>
    </row>
    <row r="3387" ht="14.25" customHeight="1">
      <c r="A3387" s="1" t="s">
        <v>2048</v>
      </c>
      <c r="B3387" s="1">
        <v>115.0</v>
      </c>
      <c r="C3387" s="1">
        <v>3.8168022E7</v>
      </c>
      <c r="D3387" s="1" t="s">
        <v>6384</v>
      </c>
      <c r="E3387" s="1" t="s">
        <v>343</v>
      </c>
      <c r="F3387" s="1" t="s">
        <v>6784</v>
      </c>
      <c r="G3387" s="1">
        <v>4687.0</v>
      </c>
      <c r="H3387" s="1">
        <v>83.0</v>
      </c>
      <c r="I3387" s="1" t="s">
        <v>16</v>
      </c>
      <c r="J3387" s="1">
        <v>3000000.0</v>
      </c>
      <c r="K3387" s="1">
        <v>2000.0</v>
      </c>
      <c r="L3387" s="1">
        <v>6.6</v>
      </c>
      <c r="O3387" s="3"/>
      <c r="S3387" s="4"/>
    </row>
    <row r="3388" ht="14.25" customHeight="1">
      <c r="A3388" s="1" t="s">
        <v>6785</v>
      </c>
      <c r="B3388" s="1">
        <v>98.0</v>
      </c>
      <c r="C3388" s="1">
        <v>8.4749884E7</v>
      </c>
      <c r="D3388" s="1" t="s">
        <v>2551</v>
      </c>
      <c r="E3388" s="1" t="s">
        <v>6786</v>
      </c>
      <c r="F3388" s="1" t="s">
        <v>6787</v>
      </c>
      <c r="G3388" s="1">
        <v>82133.0</v>
      </c>
      <c r="H3388" s="1">
        <v>359.0</v>
      </c>
      <c r="I3388" s="1" t="s">
        <v>16</v>
      </c>
      <c r="J3388" s="1">
        <v>3000000.0</v>
      </c>
      <c r="K3388" s="1">
        <v>2010.0</v>
      </c>
      <c r="L3388" s="1">
        <v>5.7</v>
      </c>
      <c r="O3388" s="3"/>
      <c r="S3388" s="4"/>
    </row>
    <row r="3389" ht="14.25" customHeight="1">
      <c r="A3389" s="1" t="s">
        <v>2829</v>
      </c>
      <c r="B3389" s="1">
        <v>91.0</v>
      </c>
      <c r="C3389" s="1">
        <v>2.4788807E7</v>
      </c>
      <c r="D3389" s="1" t="s">
        <v>828</v>
      </c>
      <c r="E3389" s="1" t="s">
        <v>6319</v>
      </c>
      <c r="F3389" s="1" t="s">
        <v>6788</v>
      </c>
      <c r="G3389" s="1">
        <v>21245.0</v>
      </c>
      <c r="H3389" s="1">
        <v>213.0</v>
      </c>
      <c r="I3389" s="1" t="s">
        <v>16</v>
      </c>
      <c r="J3389" s="1">
        <v>3000000.0</v>
      </c>
      <c r="K3389" s="1">
        <v>1998.0</v>
      </c>
      <c r="L3389" s="1">
        <v>7.4</v>
      </c>
      <c r="O3389" s="3"/>
      <c r="S3389" s="4"/>
    </row>
    <row r="3390" ht="14.25" customHeight="1">
      <c r="A3390" s="1" t="s">
        <v>5855</v>
      </c>
      <c r="B3390" s="1">
        <v>120.0</v>
      </c>
      <c r="C3390" s="1">
        <v>2.1244913E7</v>
      </c>
      <c r="D3390" s="1" t="s">
        <v>6789</v>
      </c>
      <c r="E3390" s="1" t="s">
        <v>5855</v>
      </c>
      <c r="F3390" s="1" t="s">
        <v>6790</v>
      </c>
      <c r="G3390" s="1">
        <v>123090.0</v>
      </c>
      <c r="H3390" s="1">
        <v>888.0</v>
      </c>
      <c r="I3390" s="1" t="s">
        <v>16</v>
      </c>
      <c r="J3390" s="1">
        <v>4000000.0</v>
      </c>
      <c r="K3390" s="1">
        <v>2002.0</v>
      </c>
      <c r="L3390" s="1">
        <v>8.0</v>
      </c>
      <c r="O3390" s="3"/>
      <c r="S3390" s="4"/>
    </row>
    <row r="3391" ht="14.25" customHeight="1">
      <c r="A3391" s="1" t="s">
        <v>6791</v>
      </c>
      <c r="B3391" s="1">
        <v>87.0</v>
      </c>
      <c r="C3391" s="1">
        <v>3.0E7</v>
      </c>
      <c r="D3391" s="1" t="s">
        <v>2945</v>
      </c>
      <c r="E3391" s="1" t="s">
        <v>6792</v>
      </c>
      <c r="F3391" s="1" t="s">
        <v>6793</v>
      </c>
      <c r="G3391" s="1">
        <v>43485.0</v>
      </c>
      <c r="H3391" s="1">
        <v>327.0</v>
      </c>
      <c r="I3391" s="1" t="s">
        <v>16</v>
      </c>
      <c r="J3391" s="1">
        <v>2200000.0</v>
      </c>
      <c r="K3391" s="1">
        <v>1985.0</v>
      </c>
      <c r="L3391" s="1">
        <v>5.4</v>
      </c>
      <c r="O3391" s="3"/>
      <c r="S3391" s="4"/>
    </row>
    <row r="3392" ht="14.25" customHeight="1">
      <c r="A3392" s="1" t="s">
        <v>4809</v>
      </c>
      <c r="B3392" s="1">
        <v>117.0</v>
      </c>
      <c r="C3392" s="1">
        <v>2.0966644E7</v>
      </c>
      <c r="D3392" s="1" t="s">
        <v>92</v>
      </c>
      <c r="E3392" s="1" t="s">
        <v>2471</v>
      </c>
      <c r="F3392" s="1" t="s">
        <v>6794</v>
      </c>
      <c r="G3392" s="1">
        <v>29610.0</v>
      </c>
      <c r="H3392" s="1">
        <v>94.0</v>
      </c>
      <c r="I3392" s="1" t="s">
        <v>16</v>
      </c>
      <c r="J3392" s="1">
        <v>3000000.0</v>
      </c>
      <c r="K3392" s="1">
        <v>1985.0</v>
      </c>
      <c r="L3392" s="1">
        <v>7.4</v>
      </c>
      <c r="O3392" s="3"/>
      <c r="S3392" s="4"/>
    </row>
    <row r="3393" ht="14.25" customHeight="1">
      <c r="A3393" s="1" t="s">
        <v>5580</v>
      </c>
      <c r="B3393" s="1">
        <v>85.0</v>
      </c>
      <c r="C3393" s="1">
        <v>6.442365E7</v>
      </c>
      <c r="D3393" s="1" t="s">
        <v>1764</v>
      </c>
      <c r="E3393" s="1" t="s">
        <v>6795</v>
      </c>
      <c r="F3393" s="1" t="s">
        <v>6796</v>
      </c>
      <c r="G3393" s="1">
        <v>139329.0</v>
      </c>
      <c r="H3393" s="1">
        <v>578.0</v>
      </c>
      <c r="I3393" s="1" t="s">
        <v>16</v>
      </c>
      <c r="J3393" s="1">
        <v>3000000.0</v>
      </c>
      <c r="K3393" s="1">
        <v>2013.0</v>
      </c>
      <c r="L3393" s="1">
        <v>5.7</v>
      </c>
      <c r="O3393" s="3"/>
      <c r="S3393" s="4"/>
    </row>
    <row r="3394" ht="14.25" customHeight="1">
      <c r="A3394" s="1" t="s">
        <v>1111</v>
      </c>
      <c r="B3394" s="1">
        <v>110.0</v>
      </c>
      <c r="C3394" s="1">
        <v>4.805694E7</v>
      </c>
      <c r="D3394" s="1" t="s">
        <v>2512</v>
      </c>
      <c r="E3394" s="1" t="s">
        <v>6797</v>
      </c>
      <c r="F3394" s="1" t="s">
        <v>6798</v>
      </c>
      <c r="G3394" s="1">
        <v>155153.0</v>
      </c>
      <c r="H3394" s="1">
        <v>524.0</v>
      </c>
      <c r="I3394" s="1" t="s">
        <v>16</v>
      </c>
      <c r="J3394" s="1">
        <v>3000000.0</v>
      </c>
      <c r="K3394" s="1">
        <v>2012.0</v>
      </c>
      <c r="L3394" s="1">
        <v>6.8</v>
      </c>
      <c r="O3394" s="3"/>
      <c r="S3394" s="4"/>
    </row>
    <row r="3395" ht="14.25" customHeight="1">
      <c r="A3395" s="1" t="s">
        <v>5001</v>
      </c>
      <c r="B3395" s="1">
        <v>113.0</v>
      </c>
      <c r="C3395" s="1">
        <v>1.9184015E7</v>
      </c>
      <c r="D3395" s="1" t="s">
        <v>6799</v>
      </c>
      <c r="E3395" s="1" t="s">
        <v>6800</v>
      </c>
      <c r="F3395" s="1" t="s">
        <v>6801</v>
      </c>
      <c r="G3395" s="1">
        <v>1466.0</v>
      </c>
      <c r="H3395" s="1">
        <v>35.0</v>
      </c>
      <c r="I3395" s="1" t="s">
        <v>16</v>
      </c>
      <c r="J3395" s="1">
        <v>3000000.0</v>
      </c>
      <c r="K3395" s="1">
        <v>2002.0</v>
      </c>
      <c r="L3395" s="1">
        <v>5.4</v>
      </c>
      <c r="O3395" s="3"/>
      <c r="S3395" s="4"/>
    </row>
    <row r="3396" ht="14.25" customHeight="1">
      <c r="A3396" s="1" t="s">
        <v>2843</v>
      </c>
      <c r="B3396" s="1">
        <v>98.0</v>
      </c>
      <c r="C3396" s="1">
        <v>2.4629916E7</v>
      </c>
      <c r="D3396" s="1" t="s">
        <v>5318</v>
      </c>
      <c r="E3396" s="1" t="s">
        <v>3045</v>
      </c>
      <c r="F3396" s="1" t="s">
        <v>6802</v>
      </c>
      <c r="G3396" s="1">
        <v>12942.0</v>
      </c>
      <c r="H3396" s="1">
        <v>34.0</v>
      </c>
      <c r="I3396" s="1" t="s">
        <v>16</v>
      </c>
      <c r="J3396" s="1">
        <v>3000000.0</v>
      </c>
      <c r="K3396" s="1">
        <v>1997.0</v>
      </c>
      <c r="L3396" s="1">
        <v>5.1</v>
      </c>
      <c r="O3396" s="3"/>
      <c r="S3396" s="4"/>
    </row>
    <row r="3397" ht="14.25" customHeight="1">
      <c r="A3397" s="1" t="s">
        <v>6803</v>
      </c>
      <c r="B3397" s="1">
        <v>86.0</v>
      </c>
      <c r="C3397" s="1">
        <v>1.9472057E7</v>
      </c>
      <c r="D3397" s="1" t="s">
        <v>2657</v>
      </c>
      <c r="E3397" s="1" t="s">
        <v>3968</v>
      </c>
      <c r="F3397" s="1" t="s">
        <v>6804</v>
      </c>
      <c r="G3397" s="1">
        <v>25332.0</v>
      </c>
      <c r="H3397" s="1">
        <v>307.0</v>
      </c>
      <c r="I3397" s="1" t="s">
        <v>16</v>
      </c>
      <c r="J3397" s="1">
        <v>3000000.0</v>
      </c>
      <c r="K3397" s="1">
        <v>1986.0</v>
      </c>
      <c r="L3397" s="1">
        <v>5.9</v>
      </c>
      <c r="O3397" s="3"/>
      <c r="S3397" s="4"/>
    </row>
    <row r="3398" ht="14.25" customHeight="1">
      <c r="A3398" s="1" t="s">
        <v>3552</v>
      </c>
      <c r="B3398" s="1">
        <v>161.0</v>
      </c>
      <c r="C3398" s="1">
        <v>2.72E7</v>
      </c>
      <c r="D3398" s="1" t="s">
        <v>1357</v>
      </c>
      <c r="E3398" s="1" t="s">
        <v>6805</v>
      </c>
      <c r="F3398" s="1" t="s">
        <v>6806</v>
      </c>
      <c r="G3398" s="1">
        <v>149444.0</v>
      </c>
      <c r="H3398" s="1">
        <v>273.0</v>
      </c>
      <c r="I3398" s="1" t="s">
        <v>16</v>
      </c>
      <c r="J3398" s="1">
        <v>3000000.0</v>
      </c>
      <c r="K3398" s="1">
        <v>1957.0</v>
      </c>
      <c r="L3398" s="1">
        <v>8.2</v>
      </c>
      <c r="O3398" s="3"/>
      <c r="S3398" s="4"/>
    </row>
    <row r="3399" ht="14.25" customHeight="1">
      <c r="A3399" s="1" t="s">
        <v>2184</v>
      </c>
      <c r="B3399" s="1">
        <v>100.0</v>
      </c>
      <c r="C3399" s="1">
        <v>1.5369573E7</v>
      </c>
      <c r="D3399" s="1" t="s">
        <v>782</v>
      </c>
      <c r="E3399" s="1" t="s">
        <v>1225</v>
      </c>
      <c r="F3399" s="1" t="s">
        <v>6807</v>
      </c>
      <c r="G3399" s="1">
        <v>2580.0</v>
      </c>
      <c r="H3399" s="1">
        <v>54.0</v>
      </c>
      <c r="I3399" s="1" t="s">
        <v>16</v>
      </c>
      <c r="J3399" s="1">
        <v>3000000.0</v>
      </c>
      <c r="K3399" s="1">
        <v>1990.0</v>
      </c>
      <c r="L3399" s="1">
        <v>5.3</v>
      </c>
      <c r="O3399" s="3"/>
      <c r="S3399" s="4"/>
    </row>
    <row r="3400" ht="14.25" customHeight="1">
      <c r="A3400" s="1" t="s">
        <v>6808</v>
      </c>
      <c r="B3400" s="1">
        <v>91.0</v>
      </c>
      <c r="C3400" s="1">
        <v>1.5935068E7</v>
      </c>
      <c r="D3400" s="1" t="s">
        <v>3798</v>
      </c>
      <c r="E3400" s="1" t="s">
        <v>6437</v>
      </c>
      <c r="F3400" s="1" t="s">
        <v>6809</v>
      </c>
      <c r="G3400" s="1">
        <v>19331.0</v>
      </c>
      <c r="H3400" s="1">
        <v>317.0</v>
      </c>
      <c r="I3400" s="1" t="s">
        <v>16</v>
      </c>
      <c r="J3400" s="1">
        <v>2500000.0</v>
      </c>
      <c r="K3400" s="1">
        <v>1993.0</v>
      </c>
      <c r="L3400" s="1">
        <v>4.3</v>
      </c>
      <c r="O3400" s="3"/>
      <c r="S3400" s="4"/>
    </row>
    <row r="3401" ht="14.25" customHeight="1">
      <c r="A3401" s="1" t="s">
        <v>650</v>
      </c>
      <c r="B3401" s="1">
        <v>100.0</v>
      </c>
      <c r="C3401" s="1">
        <v>1.1694528E7</v>
      </c>
      <c r="D3401" s="1" t="s">
        <v>6810</v>
      </c>
      <c r="E3401" s="1" t="s">
        <v>6811</v>
      </c>
      <c r="F3401" s="1" t="s">
        <v>6812</v>
      </c>
      <c r="G3401" s="1">
        <v>7721.0</v>
      </c>
      <c r="H3401" s="1">
        <v>72.0</v>
      </c>
      <c r="I3401" s="1" t="s">
        <v>16</v>
      </c>
      <c r="J3401" s="1">
        <v>3000000.0</v>
      </c>
      <c r="K3401" s="1">
        <v>2005.0</v>
      </c>
      <c r="L3401" s="1">
        <v>7.2</v>
      </c>
      <c r="O3401" s="3"/>
      <c r="S3401" s="4"/>
    </row>
    <row r="3402" ht="14.25" customHeight="1">
      <c r="A3402" s="1" t="s">
        <v>6813</v>
      </c>
      <c r="B3402" s="1">
        <v>84.0</v>
      </c>
      <c r="C3402" s="1">
        <v>1.0017041E7</v>
      </c>
      <c r="D3402" s="1" t="s">
        <v>728</v>
      </c>
      <c r="E3402" s="1" t="s">
        <v>5637</v>
      </c>
      <c r="F3402" s="1" t="s">
        <v>6814</v>
      </c>
      <c r="G3402" s="1">
        <v>8265.0</v>
      </c>
      <c r="H3402" s="1">
        <v>20.0</v>
      </c>
      <c r="I3402" s="1" t="s">
        <v>16</v>
      </c>
      <c r="J3402" s="1">
        <v>3000000.0</v>
      </c>
      <c r="K3402" s="1">
        <v>2009.0</v>
      </c>
      <c r="L3402" s="1">
        <v>5.9</v>
      </c>
      <c r="O3402" s="3"/>
      <c r="S3402" s="4"/>
    </row>
    <row r="3403" ht="14.25" customHeight="1">
      <c r="A3403" s="1" t="s">
        <v>6815</v>
      </c>
      <c r="B3403" s="1">
        <v>99.0</v>
      </c>
      <c r="C3403" s="1">
        <v>7059537.0</v>
      </c>
      <c r="D3403" s="1" t="s">
        <v>828</v>
      </c>
      <c r="E3403" s="1" t="s">
        <v>2803</v>
      </c>
      <c r="F3403" s="1" t="s">
        <v>6816</v>
      </c>
      <c r="G3403" s="1">
        <v>8279.0</v>
      </c>
      <c r="H3403" s="1">
        <v>101.0</v>
      </c>
      <c r="I3403" s="1" t="s">
        <v>16</v>
      </c>
      <c r="J3403" s="1">
        <v>3000000.0</v>
      </c>
      <c r="K3403" s="1">
        <v>2006.0</v>
      </c>
      <c r="L3403" s="1">
        <v>3.0</v>
      </c>
      <c r="O3403" s="3"/>
      <c r="S3403" s="4"/>
    </row>
    <row r="3404" ht="14.25" customHeight="1">
      <c r="A3404" s="1" t="s">
        <v>3582</v>
      </c>
      <c r="B3404" s="1">
        <v>109.0</v>
      </c>
      <c r="C3404" s="1">
        <v>8114507.0</v>
      </c>
      <c r="D3404" s="1" t="s">
        <v>92</v>
      </c>
      <c r="E3404" s="1" t="s">
        <v>6817</v>
      </c>
      <c r="F3404" s="1" t="s">
        <v>6818</v>
      </c>
      <c r="G3404" s="1">
        <v>95362.0</v>
      </c>
      <c r="H3404" s="1">
        <v>270.0</v>
      </c>
      <c r="I3404" s="1" t="s">
        <v>16</v>
      </c>
      <c r="J3404" s="1">
        <v>3000000.0</v>
      </c>
      <c r="K3404" s="1">
        <v>2013.0</v>
      </c>
      <c r="L3404" s="1">
        <v>7.9</v>
      </c>
      <c r="O3404" s="3"/>
      <c r="S3404" s="4"/>
    </row>
    <row r="3405" ht="14.25" customHeight="1">
      <c r="A3405" s="1" t="s">
        <v>6819</v>
      </c>
      <c r="B3405" s="1">
        <v>95.0</v>
      </c>
      <c r="C3405" s="1">
        <v>7888703.0</v>
      </c>
      <c r="D3405" s="1" t="s">
        <v>1148</v>
      </c>
      <c r="E3405" s="1" t="s">
        <v>6820</v>
      </c>
      <c r="F3405" s="1" t="s">
        <v>6821</v>
      </c>
      <c r="G3405" s="1">
        <v>8465.0</v>
      </c>
      <c r="H3405" s="1">
        <v>65.0</v>
      </c>
      <c r="I3405" s="1" t="s">
        <v>16</v>
      </c>
      <c r="J3405" s="1">
        <v>3000000.0</v>
      </c>
      <c r="K3405" s="1">
        <v>1987.0</v>
      </c>
      <c r="L3405" s="1">
        <v>3.2</v>
      </c>
      <c r="O3405" s="3"/>
      <c r="S3405" s="4"/>
    </row>
    <row r="3406" ht="14.25" customHeight="1">
      <c r="A3406" s="1" t="s">
        <v>6822</v>
      </c>
      <c r="B3406" s="1">
        <v>97.0</v>
      </c>
      <c r="C3406" s="1">
        <v>7282851.0</v>
      </c>
      <c r="D3406" s="1" t="s">
        <v>1758</v>
      </c>
      <c r="E3406" s="1" t="s">
        <v>6823</v>
      </c>
      <c r="F3406" s="1" t="s">
        <v>6824</v>
      </c>
      <c r="G3406" s="1">
        <v>9502.0</v>
      </c>
      <c r="H3406" s="1">
        <v>100.0</v>
      </c>
      <c r="I3406" s="1" t="s">
        <v>16</v>
      </c>
      <c r="J3406" s="1">
        <v>3000000.0</v>
      </c>
      <c r="K3406" s="1">
        <v>1988.0</v>
      </c>
      <c r="L3406" s="1">
        <v>6.5</v>
      </c>
      <c r="O3406" s="3"/>
      <c r="S3406" s="4"/>
    </row>
    <row r="3407" ht="14.25" customHeight="1">
      <c r="A3407" s="1" t="s">
        <v>6825</v>
      </c>
      <c r="B3407" s="1">
        <v>90.0</v>
      </c>
      <c r="C3407" s="1">
        <v>5844929.0</v>
      </c>
      <c r="D3407" s="1" t="s">
        <v>1059</v>
      </c>
      <c r="E3407" s="1" t="s">
        <v>5116</v>
      </c>
      <c r="F3407" s="1" t="s">
        <v>6826</v>
      </c>
      <c r="G3407" s="1">
        <v>6000.0</v>
      </c>
      <c r="H3407" s="1">
        <v>109.0</v>
      </c>
      <c r="I3407" s="1" t="s">
        <v>16</v>
      </c>
      <c r="J3407" s="1">
        <v>3000000.0</v>
      </c>
      <c r="K3407" s="1">
        <v>2002.0</v>
      </c>
      <c r="L3407" s="1">
        <v>7.0</v>
      </c>
      <c r="O3407" s="3"/>
      <c r="S3407" s="4"/>
    </row>
    <row r="3408" ht="14.25" customHeight="1">
      <c r="A3408" s="1" t="s">
        <v>6827</v>
      </c>
      <c r="B3408" s="1">
        <v>96.0</v>
      </c>
      <c r="C3408" s="1">
        <v>4170647.0</v>
      </c>
      <c r="D3408" s="1" t="s">
        <v>1059</v>
      </c>
      <c r="E3408" s="1" t="s">
        <v>3052</v>
      </c>
      <c r="F3408" s="1" t="s">
        <v>6828</v>
      </c>
      <c r="G3408" s="1">
        <v>14548.0</v>
      </c>
      <c r="H3408" s="1">
        <v>161.0</v>
      </c>
      <c r="I3408" s="1" t="s">
        <v>16</v>
      </c>
      <c r="J3408" s="1">
        <v>1900000.0</v>
      </c>
      <c r="K3408" s="1">
        <v>1999.0</v>
      </c>
      <c r="L3408" s="1">
        <v>6.9</v>
      </c>
      <c r="O3408" s="3"/>
      <c r="S3408" s="4"/>
    </row>
    <row r="3409" ht="14.25" customHeight="1">
      <c r="A3409" s="1" t="s">
        <v>6829</v>
      </c>
      <c r="B3409" s="1">
        <v>82.0</v>
      </c>
      <c r="C3409" s="1">
        <v>4142507.0</v>
      </c>
      <c r="D3409" s="1" t="s">
        <v>699</v>
      </c>
      <c r="E3409" s="1" t="s">
        <v>6830</v>
      </c>
      <c r="F3409" s="1" t="s">
        <v>6831</v>
      </c>
      <c r="G3409" s="1">
        <v>3665.0</v>
      </c>
      <c r="H3409" s="1">
        <v>81.0</v>
      </c>
      <c r="I3409" s="1" t="s">
        <v>16</v>
      </c>
      <c r="J3409" s="1">
        <v>3000000.0</v>
      </c>
      <c r="K3409" s="1">
        <v>2000.0</v>
      </c>
      <c r="L3409" s="1">
        <v>4.4</v>
      </c>
      <c r="O3409" s="3"/>
      <c r="S3409" s="4"/>
    </row>
    <row r="3410" ht="14.25" customHeight="1">
      <c r="A3410" s="1" t="s">
        <v>3996</v>
      </c>
      <c r="B3410" s="1">
        <v>109.0</v>
      </c>
      <c r="C3410" s="1">
        <v>4109095.0</v>
      </c>
      <c r="D3410" s="1" t="s">
        <v>6832</v>
      </c>
      <c r="E3410" s="1" t="s">
        <v>6117</v>
      </c>
      <c r="F3410" s="1" t="s">
        <v>6833</v>
      </c>
      <c r="G3410" s="1">
        <v>8239.0</v>
      </c>
      <c r="H3410" s="1">
        <v>92.0</v>
      </c>
      <c r="I3410" s="1" t="s">
        <v>16</v>
      </c>
      <c r="J3410" s="1">
        <v>3000000.0</v>
      </c>
      <c r="K3410" s="1">
        <v>1996.0</v>
      </c>
      <c r="L3410" s="1">
        <v>6.0</v>
      </c>
      <c r="O3410" s="3"/>
      <c r="S3410" s="4"/>
    </row>
    <row r="3411" ht="14.25" customHeight="1">
      <c r="A3411" s="1" t="s">
        <v>6834</v>
      </c>
      <c r="B3411" s="1">
        <v>98.0</v>
      </c>
      <c r="C3411" s="1">
        <v>3902679.0</v>
      </c>
      <c r="D3411" s="1" t="s">
        <v>2945</v>
      </c>
      <c r="E3411" s="1" t="s">
        <v>2471</v>
      </c>
      <c r="F3411" s="1" t="s">
        <v>6835</v>
      </c>
      <c r="G3411" s="1">
        <v>3943.0</v>
      </c>
      <c r="H3411" s="1">
        <v>49.0</v>
      </c>
      <c r="I3411" s="1" t="s">
        <v>16</v>
      </c>
      <c r="J3411" s="1">
        <v>3000000.0</v>
      </c>
      <c r="K3411" s="1">
        <v>1993.0</v>
      </c>
      <c r="L3411" s="1">
        <v>5.3</v>
      </c>
      <c r="O3411" s="3"/>
      <c r="S3411" s="4"/>
    </row>
    <row r="3412" ht="14.25" customHeight="1">
      <c r="A3412" s="1" t="s">
        <v>6836</v>
      </c>
      <c r="B3412" s="1">
        <v>95.0</v>
      </c>
      <c r="C3412" s="1">
        <v>3559990.0</v>
      </c>
      <c r="D3412" s="1" t="s">
        <v>427</v>
      </c>
      <c r="E3412" s="1" t="s">
        <v>6837</v>
      </c>
      <c r="F3412" s="1" t="s">
        <v>6838</v>
      </c>
      <c r="G3412" s="1">
        <v>8005.0</v>
      </c>
      <c r="H3412" s="1">
        <v>49.0</v>
      </c>
      <c r="I3412" s="1" t="s">
        <v>16</v>
      </c>
      <c r="J3412" s="1">
        <v>3000000.0</v>
      </c>
      <c r="K3412" s="1">
        <v>1997.0</v>
      </c>
      <c r="L3412" s="1">
        <v>5.3</v>
      </c>
      <c r="O3412" s="3"/>
      <c r="S3412" s="4"/>
    </row>
    <row r="3413" ht="14.25" customHeight="1">
      <c r="A3413" s="1" t="s">
        <v>6839</v>
      </c>
      <c r="B3413" s="1">
        <v>104.0</v>
      </c>
      <c r="C3413" s="1">
        <v>3287435.0</v>
      </c>
      <c r="D3413" s="1" t="s">
        <v>1391</v>
      </c>
      <c r="E3413" s="1" t="s">
        <v>285</v>
      </c>
      <c r="F3413" s="1" t="s">
        <v>6840</v>
      </c>
      <c r="G3413" s="1">
        <v>8603.0</v>
      </c>
      <c r="H3413" s="1">
        <v>115.0</v>
      </c>
      <c r="I3413" s="1" t="s">
        <v>16</v>
      </c>
      <c r="J3413" s="1">
        <v>4500000.0</v>
      </c>
      <c r="K3413" s="1">
        <v>2001.0</v>
      </c>
      <c r="L3413" s="1">
        <v>7.1</v>
      </c>
      <c r="O3413" s="3"/>
      <c r="S3413" s="4"/>
    </row>
    <row r="3414" ht="14.25" customHeight="1">
      <c r="A3414" s="1" t="s">
        <v>6841</v>
      </c>
      <c r="B3414" s="1">
        <v>87.0</v>
      </c>
      <c r="C3414" s="1">
        <v>3071947.0</v>
      </c>
      <c r="D3414" s="1" t="s">
        <v>2378</v>
      </c>
      <c r="E3414" s="1" t="s">
        <v>3042</v>
      </c>
      <c r="F3414" s="1" t="s">
        <v>6842</v>
      </c>
      <c r="G3414" s="1">
        <v>18711.0</v>
      </c>
      <c r="H3414" s="1">
        <v>183.0</v>
      </c>
      <c r="I3414" s="1" t="s">
        <v>16</v>
      </c>
      <c r="J3414" s="1">
        <v>3500000.0</v>
      </c>
      <c r="K3414" s="1">
        <v>1999.0</v>
      </c>
      <c r="L3414" s="1">
        <v>5.4</v>
      </c>
      <c r="O3414" s="3"/>
      <c r="S3414" s="4"/>
    </row>
    <row r="3415" ht="14.25" customHeight="1">
      <c r="A3415" s="1" t="s">
        <v>6843</v>
      </c>
      <c r="B3415" s="1">
        <v>108.0</v>
      </c>
      <c r="C3415" s="1">
        <v>2961991.0</v>
      </c>
      <c r="D3415" s="1" t="s">
        <v>646</v>
      </c>
      <c r="E3415" s="1" t="s">
        <v>249</v>
      </c>
      <c r="F3415" s="1" t="s">
        <v>6844</v>
      </c>
      <c r="G3415" s="1">
        <v>15885.0</v>
      </c>
      <c r="H3415" s="1">
        <v>78.0</v>
      </c>
      <c r="I3415" s="1" t="s">
        <v>16</v>
      </c>
      <c r="J3415" s="1">
        <v>3300000.0</v>
      </c>
      <c r="K3415" s="1">
        <v>1996.0</v>
      </c>
      <c r="L3415" s="1">
        <v>6.9</v>
      </c>
      <c r="O3415" s="3"/>
      <c r="S3415" s="4"/>
    </row>
    <row r="3416" ht="14.25" customHeight="1">
      <c r="A3416" s="1" t="s">
        <v>348</v>
      </c>
      <c r="B3416" s="1">
        <v>94.0</v>
      </c>
      <c r="C3416" s="1">
        <v>2912363.0</v>
      </c>
      <c r="D3416" s="1" t="s">
        <v>811</v>
      </c>
      <c r="E3416" s="1" t="s">
        <v>3086</v>
      </c>
      <c r="F3416" s="1" t="s">
        <v>6845</v>
      </c>
      <c r="G3416" s="1">
        <v>25063.0</v>
      </c>
      <c r="H3416" s="1">
        <v>177.0</v>
      </c>
      <c r="I3416" s="1" t="s">
        <v>6846</v>
      </c>
      <c r="J3416" s="1">
        <v>3000000.0</v>
      </c>
      <c r="K3416" s="1">
        <v>2005.0</v>
      </c>
      <c r="L3416" s="1">
        <v>7.3</v>
      </c>
      <c r="O3416" s="3"/>
      <c r="S3416" s="4"/>
    </row>
    <row r="3417" ht="14.25" customHeight="1">
      <c r="A3417" s="1" t="s">
        <v>6847</v>
      </c>
      <c r="B3417" s="1">
        <v>134.0</v>
      </c>
      <c r="C3417" s="1">
        <v>3000000.0</v>
      </c>
      <c r="D3417" s="1" t="s">
        <v>1059</v>
      </c>
      <c r="E3417" s="1" t="s">
        <v>390</v>
      </c>
      <c r="F3417" s="1" t="s">
        <v>6848</v>
      </c>
      <c r="G3417" s="1">
        <v>55329.0</v>
      </c>
      <c r="H3417" s="1">
        <v>499.0</v>
      </c>
      <c r="I3417" s="1" t="s">
        <v>16</v>
      </c>
      <c r="J3417" s="1">
        <v>3000000.0</v>
      </c>
      <c r="K3417" s="1">
        <v>1998.0</v>
      </c>
      <c r="L3417" s="1">
        <v>7.8</v>
      </c>
      <c r="O3417" s="3"/>
      <c r="S3417" s="4"/>
    </row>
    <row r="3418" ht="14.25" customHeight="1">
      <c r="A3418" s="1" t="s">
        <v>3931</v>
      </c>
      <c r="B3418" s="1">
        <v>89.0</v>
      </c>
      <c r="C3418" s="1">
        <v>2223990.0</v>
      </c>
      <c r="D3418" s="1" t="s">
        <v>6384</v>
      </c>
      <c r="E3418" s="1" t="s">
        <v>6849</v>
      </c>
      <c r="F3418" s="1" t="s">
        <v>6850</v>
      </c>
      <c r="G3418" s="1">
        <v>761.0</v>
      </c>
      <c r="H3418" s="1">
        <v>14.0</v>
      </c>
      <c r="I3418" s="1" t="s">
        <v>16</v>
      </c>
      <c r="J3418" s="1">
        <v>3000000.0</v>
      </c>
      <c r="K3418" s="1">
        <v>2003.0</v>
      </c>
      <c r="L3418" s="1">
        <v>6.6</v>
      </c>
      <c r="O3418" s="3"/>
      <c r="S3418" s="4"/>
    </row>
    <row r="3419" ht="14.25" customHeight="1">
      <c r="A3419" s="1" t="s">
        <v>2839</v>
      </c>
      <c r="B3419" s="1">
        <v>102.0</v>
      </c>
      <c r="C3419" s="1">
        <v>1821983.0</v>
      </c>
      <c r="D3419" s="1" t="s">
        <v>6851</v>
      </c>
      <c r="E3419" s="1" t="s">
        <v>19</v>
      </c>
      <c r="F3419" s="1" t="s">
        <v>6852</v>
      </c>
      <c r="G3419" s="1">
        <v>31089.0</v>
      </c>
      <c r="H3419" s="1">
        <v>261.0</v>
      </c>
      <c r="I3419" s="1" t="s">
        <v>16</v>
      </c>
      <c r="J3419" s="1">
        <v>3000000.0</v>
      </c>
      <c r="K3419" s="1">
        <v>2014.0</v>
      </c>
      <c r="L3419" s="1">
        <v>5.4</v>
      </c>
      <c r="O3419" s="3"/>
      <c r="S3419" s="4"/>
    </row>
    <row r="3420" ht="14.25" customHeight="1">
      <c r="A3420" s="1" t="s">
        <v>5442</v>
      </c>
      <c r="B3420" s="1">
        <v>120.0</v>
      </c>
      <c r="C3420" s="1">
        <v>2181290.0</v>
      </c>
      <c r="D3420" s="1" t="s">
        <v>806</v>
      </c>
      <c r="E3420" s="1" t="s">
        <v>5314</v>
      </c>
      <c r="F3420" s="1" t="s">
        <v>6853</v>
      </c>
      <c r="G3420" s="1">
        <v>356181.0</v>
      </c>
      <c r="H3420" s="1">
        <v>809.0</v>
      </c>
      <c r="I3420" s="1" t="s">
        <v>5316</v>
      </c>
      <c r="J3420" s="1">
        <v>3000000.0</v>
      </c>
      <c r="K3420" s="1">
        <v>2003.0</v>
      </c>
      <c r="L3420" s="1">
        <v>8.4</v>
      </c>
      <c r="O3420" s="3"/>
      <c r="S3420" s="4"/>
    </row>
    <row r="3421" ht="14.25" customHeight="1">
      <c r="A3421" s="1" t="s">
        <v>6854</v>
      </c>
      <c r="B3421" s="1">
        <v>110.0</v>
      </c>
      <c r="C3421" s="1">
        <v>2848578.0</v>
      </c>
      <c r="D3421" s="1" t="s">
        <v>2844</v>
      </c>
      <c r="E3421" s="1" t="s">
        <v>6855</v>
      </c>
      <c r="F3421" s="1" t="s">
        <v>6856</v>
      </c>
      <c r="G3421" s="1">
        <v>3942.0</v>
      </c>
      <c r="H3421" s="1">
        <v>65.0</v>
      </c>
      <c r="I3421" s="1" t="s">
        <v>16</v>
      </c>
      <c r="J3421" s="1">
        <v>3500000.0</v>
      </c>
      <c r="K3421" s="1">
        <v>2010.0</v>
      </c>
      <c r="L3421" s="1">
        <v>6.3</v>
      </c>
      <c r="O3421" s="3"/>
      <c r="S3421" s="4"/>
    </row>
    <row r="3422" ht="14.25" customHeight="1">
      <c r="A3422" s="1" t="s">
        <v>6857</v>
      </c>
      <c r="B3422" s="1">
        <v>86.0</v>
      </c>
      <c r="C3422" s="1">
        <v>703002.0</v>
      </c>
      <c r="D3422" s="1" t="s">
        <v>719</v>
      </c>
      <c r="E3422" s="1" t="s">
        <v>3028</v>
      </c>
      <c r="F3422" s="1" t="s">
        <v>6858</v>
      </c>
      <c r="G3422" s="1">
        <v>37495.0</v>
      </c>
      <c r="H3422" s="1">
        <v>230.0</v>
      </c>
      <c r="I3422" s="1" t="s">
        <v>16</v>
      </c>
      <c r="J3422" s="1">
        <v>3000000.0</v>
      </c>
      <c r="K3422" s="1">
        <v>2011.0</v>
      </c>
      <c r="L3422" s="1">
        <v>6.1</v>
      </c>
      <c r="O3422" s="3"/>
      <c r="S3422" s="4"/>
    </row>
    <row r="3423" ht="14.25" customHeight="1">
      <c r="A3423" s="1" t="s">
        <v>6859</v>
      </c>
      <c r="B3423" s="1">
        <v>101.0</v>
      </c>
      <c r="C3423" s="1">
        <v>3105269.0</v>
      </c>
      <c r="D3423" s="1" t="s">
        <v>907</v>
      </c>
      <c r="E3423" s="1" t="s">
        <v>6860</v>
      </c>
      <c r="F3423" s="1" t="s">
        <v>6861</v>
      </c>
      <c r="G3423" s="1">
        <v>368.0</v>
      </c>
      <c r="H3423" s="1">
        <v>8.0</v>
      </c>
      <c r="I3423" s="1" t="s">
        <v>16</v>
      </c>
      <c r="J3423" s="1">
        <v>3000000.0</v>
      </c>
      <c r="K3423" s="1">
        <v>2016.0</v>
      </c>
      <c r="L3423" s="1">
        <v>5.0</v>
      </c>
      <c r="O3423" s="3"/>
      <c r="S3423" s="4"/>
    </row>
    <row r="3424" ht="14.25" customHeight="1">
      <c r="A3424" s="1" t="s">
        <v>6862</v>
      </c>
      <c r="B3424" s="1">
        <v>87.0</v>
      </c>
      <c r="C3424" s="1">
        <v>418268.0</v>
      </c>
      <c r="D3424" s="1" t="s">
        <v>699</v>
      </c>
      <c r="E3424" s="1" t="s">
        <v>1971</v>
      </c>
      <c r="F3424" s="1" t="s">
        <v>6863</v>
      </c>
      <c r="G3424" s="1">
        <v>37156.0</v>
      </c>
      <c r="H3424" s="1">
        <v>129.0</v>
      </c>
      <c r="I3424" s="1" t="s">
        <v>16</v>
      </c>
      <c r="J3424" s="1">
        <v>3000000.0</v>
      </c>
      <c r="K3424" s="1">
        <v>2012.0</v>
      </c>
      <c r="L3424" s="1">
        <v>5.3</v>
      </c>
      <c r="O3424" s="3"/>
      <c r="S3424" s="4"/>
    </row>
    <row r="3425" ht="14.25" customHeight="1">
      <c r="A3425" s="1" t="s">
        <v>6864</v>
      </c>
      <c r="B3425" s="1">
        <v>93.0</v>
      </c>
      <c r="C3425" s="1">
        <v>200803.0</v>
      </c>
      <c r="D3425" s="1" t="s">
        <v>828</v>
      </c>
      <c r="E3425" s="1" t="s">
        <v>6865</v>
      </c>
      <c r="F3425" s="1" t="s">
        <v>6866</v>
      </c>
      <c r="G3425" s="1">
        <v>7988.0</v>
      </c>
      <c r="H3425" s="1">
        <v>71.0</v>
      </c>
      <c r="I3425" s="1" t="s">
        <v>16</v>
      </c>
      <c r="J3425" s="1">
        <v>3000000.0</v>
      </c>
      <c r="K3425" s="1">
        <v>2012.0</v>
      </c>
      <c r="L3425" s="1">
        <v>5.3</v>
      </c>
      <c r="O3425" s="3"/>
      <c r="S3425" s="4"/>
    </row>
    <row r="3426" ht="14.25" customHeight="1">
      <c r="A3426" s="1" t="s">
        <v>860</v>
      </c>
      <c r="B3426" s="1">
        <v>111.0</v>
      </c>
      <c r="C3426" s="1">
        <v>3.3631221E7</v>
      </c>
      <c r="D3426" s="1" t="s">
        <v>901</v>
      </c>
      <c r="E3426" s="1" t="s">
        <v>3171</v>
      </c>
      <c r="F3426" s="1" t="s">
        <v>3782</v>
      </c>
      <c r="G3426" s="1">
        <v>48562.0</v>
      </c>
      <c r="H3426" s="1">
        <v>145.0</v>
      </c>
      <c r="I3426" s="1" t="s">
        <v>16</v>
      </c>
      <c r="J3426" s="1">
        <v>2.5E7</v>
      </c>
      <c r="K3426" s="1">
        <v>2014.0</v>
      </c>
      <c r="L3426" s="1">
        <v>6.0</v>
      </c>
      <c r="O3426" s="3"/>
      <c r="S3426" s="4"/>
    </row>
    <row r="3427" ht="14.25" customHeight="1">
      <c r="A3427" s="1" t="s">
        <v>5460</v>
      </c>
      <c r="B3427" s="1">
        <v>98.0</v>
      </c>
      <c r="C3427" s="1">
        <v>95016.0</v>
      </c>
      <c r="D3427" s="1" t="s">
        <v>1825</v>
      </c>
      <c r="E3427" s="1" t="s">
        <v>6867</v>
      </c>
      <c r="F3427" s="1" t="s">
        <v>6868</v>
      </c>
      <c r="G3427" s="1">
        <v>11074.0</v>
      </c>
      <c r="H3427" s="1">
        <v>56.0</v>
      </c>
      <c r="I3427" s="1" t="s">
        <v>4449</v>
      </c>
      <c r="J3427" s="1">
        <v>2700000.0</v>
      </c>
      <c r="K3427" s="1">
        <v>2004.0</v>
      </c>
      <c r="L3427" s="1">
        <v>7.4</v>
      </c>
      <c r="O3427" s="3"/>
      <c r="S3427" s="4"/>
    </row>
    <row r="3428" ht="14.25" customHeight="1">
      <c r="A3428" s="1" t="s">
        <v>6869</v>
      </c>
      <c r="B3428" s="1">
        <v>100.0</v>
      </c>
      <c r="C3428" s="1">
        <v>73678.0</v>
      </c>
      <c r="D3428" s="1" t="s">
        <v>824</v>
      </c>
      <c r="E3428" s="1" t="s">
        <v>6870</v>
      </c>
      <c r="F3428" s="1" t="s">
        <v>6871</v>
      </c>
      <c r="G3428" s="1">
        <v>266.0</v>
      </c>
      <c r="H3428" s="1">
        <v>8.0</v>
      </c>
      <c r="I3428" s="1" t="s">
        <v>16</v>
      </c>
      <c r="J3428" s="1">
        <v>3000000.0</v>
      </c>
      <c r="K3428" s="1">
        <v>2011.0</v>
      </c>
      <c r="L3428" s="1">
        <v>5.9</v>
      </c>
      <c r="O3428" s="3"/>
      <c r="S3428" s="4"/>
    </row>
    <row r="3429" ht="14.25" customHeight="1">
      <c r="A3429" s="1" t="s">
        <v>6872</v>
      </c>
      <c r="B3429" s="1">
        <v>88.0</v>
      </c>
      <c r="C3429" s="1">
        <v>143000.0</v>
      </c>
      <c r="D3429" s="1" t="s">
        <v>2657</v>
      </c>
      <c r="E3429" s="1" t="s">
        <v>6873</v>
      </c>
      <c r="F3429" s="1" t="s">
        <v>6874</v>
      </c>
      <c r="G3429" s="1">
        <v>4122.0</v>
      </c>
      <c r="H3429" s="1">
        <v>48.0</v>
      </c>
      <c r="I3429" s="1" t="s">
        <v>16</v>
      </c>
      <c r="J3429" s="1">
        <v>5000000.0</v>
      </c>
      <c r="K3429" s="1">
        <v>2009.0</v>
      </c>
      <c r="L3429" s="1">
        <v>4.1</v>
      </c>
      <c r="O3429" s="3"/>
      <c r="S3429" s="4"/>
    </row>
    <row r="3430" ht="14.25" customHeight="1">
      <c r="A3430" s="1" t="s">
        <v>2538</v>
      </c>
      <c r="B3430" s="1">
        <v>97.0</v>
      </c>
      <c r="C3430" s="1">
        <v>39852.0</v>
      </c>
      <c r="D3430" s="1" t="s">
        <v>1059</v>
      </c>
      <c r="E3430" s="1" t="s">
        <v>4792</v>
      </c>
      <c r="F3430" s="1" t="s">
        <v>6875</v>
      </c>
      <c r="G3430" s="1">
        <v>1238.0</v>
      </c>
      <c r="H3430" s="1">
        <v>25.0</v>
      </c>
      <c r="I3430" s="1" t="s">
        <v>16</v>
      </c>
      <c r="J3430" s="1">
        <v>3000000.0</v>
      </c>
      <c r="K3430" s="1">
        <v>1999.0</v>
      </c>
      <c r="L3430" s="1">
        <v>6.7</v>
      </c>
      <c r="O3430" s="3"/>
      <c r="S3430" s="4"/>
    </row>
    <row r="3431" ht="14.25" customHeight="1">
      <c r="A3431" s="1" t="s">
        <v>4640</v>
      </c>
      <c r="B3431" s="1">
        <v>122.0</v>
      </c>
      <c r="C3431" s="1">
        <v>22000.0</v>
      </c>
      <c r="D3431" s="1" t="s">
        <v>1112</v>
      </c>
      <c r="E3431" s="1" t="s">
        <v>1389</v>
      </c>
      <c r="F3431" s="1" t="s">
        <v>6876</v>
      </c>
      <c r="G3431" s="1">
        <v>30511.0</v>
      </c>
      <c r="H3431" s="1">
        <v>226.0</v>
      </c>
      <c r="I3431" s="1" t="s">
        <v>16</v>
      </c>
      <c r="J3431" s="1">
        <v>3000000.0</v>
      </c>
      <c r="K3431" s="1">
        <v>2011.0</v>
      </c>
      <c r="L3431" s="1">
        <v>5.8</v>
      </c>
      <c r="O3431" s="3"/>
      <c r="S3431" s="4"/>
    </row>
    <row r="3432" ht="14.25" customHeight="1">
      <c r="A3432" s="1" t="s">
        <v>111</v>
      </c>
      <c r="B3432" s="1">
        <v>108.0</v>
      </c>
      <c r="C3432" s="1">
        <v>3.34185206E8</v>
      </c>
      <c r="D3432" s="1" t="s">
        <v>86</v>
      </c>
      <c r="E3432" s="1" t="s">
        <v>19</v>
      </c>
      <c r="F3432" s="1" t="s">
        <v>112</v>
      </c>
      <c r="G3432" s="1">
        <v>306336.0</v>
      </c>
      <c r="H3432" s="1">
        <v>736.0</v>
      </c>
      <c r="I3432" s="1" t="s">
        <v>16</v>
      </c>
      <c r="J3432" s="1">
        <v>2.0E8</v>
      </c>
      <c r="K3432" s="1">
        <v>2010.0</v>
      </c>
      <c r="L3432" s="1">
        <v>6.5</v>
      </c>
      <c r="O3432" s="3"/>
      <c r="S3432" s="4"/>
    </row>
    <row r="3433" ht="14.25" customHeight="1">
      <c r="A3433" s="1" t="s">
        <v>6877</v>
      </c>
      <c r="B3433" s="1">
        <v>96.0</v>
      </c>
      <c r="C3433" s="1">
        <v>5005.0</v>
      </c>
      <c r="D3433" s="1" t="s">
        <v>1391</v>
      </c>
      <c r="E3433" s="1" t="s">
        <v>6878</v>
      </c>
      <c r="F3433" s="1" t="s">
        <v>6879</v>
      </c>
      <c r="G3433" s="1">
        <v>2280.0</v>
      </c>
      <c r="H3433" s="1">
        <v>14.0</v>
      </c>
      <c r="I3433" s="1" t="s">
        <v>16</v>
      </c>
      <c r="J3433" s="1">
        <v>3000000.0</v>
      </c>
      <c r="K3433" s="1">
        <v>2009.0</v>
      </c>
      <c r="L3433" s="1">
        <v>5.9</v>
      </c>
      <c r="O3433" s="3"/>
      <c r="S3433" s="4"/>
    </row>
    <row r="3434" ht="14.25" customHeight="1">
      <c r="A3434" s="1" t="s">
        <v>364</v>
      </c>
      <c r="B3434" s="1">
        <v>105.0</v>
      </c>
      <c r="C3434" s="1">
        <v>2.01148159E8</v>
      </c>
      <c r="D3434" s="1" t="s">
        <v>841</v>
      </c>
      <c r="E3434" s="1" t="s">
        <v>842</v>
      </c>
      <c r="F3434" s="1" t="s">
        <v>843</v>
      </c>
      <c r="G3434" s="1">
        <v>103749.0</v>
      </c>
      <c r="H3434" s="1">
        <v>323.0</v>
      </c>
      <c r="I3434" s="1" t="s">
        <v>16</v>
      </c>
      <c r="J3434" s="1">
        <v>9.5E7</v>
      </c>
      <c r="K3434" s="1">
        <v>2015.0</v>
      </c>
      <c r="L3434" s="1">
        <v>7.0</v>
      </c>
      <c r="O3434" s="3"/>
      <c r="S3434" s="4"/>
    </row>
    <row r="3435" ht="14.25" customHeight="1">
      <c r="A3435" s="1" t="s">
        <v>1789</v>
      </c>
      <c r="B3435" s="1">
        <v>113.0</v>
      </c>
      <c r="C3435" s="1">
        <v>5595428.0</v>
      </c>
      <c r="D3435" s="1" t="s">
        <v>1391</v>
      </c>
      <c r="E3435" s="1" t="s">
        <v>6880</v>
      </c>
      <c r="F3435" s="1" t="s">
        <v>6881</v>
      </c>
      <c r="G3435" s="1">
        <v>28951.0</v>
      </c>
      <c r="H3435" s="1">
        <v>257.0</v>
      </c>
      <c r="I3435" s="1" t="s">
        <v>6182</v>
      </c>
      <c r="J3435" s="1">
        <v>2900000.0</v>
      </c>
      <c r="K3435" s="1">
        <v>1998.0</v>
      </c>
      <c r="L3435" s="1">
        <v>8.0</v>
      </c>
      <c r="O3435" s="3"/>
      <c r="S3435" s="4"/>
    </row>
    <row r="3436" ht="14.25" customHeight="1">
      <c r="A3436" s="1" t="s">
        <v>6882</v>
      </c>
      <c r="B3436" s="1">
        <v>105.0</v>
      </c>
      <c r="C3436" s="1">
        <v>3123749.0</v>
      </c>
      <c r="D3436" s="1" t="s">
        <v>699</v>
      </c>
      <c r="E3436" s="1" t="s">
        <v>6883</v>
      </c>
      <c r="F3436" s="1" t="s">
        <v>6884</v>
      </c>
      <c r="G3436" s="1">
        <v>746.0</v>
      </c>
      <c r="H3436" s="1">
        <v>27.0</v>
      </c>
      <c r="I3436" s="1" t="s">
        <v>16</v>
      </c>
      <c r="J3436" s="1">
        <v>1500000.0</v>
      </c>
      <c r="K3436" s="1">
        <v>2005.0</v>
      </c>
      <c r="L3436" s="1">
        <v>6.5</v>
      </c>
      <c r="O3436" s="3"/>
      <c r="S3436" s="4"/>
    </row>
    <row r="3437" ht="14.25" customHeight="1">
      <c r="A3437" s="1" t="s">
        <v>6885</v>
      </c>
      <c r="B3437" s="1">
        <v>93.0</v>
      </c>
      <c r="C3437" s="1">
        <v>100675.0</v>
      </c>
      <c r="D3437" s="1" t="s">
        <v>3521</v>
      </c>
      <c r="E3437" s="1" t="s">
        <v>6886</v>
      </c>
      <c r="F3437" s="1" t="s">
        <v>6887</v>
      </c>
      <c r="G3437" s="1">
        <v>5695.0</v>
      </c>
      <c r="H3437" s="1">
        <v>23.0</v>
      </c>
      <c r="I3437" s="1" t="s">
        <v>16</v>
      </c>
      <c r="J3437" s="1">
        <v>3000000.0</v>
      </c>
      <c r="K3437" s="1">
        <v>2010.0</v>
      </c>
      <c r="L3437" s="1">
        <v>6.4</v>
      </c>
      <c r="O3437" s="3"/>
      <c r="S3437" s="4"/>
    </row>
    <row r="3438" ht="14.25" customHeight="1">
      <c r="A3438" s="1" t="s">
        <v>2969</v>
      </c>
      <c r="B3438" s="1">
        <v>89.0</v>
      </c>
      <c r="C3438" s="1">
        <v>3645438.0</v>
      </c>
      <c r="D3438" s="1" t="s">
        <v>2551</v>
      </c>
      <c r="E3438" s="1" t="s">
        <v>6888</v>
      </c>
      <c r="F3438" s="1" t="s">
        <v>6889</v>
      </c>
      <c r="G3438" s="1">
        <v>55040.0</v>
      </c>
      <c r="H3438" s="1">
        <v>539.0</v>
      </c>
      <c r="I3438" s="1" t="s">
        <v>1189</v>
      </c>
      <c r="J3438" s="1">
        <v>2200000.0</v>
      </c>
      <c r="K3438" s="1">
        <v>2003.0</v>
      </c>
      <c r="L3438" s="1">
        <v>6.8</v>
      </c>
      <c r="O3438" s="3"/>
      <c r="S3438" s="4"/>
    </row>
    <row r="3439" ht="14.25" customHeight="1">
      <c r="A3439" s="1" t="s">
        <v>4994</v>
      </c>
      <c r="B3439" s="1">
        <v>116.0</v>
      </c>
      <c r="C3439" s="1">
        <v>2.2201636E7</v>
      </c>
      <c r="D3439" s="1" t="s">
        <v>2230</v>
      </c>
      <c r="E3439" s="1" t="s">
        <v>6890</v>
      </c>
      <c r="F3439" s="1" t="s">
        <v>6891</v>
      </c>
      <c r="G3439" s="1">
        <v>33567.0</v>
      </c>
      <c r="H3439" s="1">
        <v>206.0</v>
      </c>
      <c r="I3439" s="1" t="s">
        <v>16</v>
      </c>
      <c r="J3439" s="1">
        <v>8000000.0</v>
      </c>
      <c r="K3439" s="1">
        <v>2005.0</v>
      </c>
      <c r="L3439" s="1">
        <v>7.4</v>
      </c>
      <c r="O3439" s="3"/>
      <c r="S3439" s="4"/>
    </row>
    <row r="3440" ht="14.25" customHeight="1">
      <c r="A3440" s="1" t="s">
        <v>6892</v>
      </c>
      <c r="B3440" s="1">
        <v>120.0</v>
      </c>
      <c r="C3440" s="1">
        <v>2.5E7</v>
      </c>
      <c r="D3440" s="1" t="s">
        <v>4674</v>
      </c>
      <c r="E3440" s="1" t="s">
        <v>6893</v>
      </c>
      <c r="F3440" s="1" t="s">
        <v>6894</v>
      </c>
      <c r="G3440" s="1">
        <v>175196.0</v>
      </c>
      <c r="H3440" s="1">
        <v>350.0</v>
      </c>
      <c r="I3440" s="1" t="s">
        <v>16</v>
      </c>
      <c r="J3440" s="1">
        <v>2883848.0</v>
      </c>
      <c r="K3440" s="1">
        <v>1959.0</v>
      </c>
      <c r="L3440" s="1">
        <v>8.3</v>
      </c>
      <c r="O3440" s="3"/>
      <c r="S3440" s="4"/>
    </row>
    <row r="3441" ht="14.25" customHeight="1">
      <c r="A3441" s="1" t="s">
        <v>6895</v>
      </c>
      <c r="B3441" s="1">
        <v>88.0</v>
      </c>
      <c r="C3441" s="1">
        <v>1.9170001E7</v>
      </c>
      <c r="D3441" s="1" t="s">
        <v>2551</v>
      </c>
      <c r="E3441" s="1" t="s">
        <v>6437</v>
      </c>
      <c r="F3441" s="1" t="s">
        <v>6896</v>
      </c>
      <c r="G3441" s="1">
        <v>21359.0</v>
      </c>
      <c r="H3441" s="1">
        <v>270.0</v>
      </c>
      <c r="I3441" s="1" t="s">
        <v>16</v>
      </c>
      <c r="J3441" s="1">
        <v>2800000.0</v>
      </c>
      <c r="K3441" s="1">
        <v>1988.0</v>
      </c>
      <c r="L3441" s="1">
        <v>5.3</v>
      </c>
      <c r="O3441" s="3"/>
      <c r="S3441" s="4"/>
    </row>
    <row r="3442" ht="14.25" customHeight="1">
      <c r="A3442" s="1" t="s">
        <v>6692</v>
      </c>
      <c r="B3442" s="1">
        <v>102.0</v>
      </c>
      <c r="C3442" s="1">
        <v>2.2202612E7</v>
      </c>
      <c r="D3442" s="1" t="s">
        <v>3816</v>
      </c>
      <c r="E3442" s="1" t="s">
        <v>6897</v>
      </c>
      <c r="F3442" s="1" t="s">
        <v>6898</v>
      </c>
      <c r="G3442" s="1">
        <v>291875.0</v>
      </c>
      <c r="H3442" s="1">
        <v>533.0</v>
      </c>
      <c r="I3442" s="1" t="s">
        <v>16</v>
      </c>
      <c r="J3442" s="1">
        <v>2800000.0</v>
      </c>
      <c r="K3442" s="1">
        <v>1939.0</v>
      </c>
      <c r="L3442" s="1">
        <v>8.1</v>
      </c>
      <c r="O3442" s="3"/>
      <c r="S3442" s="4"/>
    </row>
    <row r="3443" ht="14.25" customHeight="1">
      <c r="A3443" s="1" t="s">
        <v>4001</v>
      </c>
      <c r="B3443" s="1">
        <v>106.0</v>
      </c>
      <c r="C3443" s="1">
        <v>8.63E7</v>
      </c>
      <c r="D3443" s="1" t="s">
        <v>828</v>
      </c>
      <c r="E3443" s="1" t="s">
        <v>6899</v>
      </c>
      <c r="F3443" s="1" t="s">
        <v>6900</v>
      </c>
      <c r="G3443" s="1">
        <v>112671.0</v>
      </c>
      <c r="H3443" s="1">
        <v>315.0</v>
      </c>
      <c r="I3443" s="1" t="s">
        <v>16</v>
      </c>
      <c r="J3443" s="1">
        <v>2800000.0</v>
      </c>
      <c r="K3443" s="1">
        <v>1974.0</v>
      </c>
      <c r="L3443" s="1">
        <v>8.0</v>
      </c>
      <c r="O3443" s="3"/>
      <c r="S3443" s="4"/>
    </row>
    <row r="3444" ht="14.25" customHeight="1">
      <c r="A3444" s="1" t="s">
        <v>4496</v>
      </c>
      <c r="B3444" s="1">
        <v>95.0</v>
      </c>
      <c r="C3444" s="1">
        <v>952620.0</v>
      </c>
      <c r="D3444" s="1" t="s">
        <v>2551</v>
      </c>
      <c r="E3444" s="1" t="s">
        <v>6901</v>
      </c>
      <c r="F3444" s="1" t="s">
        <v>6902</v>
      </c>
      <c r="G3444" s="1">
        <v>40800.0</v>
      </c>
      <c r="H3444" s="1">
        <v>332.0</v>
      </c>
      <c r="I3444" s="1" t="s">
        <v>16</v>
      </c>
      <c r="J3444" s="1">
        <v>2000000.0</v>
      </c>
      <c r="K3444" s="1">
        <v>2007.0</v>
      </c>
      <c r="L3444" s="1">
        <v>5.7</v>
      </c>
      <c r="O3444" s="3"/>
      <c r="S3444" s="4"/>
    </row>
    <row r="3445" ht="14.25" customHeight="1">
      <c r="A3445" s="1" t="s">
        <v>6903</v>
      </c>
      <c r="B3445" s="1">
        <v>113.0</v>
      </c>
      <c r="C3445" s="1">
        <v>9054736.0</v>
      </c>
      <c r="D3445" s="1" t="s">
        <v>1391</v>
      </c>
      <c r="E3445" s="1" t="s">
        <v>5734</v>
      </c>
      <c r="F3445" s="1" t="s">
        <v>6904</v>
      </c>
      <c r="G3445" s="1">
        <v>5744.0</v>
      </c>
      <c r="H3445" s="1">
        <v>57.0</v>
      </c>
      <c r="I3445" s="1" t="s">
        <v>16</v>
      </c>
      <c r="J3445" s="1">
        <v>2700000.0</v>
      </c>
      <c r="K3445" s="1">
        <v>1997.0</v>
      </c>
      <c r="L3445" s="1">
        <v>7.1</v>
      </c>
      <c r="O3445" s="3"/>
      <c r="S3445" s="4"/>
    </row>
    <row r="3446" ht="14.25" customHeight="1">
      <c r="A3446" s="1" t="s">
        <v>4001</v>
      </c>
      <c r="B3446" s="1">
        <v>93.0</v>
      </c>
      <c r="C3446" s="1">
        <v>1.195E8</v>
      </c>
      <c r="D3446" s="1" t="s">
        <v>2631</v>
      </c>
      <c r="E3446" s="1" t="s">
        <v>6899</v>
      </c>
      <c r="F3446" s="1" t="s">
        <v>6905</v>
      </c>
      <c r="G3446" s="1">
        <v>95294.0</v>
      </c>
      <c r="H3446" s="1">
        <v>363.0</v>
      </c>
      <c r="I3446" s="1" t="s">
        <v>16</v>
      </c>
      <c r="J3446" s="1">
        <v>2600000.0</v>
      </c>
      <c r="K3446" s="1">
        <v>1974.0</v>
      </c>
      <c r="L3446" s="1">
        <v>7.8</v>
      </c>
      <c r="O3446" s="3"/>
      <c r="S3446" s="4"/>
    </row>
    <row r="3447" ht="14.25" customHeight="1">
      <c r="A3447" s="1" t="s">
        <v>6906</v>
      </c>
      <c r="B3447" s="1">
        <v>97.0</v>
      </c>
      <c r="C3447" s="1">
        <v>3.26E7</v>
      </c>
      <c r="D3447" s="1" t="s">
        <v>2657</v>
      </c>
      <c r="E3447" s="1" t="s">
        <v>6907</v>
      </c>
      <c r="F3447" s="1" t="s">
        <v>6908</v>
      </c>
      <c r="G3447" s="1">
        <v>29488.0</v>
      </c>
      <c r="H3447" s="1">
        <v>326.0</v>
      </c>
      <c r="I3447" s="1" t="s">
        <v>16</v>
      </c>
      <c r="J3447" s="1">
        <v>1800000.0</v>
      </c>
      <c r="K3447" s="1">
        <v>1984.0</v>
      </c>
      <c r="L3447" s="1">
        <v>5.9</v>
      </c>
      <c r="O3447" s="3"/>
      <c r="S3447" s="4"/>
    </row>
    <row r="3448" ht="14.25" customHeight="1">
      <c r="A3448" s="1" t="s">
        <v>4809</v>
      </c>
      <c r="B3448" s="1">
        <v>140.0</v>
      </c>
      <c r="C3448" s="1">
        <v>3130592.0</v>
      </c>
      <c r="D3448" s="1" t="s">
        <v>92</v>
      </c>
      <c r="E3448" s="1" t="s">
        <v>6909</v>
      </c>
      <c r="F3448" s="1" t="s">
        <v>6910</v>
      </c>
      <c r="G3448" s="1">
        <v>10755.0</v>
      </c>
      <c r="H3448" s="1">
        <v>69.0</v>
      </c>
      <c r="I3448" s="1" t="s">
        <v>16</v>
      </c>
      <c r="J3448" s="1">
        <v>2600000.0</v>
      </c>
      <c r="K3448" s="1">
        <v>1987.0</v>
      </c>
      <c r="L3448" s="1">
        <v>7.8</v>
      </c>
      <c r="O3448" s="3"/>
      <c r="S3448" s="4"/>
    </row>
    <row r="3449" ht="14.25" customHeight="1">
      <c r="A3449" s="1" t="s">
        <v>6911</v>
      </c>
      <c r="B3449" s="1">
        <v>86.0</v>
      </c>
      <c r="C3449" s="1">
        <v>475000.0</v>
      </c>
      <c r="D3449" s="1" t="s">
        <v>1592</v>
      </c>
      <c r="E3449" s="1" t="s">
        <v>3476</v>
      </c>
      <c r="F3449" s="1" t="s">
        <v>6912</v>
      </c>
      <c r="G3449" s="1">
        <v>6930.0</v>
      </c>
      <c r="H3449" s="1">
        <v>53.0</v>
      </c>
      <c r="I3449" s="1" t="s">
        <v>16</v>
      </c>
      <c r="J3449" s="1">
        <v>2800000.0</v>
      </c>
      <c r="K3449" s="1">
        <v>2006.0</v>
      </c>
      <c r="L3449" s="1">
        <v>6.0</v>
      </c>
      <c r="O3449" s="3"/>
      <c r="S3449" s="4"/>
    </row>
    <row r="3450" ht="14.25" customHeight="1">
      <c r="A3450" s="1" t="s">
        <v>3080</v>
      </c>
      <c r="B3450" s="1">
        <v>109.0</v>
      </c>
      <c r="C3450" s="1">
        <v>1.0654581E7</v>
      </c>
      <c r="D3450" s="1" t="s">
        <v>1112</v>
      </c>
      <c r="E3450" s="1" t="s">
        <v>19</v>
      </c>
      <c r="F3450" s="1" t="s">
        <v>3081</v>
      </c>
      <c r="G3450" s="1">
        <v>45500.0</v>
      </c>
      <c r="H3450" s="1">
        <v>260.0</v>
      </c>
      <c r="I3450" s="1" t="s">
        <v>16</v>
      </c>
      <c r="J3450" s="1">
        <v>3.4E7</v>
      </c>
      <c r="K3450" s="1">
        <v>1999.0</v>
      </c>
      <c r="L3450" s="1">
        <v>5.3</v>
      </c>
      <c r="O3450" s="3"/>
      <c r="S3450" s="4"/>
    </row>
    <row r="3451" ht="14.25" customHeight="1">
      <c r="A3451" s="1" t="s">
        <v>6913</v>
      </c>
      <c r="B3451" s="1">
        <v>66.0</v>
      </c>
      <c r="C3451" s="1">
        <v>38108.0</v>
      </c>
      <c r="D3451" s="1" t="s">
        <v>1742</v>
      </c>
      <c r="E3451" s="1" t="s">
        <v>6914</v>
      </c>
      <c r="F3451" s="1" t="s">
        <v>6915</v>
      </c>
      <c r="G3451" s="1">
        <v>40878.0</v>
      </c>
      <c r="H3451" s="1">
        <v>124.0</v>
      </c>
      <c r="I3451" s="1" t="s">
        <v>1144</v>
      </c>
      <c r="J3451" s="1">
        <v>2600000.0</v>
      </c>
      <c r="K3451" s="1">
        <v>2007.0</v>
      </c>
      <c r="L3451" s="1">
        <v>7.2</v>
      </c>
      <c r="O3451" s="3"/>
      <c r="S3451" s="4"/>
    </row>
    <row r="3452" ht="14.25" customHeight="1">
      <c r="A3452" s="1" t="s">
        <v>6465</v>
      </c>
      <c r="B3452" s="1">
        <v>86.0</v>
      </c>
      <c r="C3452" s="1">
        <v>4.0041683E7</v>
      </c>
      <c r="D3452" s="1" t="s">
        <v>1148</v>
      </c>
      <c r="E3452" s="1" t="s">
        <v>6916</v>
      </c>
      <c r="F3452" s="1" t="s">
        <v>6917</v>
      </c>
      <c r="G3452" s="1">
        <v>34620.0</v>
      </c>
      <c r="H3452" s="1">
        <v>107.0</v>
      </c>
      <c r="I3452" s="1" t="s">
        <v>16</v>
      </c>
      <c r="J3452" s="1">
        <v>2500000.0</v>
      </c>
      <c r="K3452" s="1">
        <v>2013.0</v>
      </c>
      <c r="L3452" s="1">
        <v>5.1</v>
      </c>
      <c r="O3452" s="3"/>
      <c r="S3452" s="4"/>
    </row>
    <row r="3453" ht="14.25" customHeight="1">
      <c r="A3453" s="1" t="s">
        <v>6918</v>
      </c>
      <c r="B3453" s="1">
        <v>87.0</v>
      </c>
      <c r="C3453" s="1">
        <v>3.3349949E7</v>
      </c>
      <c r="D3453" s="1" t="s">
        <v>3521</v>
      </c>
      <c r="E3453" s="1" t="s">
        <v>6919</v>
      </c>
      <c r="F3453" s="1" t="s">
        <v>6920</v>
      </c>
      <c r="G3453" s="1">
        <v>9010.0</v>
      </c>
      <c r="H3453" s="1">
        <v>199.0</v>
      </c>
      <c r="I3453" s="1" t="s">
        <v>16</v>
      </c>
      <c r="J3453" s="1">
        <v>2500000.0</v>
      </c>
      <c r="K3453" s="1">
        <v>2012.0</v>
      </c>
      <c r="L3453" s="1">
        <v>5.1</v>
      </c>
      <c r="O3453" s="3"/>
      <c r="S3453" s="4"/>
    </row>
    <row r="3454" ht="14.25" customHeight="1">
      <c r="A3454" s="1" t="s">
        <v>140</v>
      </c>
      <c r="B3454" s="1">
        <v>149.0</v>
      </c>
      <c r="C3454" s="1">
        <v>2.5809813E7</v>
      </c>
      <c r="D3454" s="1" t="s">
        <v>3479</v>
      </c>
      <c r="E3454" s="1" t="s">
        <v>140</v>
      </c>
      <c r="F3454" s="1" t="s">
        <v>6921</v>
      </c>
      <c r="G3454" s="1">
        <v>50311.0</v>
      </c>
      <c r="H3454" s="1">
        <v>212.0</v>
      </c>
      <c r="I3454" s="1" t="s">
        <v>16</v>
      </c>
      <c r="J3454" s="1">
        <v>2.6E7</v>
      </c>
      <c r="K3454" s="1">
        <v>1996.0</v>
      </c>
      <c r="L3454" s="1">
        <v>6.9</v>
      </c>
      <c r="O3454" s="3"/>
      <c r="S3454" s="4"/>
    </row>
    <row r="3455" ht="14.25" customHeight="1">
      <c r="A3455" s="1" t="s">
        <v>6922</v>
      </c>
      <c r="B3455" s="1">
        <v>98.0</v>
      </c>
      <c r="C3455" s="1">
        <v>1.44E7</v>
      </c>
      <c r="D3455" s="1" t="s">
        <v>2807</v>
      </c>
      <c r="E3455" s="1" t="s">
        <v>6923</v>
      </c>
      <c r="F3455" s="1" t="s">
        <v>6924</v>
      </c>
      <c r="G3455" s="1">
        <v>28589.0</v>
      </c>
      <c r="H3455" s="1">
        <v>532.0</v>
      </c>
      <c r="I3455" s="1" t="s">
        <v>16</v>
      </c>
      <c r="J3455" s="1">
        <v>2500000.0</v>
      </c>
      <c r="K3455" s="1">
        <v>1982.0</v>
      </c>
      <c r="L3455" s="1">
        <v>4.6</v>
      </c>
      <c r="O3455" s="3"/>
      <c r="S3455" s="4"/>
    </row>
    <row r="3456" ht="14.25" customHeight="1">
      <c r="A3456" s="1" t="s">
        <v>6925</v>
      </c>
      <c r="B3456" s="1">
        <v>75.0</v>
      </c>
      <c r="C3456" s="1">
        <v>3.2230907E7</v>
      </c>
      <c r="D3456" s="1" t="s">
        <v>6384</v>
      </c>
      <c r="E3456" s="1" t="s">
        <v>6926</v>
      </c>
      <c r="F3456" s="1" t="s">
        <v>6927</v>
      </c>
      <c r="G3456" s="1">
        <v>6062.0</v>
      </c>
      <c r="H3456" s="1">
        <v>30.0</v>
      </c>
      <c r="I3456" s="1" t="s">
        <v>16</v>
      </c>
      <c r="J3456" s="1">
        <v>2500000.0</v>
      </c>
      <c r="K3456" s="1">
        <v>2013.0</v>
      </c>
      <c r="L3456" s="1">
        <v>6.7</v>
      </c>
      <c r="O3456" s="3"/>
      <c r="S3456" s="4"/>
    </row>
    <row r="3457" ht="14.25" customHeight="1">
      <c r="A3457" s="1" t="s">
        <v>2409</v>
      </c>
      <c r="B3457" s="1">
        <v>104.0</v>
      </c>
      <c r="C3457" s="1">
        <v>6401336.0</v>
      </c>
      <c r="D3457" s="1" t="s">
        <v>1391</v>
      </c>
      <c r="E3457" s="1" t="s">
        <v>252</v>
      </c>
      <c r="F3457" s="1" t="s">
        <v>6928</v>
      </c>
      <c r="G3457" s="1">
        <v>36996.0</v>
      </c>
      <c r="H3457" s="1">
        <v>153.0</v>
      </c>
      <c r="I3457" s="1" t="s">
        <v>16</v>
      </c>
      <c r="J3457" s="1">
        <v>2500000.0</v>
      </c>
      <c r="K3457" s="1">
        <v>1991.0</v>
      </c>
      <c r="L3457" s="1">
        <v>7.1</v>
      </c>
      <c r="O3457" s="3"/>
      <c r="S3457" s="4"/>
    </row>
    <row r="3458" ht="14.25" customHeight="1">
      <c r="A3458" s="1" t="s">
        <v>6294</v>
      </c>
      <c r="B3458" s="1">
        <v>102.0</v>
      </c>
      <c r="C3458" s="1">
        <v>2.6781723E7</v>
      </c>
      <c r="D3458" s="1" t="s">
        <v>593</v>
      </c>
      <c r="E3458" s="1" t="s">
        <v>6772</v>
      </c>
      <c r="F3458" s="1" t="s">
        <v>6929</v>
      </c>
      <c r="G3458" s="1">
        <v>187595.0</v>
      </c>
      <c r="H3458" s="1">
        <v>978.0</v>
      </c>
      <c r="I3458" s="1" t="s">
        <v>16</v>
      </c>
      <c r="J3458" s="1">
        <v>2500000.0</v>
      </c>
      <c r="K3458" s="1">
        <v>2004.0</v>
      </c>
      <c r="L3458" s="1">
        <v>7.6</v>
      </c>
      <c r="O3458" s="3"/>
      <c r="S3458" s="4"/>
    </row>
    <row r="3459" ht="14.25" customHeight="1">
      <c r="A3459" s="1" t="s">
        <v>3582</v>
      </c>
      <c r="B3459" s="1">
        <v>105.0</v>
      </c>
      <c r="C3459" s="1">
        <v>5400000.0</v>
      </c>
      <c r="D3459" s="1" t="s">
        <v>92</v>
      </c>
      <c r="E3459" s="1" t="s">
        <v>6930</v>
      </c>
      <c r="F3459" s="1" t="s">
        <v>6931</v>
      </c>
      <c r="G3459" s="1">
        <v>183288.0</v>
      </c>
      <c r="H3459" s="1">
        <v>395.0</v>
      </c>
      <c r="I3459" s="1" t="s">
        <v>16</v>
      </c>
      <c r="J3459" s="1">
        <v>2500000.0</v>
      </c>
      <c r="K3459" s="1">
        <v>1995.0</v>
      </c>
      <c r="L3459" s="1">
        <v>8.1</v>
      </c>
      <c r="O3459" s="3"/>
      <c r="S3459" s="4"/>
    </row>
    <row r="3460" ht="14.25" customHeight="1">
      <c r="A3460" s="1" t="s">
        <v>6932</v>
      </c>
      <c r="B3460" s="1">
        <v>107.0</v>
      </c>
      <c r="C3460" s="1">
        <v>1282084.0</v>
      </c>
      <c r="D3460" s="1" t="s">
        <v>1391</v>
      </c>
      <c r="E3460" s="1" t="s">
        <v>4185</v>
      </c>
      <c r="F3460" s="1" t="s">
        <v>6933</v>
      </c>
      <c r="G3460" s="1">
        <v>6221.0</v>
      </c>
      <c r="H3460" s="1">
        <v>87.0</v>
      </c>
      <c r="I3460" s="1" t="s">
        <v>16</v>
      </c>
      <c r="J3460" s="1">
        <v>2500000.0</v>
      </c>
      <c r="K3460" s="1">
        <v>1999.0</v>
      </c>
      <c r="L3460" s="1">
        <v>7.0</v>
      </c>
      <c r="O3460" s="3"/>
      <c r="S3460" s="4"/>
    </row>
    <row r="3461" ht="14.25" customHeight="1">
      <c r="A3461" s="1" t="s">
        <v>5383</v>
      </c>
      <c r="B3461" s="1">
        <v>89.0</v>
      </c>
      <c r="C3461" s="1">
        <v>3325638.0</v>
      </c>
      <c r="D3461" s="1" t="s">
        <v>6934</v>
      </c>
      <c r="E3461" s="1" t="s">
        <v>1392</v>
      </c>
      <c r="F3461" s="1" t="s">
        <v>6935</v>
      </c>
      <c r="G3461" s="1">
        <v>52509.0</v>
      </c>
      <c r="H3461" s="1">
        <v>84.0</v>
      </c>
      <c r="I3461" s="1" t="s">
        <v>16</v>
      </c>
      <c r="J3461" s="1">
        <v>2500000.0</v>
      </c>
      <c r="K3461" s="1">
        <v>2012.0</v>
      </c>
      <c r="L3461" s="1">
        <v>7.1</v>
      </c>
      <c r="O3461" s="3"/>
      <c r="S3461" s="4"/>
    </row>
    <row r="3462" ht="14.25" customHeight="1">
      <c r="A3462" s="1" t="s">
        <v>6936</v>
      </c>
      <c r="B3462" s="1">
        <v>106.0</v>
      </c>
      <c r="C3462" s="1">
        <v>395592.0</v>
      </c>
      <c r="D3462" s="1" t="s">
        <v>92</v>
      </c>
      <c r="E3462" s="1" t="s">
        <v>3381</v>
      </c>
      <c r="F3462" s="1" t="s">
        <v>6937</v>
      </c>
      <c r="G3462" s="1">
        <v>21202.0</v>
      </c>
      <c r="H3462" s="1">
        <v>134.0</v>
      </c>
      <c r="I3462" s="1" t="s">
        <v>16</v>
      </c>
      <c r="J3462" s="1">
        <v>2000000.0</v>
      </c>
      <c r="K3462" s="1">
        <v>2003.0</v>
      </c>
      <c r="L3462" s="1">
        <v>7.6</v>
      </c>
      <c r="O3462" s="3"/>
      <c r="S3462" s="4"/>
    </row>
    <row r="3463" ht="14.25" customHeight="1">
      <c r="A3463" s="1" t="s">
        <v>6938</v>
      </c>
      <c r="B3463" s="1">
        <v>95.0</v>
      </c>
      <c r="C3463" s="1">
        <v>6851969.0</v>
      </c>
      <c r="D3463" s="1" t="s">
        <v>593</v>
      </c>
      <c r="E3463" s="1" t="s">
        <v>4144</v>
      </c>
      <c r="F3463" s="1" t="s">
        <v>6939</v>
      </c>
      <c r="G3463" s="1">
        <v>105591.0</v>
      </c>
      <c r="H3463" s="1">
        <v>178.0</v>
      </c>
      <c r="I3463" s="1" t="s">
        <v>16</v>
      </c>
      <c r="J3463" s="1">
        <v>2500000.0</v>
      </c>
      <c r="K3463" s="1">
        <v>2013.0</v>
      </c>
      <c r="L3463" s="1">
        <v>7.1</v>
      </c>
      <c r="O3463" s="3"/>
      <c r="S3463" s="4"/>
    </row>
    <row r="3464" ht="14.25" customHeight="1">
      <c r="A3464" s="1" t="s">
        <v>6495</v>
      </c>
      <c r="B3464" s="1">
        <v>34.0</v>
      </c>
      <c r="C3464" s="1">
        <v>333658.0</v>
      </c>
      <c r="D3464" s="1" t="s">
        <v>6940</v>
      </c>
      <c r="E3464" s="1" t="s">
        <v>4940</v>
      </c>
      <c r="F3464" s="1" t="s">
        <v>6941</v>
      </c>
      <c r="G3464" s="1">
        <v>97.0</v>
      </c>
      <c r="H3464" s="1">
        <v>2.0</v>
      </c>
      <c r="I3464" s="1" t="s">
        <v>16</v>
      </c>
      <c r="J3464" s="1">
        <v>34000.0</v>
      </c>
      <c r="K3464" s="1">
        <v>1990.0</v>
      </c>
      <c r="L3464" s="1">
        <v>7.1</v>
      </c>
      <c r="O3464" s="3"/>
      <c r="S3464" s="4"/>
    </row>
    <row r="3465" ht="14.25" customHeight="1">
      <c r="A3465" s="1" t="s">
        <v>1514</v>
      </c>
      <c r="B3465" s="1">
        <v>101.0</v>
      </c>
      <c r="C3465" s="1">
        <v>1.2995673E7</v>
      </c>
      <c r="D3465" s="1" t="s">
        <v>6942</v>
      </c>
      <c r="E3465" s="1" t="s">
        <v>6943</v>
      </c>
      <c r="F3465" s="1" t="s">
        <v>6944</v>
      </c>
      <c r="G3465" s="1">
        <v>52286.0</v>
      </c>
      <c r="H3465" s="1">
        <v>345.0</v>
      </c>
      <c r="I3465" s="1" t="s">
        <v>16</v>
      </c>
      <c r="J3465" s="1">
        <v>2500000.0</v>
      </c>
      <c r="K3465" s="1">
        <v>2008.0</v>
      </c>
      <c r="L3465" s="1">
        <v>7.7</v>
      </c>
      <c r="O3465" s="3"/>
      <c r="S3465" s="4"/>
    </row>
    <row r="3466" ht="14.25" customHeight="1">
      <c r="A3466" s="1" t="s">
        <v>6945</v>
      </c>
      <c r="B3466" s="1">
        <v>112.0</v>
      </c>
      <c r="C3466" s="1">
        <v>173783.0</v>
      </c>
      <c r="D3466" s="1" t="s">
        <v>3521</v>
      </c>
      <c r="E3466" s="1" t="s">
        <v>5018</v>
      </c>
      <c r="F3466" s="1" t="s">
        <v>6946</v>
      </c>
      <c r="G3466" s="1">
        <v>578.0</v>
      </c>
      <c r="H3466" s="1">
        <v>34.0</v>
      </c>
      <c r="I3466" s="1" t="s">
        <v>16</v>
      </c>
      <c r="J3466" s="1">
        <v>2500000.0</v>
      </c>
      <c r="K3466" s="1">
        <v>2008.0</v>
      </c>
      <c r="L3466" s="1">
        <v>7.6</v>
      </c>
      <c r="O3466" s="3"/>
      <c r="S3466" s="4"/>
    </row>
    <row r="3467" ht="14.25" customHeight="1">
      <c r="A3467" s="1" t="s">
        <v>6947</v>
      </c>
      <c r="B3467" s="1">
        <v>100.0</v>
      </c>
      <c r="C3467" s="1">
        <v>118666.0</v>
      </c>
      <c r="D3467" s="1" t="s">
        <v>1391</v>
      </c>
      <c r="E3467" s="1" t="s">
        <v>3686</v>
      </c>
      <c r="F3467" s="1" t="s">
        <v>6948</v>
      </c>
      <c r="G3467" s="1">
        <v>91.0</v>
      </c>
      <c r="H3467" s="1">
        <v>3.0</v>
      </c>
      <c r="I3467" s="1" t="s">
        <v>16</v>
      </c>
      <c r="J3467" s="1">
        <v>2500000.0</v>
      </c>
      <c r="K3467" s="1">
        <v>2006.0</v>
      </c>
      <c r="L3467" s="1">
        <v>6.6</v>
      </c>
      <c r="O3467" s="3"/>
      <c r="S3467" s="4"/>
    </row>
    <row r="3468" ht="14.25" customHeight="1">
      <c r="A3468" s="1" t="s">
        <v>2042</v>
      </c>
      <c r="B3468" s="1">
        <v>92.0</v>
      </c>
      <c r="C3468" s="1">
        <v>1.14324072E8</v>
      </c>
      <c r="D3468" s="1" t="s">
        <v>1592</v>
      </c>
      <c r="E3468" s="1" t="s">
        <v>1407</v>
      </c>
      <c r="F3468" s="1" t="s">
        <v>3215</v>
      </c>
      <c r="G3468" s="1">
        <v>185345.0</v>
      </c>
      <c r="H3468" s="1">
        <v>392.0</v>
      </c>
      <c r="I3468" s="1" t="s">
        <v>16</v>
      </c>
      <c r="J3468" s="1">
        <v>2.0E7</v>
      </c>
      <c r="K3468" s="1">
        <v>2004.0</v>
      </c>
      <c r="L3468" s="1">
        <v>6.7</v>
      </c>
      <c r="O3468" s="3"/>
      <c r="S3468" s="4"/>
    </row>
    <row r="3469" ht="14.25" customHeight="1">
      <c r="A3469" s="1" t="s">
        <v>6949</v>
      </c>
      <c r="B3469" s="1">
        <v>100.0</v>
      </c>
      <c r="C3469" s="1">
        <v>71904.0</v>
      </c>
      <c r="D3469" s="1" t="s">
        <v>1599</v>
      </c>
      <c r="E3469" s="1" t="s">
        <v>6235</v>
      </c>
      <c r="F3469" s="1" t="s">
        <v>6950</v>
      </c>
      <c r="G3469" s="1">
        <v>806.0</v>
      </c>
      <c r="H3469" s="1">
        <v>18.0</v>
      </c>
      <c r="I3469" s="1" t="s">
        <v>16</v>
      </c>
      <c r="J3469" s="1">
        <v>2500000.0</v>
      </c>
      <c r="K3469" s="1">
        <v>2006.0</v>
      </c>
      <c r="L3469" s="1">
        <v>5.7</v>
      </c>
      <c r="O3469" s="3"/>
      <c r="S3469" s="4"/>
    </row>
    <row r="3470" ht="14.25" customHeight="1">
      <c r="A3470" s="1" t="s">
        <v>6951</v>
      </c>
      <c r="B3470" s="1">
        <v>80.0</v>
      </c>
      <c r="C3470" s="1">
        <v>99851.0</v>
      </c>
      <c r="D3470" s="1" t="s">
        <v>3521</v>
      </c>
      <c r="E3470" s="1" t="s">
        <v>6952</v>
      </c>
      <c r="F3470" s="1" t="s">
        <v>6953</v>
      </c>
      <c r="G3470" s="1">
        <v>1138.0</v>
      </c>
      <c r="H3470" s="1">
        <v>30.0</v>
      </c>
      <c r="I3470" s="1" t="s">
        <v>16</v>
      </c>
      <c r="J3470" s="1">
        <v>2500000.0</v>
      </c>
      <c r="K3470" s="1">
        <v>2010.0</v>
      </c>
      <c r="L3470" s="1">
        <v>7.1</v>
      </c>
      <c r="O3470" s="3"/>
      <c r="S3470" s="4"/>
    </row>
    <row r="3471" ht="14.25" customHeight="1">
      <c r="A3471" s="1" t="s">
        <v>6954</v>
      </c>
      <c r="B3471" s="1">
        <v>106.0</v>
      </c>
      <c r="C3471" s="1">
        <v>115504.0</v>
      </c>
      <c r="D3471" s="1" t="s">
        <v>593</v>
      </c>
      <c r="E3471" s="1" t="s">
        <v>1038</v>
      </c>
      <c r="F3471" s="1" t="s">
        <v>6955</v>
      </c>
      <c r="G3471" s="1">
        <v>4820.0</v>
      </c>
      <c r="H3471" s="1">
        <v>26.0</v>
      </c>
      <c r="I3471" s="1" t="s">
        <v>16</v>
      </c>
      <c r="J3471" s="1">
        <v>1.4E7</v>
      </c>
      <c r="K3471" s="1">
        <v>2008.0</v>
      </c>
      <c r="L3471" s="1">
        <v>6.2</v>
      </c>
      <c r="O3471" s="3"/>
      <c r="S3471" s="4"/>
    </row>
    <row r="3472" ht="14.25" customHeight="1">
      <c r="A3472" s="1" t="s">
        <v>5065</v>
      </c>
      <c r="B3472" s="1">
        <v>103.0</v>
      </c>
      <c r="C3472" s="1">
        <v>5725.0</v>
      </c>
      <c r="D3472" s="1" t="s">
        <v>2657</v>
      </c>
      <c r="E3472" s="1" t="s">
        <v>6956</v>
      </c>
      <c r="F3472" s="1" t="s">
        <v>6957</v>
      </c>
      <c r="G3472" s="1">
        <v>10220.0</v>
      </c>
      <c r="H3472" s="1">
        <v>110.0</v>
      </c>
      <c r="I3472" s="1" t="s">
        <v>4449</v>
      </c>
      <c r="J3472" s="1">
        <v>8400000.0</v>
      </c>
      <c r="K3472" s="1">
        <v>2000.0</v>
      </c>
      <c r="L3472" s="1">
        <v>6.1</v>
      </c>
      <c r="O3472" s="3"/>
      <c r="S3472" s="4"/>
    </row>
    <row r="3473" ht="14.25" customHeight="1">
      <c r="A3473" s="1" t="s">
        <v>6958</v>
      </c>
      <c r="B3473" s="1">
        <v>90.0</v>
      </c>
      <c r="C3473" s="1">
        <v>75727.0</v>
      </c>
      <c r="D3473" s="1" t="s">
        <v>6054</v>
      </c>
      <c r="E3473" s="1" t="s">
        <v>6959</v>
      </c>
      <c r="F3473" s="1" t="s">
        <v>6960</v>
      </c>
      <c r="G3473" s="1">
        <v>5699.0</v>
      </c>
      <c r="H3473" s="1">
        <v>40.0</v>
      </c>
      <c r="I3473" s="1" t="s">
        <v>1144</v>
      </c>
      <c r="J3473" s="1">
        <v>2500000.0</v>
      </c>
      <c r="K3473" s="1">
        <v>2008.0</v>
      </c>
      <c r="L3473" s="1">
        <v>5.9</v>
      </c>
      <c r="O3473" s="3"/>
      <c r="S3473" s="4"/>
    </row>
    <row r="3474" ht="14.25" customHeight="1">
      <c r="A3474" s="1" t="s">
        <v>281</v>
      </c>
      <c r="B3474" s="1">
        <v>96.0</v>
      </c>
      <c r="C3474" s="1">
        <v>322157.0</v>
      </c>
      <c r="D3474" s="1" t="s">
        <v>3596</v>
      </c>
      <c r="E3474" s="1" t="s">
        <v>4508</v>
      </c>
      <c r="F3474" s="1" t="s">
        <v>6961</v>
      </c>
      <c r="G3474" s="1">
        <v>61787.0</v>
      </c>
      <c r="H3474" s="1">
        <v>203.0</v>
      </c>
      <c r="I3474" s="1" t="s">
        <v>16</v>
      </c>
      <c r="J3474" s="1">
        <v>2500000.0</v>
      </c>
      <c r="K3474" s="1">
        <v>2010.0</v>
      </c>
      <c r="L3474" s="1">
        <v>6.8</v>
      </c>
      <c r="O3474" s="3"/>
      <c r="S3474" s="4"/>
    </row>
    <row r="3475" ht="14.25" customHeight="1">
      <c r="A3475" s="1" t="s">
        <v>2048</v>
      </c>
      <c r="B3475" s="1">
        <v>120.0</v>
      </c>
      <c r="C3475" s="1">
        <v>5731103.0</v>
      </c>
      <c r="D3475" s="1" t="s">
        <v>2596</v>
      </c>
      <c r="E3475" s="1" t="s">
        <v>343</v>
      </c>
      <c r="F3475" s="1" t="s">
        <v>6962</v>
      </c>
      <c r="G3475" s="1">
        <v>4100.0</v>
      </c>
      <c r="H3475" s="1">
        <v>35.0</v>
      </c>
      <c r="I3475" s="1" t="s">
        <v>16</v>
      </c>
      <c r="J3475" s="1">
        <v>2400000.0</v>
      </c>
      <c r="K3475" s="1">
        <v>1996.0</v>
      </c>
      <c r="L3475" s="1">
        <v>6.8</v>
      </c>
      <c r="O3475" s="3"/>
      <c r="S3475" s="4"/>
    </row>
    <row r="3476" ht="14.25" customHeight="1">
      <c r="A3476" s="1" t="s">
        <v>6963</v>
      </c>
      <c r="B3476" s="1">
        <v>101.0</v>
      </c>
      <c r="C3476" s="1">
        <v>978908.0</v>
      </c>
      <c r="D3476" s="1" t="s">
        <v>2439</v>
      </c>
      <c r="E3476" s="1" t="s">
        <v>1787</v>
      </c>
      <c r="F3476" s="1" t="s">
        <v>6964</v>
      </c>
      <c r="G3476" s="1">
        <v>4057.0</v>
      </c>
      <c r="H3476" s="1">
        <v>90.0</v>
      </c>
      <c r="I3476" s="1" t="s">
        <v>16</v>
      </c>
      <c r="J3476" s="1">
        <v>2400000.0</v>
      </c>
      <c r="K3476" s="1">
        <v>2006.0</v>
      </c>
      <c r="L3476" s="1">
        <v>5.1</v>
      </c>
      <c r="O3476" s="3"/>
      <c r="S3476" s="4"/>
    </row>
    <row r="3477" ht="14.25" customHeight="1">
      <c r="A3477" s="1" t="s">
        <v>6965</v>
      </c>
      <c r="B3477" s="1">
        <v>101.0</v>
      </c>
      <c r="C3477" s="1">
        <v>327919.0</v>
      </c>
      <c r="D3477" s="1" t="s">
        <v>811</v>
      </c>
      <c r="E3477" s="1" t="s">
        <v>5071</v>
      </c>
      <c r="F3477" s="1" t="s">
        <v>6966</v>
      </c>
      <c r="G3477" s="1">
        <v>99177.0</v>
      </c>
      <c r="H3477" s="1">
        <v>192.0</v>
      </c>
      <c r="I3477" s="1" t="s">
        <v>16</v>
      </c>
      <c r="J3477" s="1">
        <v>1500000.0</v>
      </c>
      <c r="K3477" s="1">
        <v>2006.0</v>
      </c>
      <c r="L3477" s="1">
        <v>7.7</v>
      </c>
      <c r="O3477" s="3"/>
      <c r="S3477" s="4"/>
    </row>
    <row r="3478" ht="14.25" customHeight="1">
      <c r="A3478" s="1" t="s">
        <v>6967</v>
      </c>
      <c r="B3478" s="1">
        <v>105.0</v>
      </c>
      <c r="C3478" s="1">
        <v>178739.0</v>
      </c>
      <c r="D3478" s="1" t="s">
        <v>6566</v>
      </c>
      <c r="E3478" s="1" t="s">
        <v>6968</v>
      </c>
      <c r="F3478" s="1" t="s">
        <v>6969</v>
      </c>
      <c r="G3478" s="1">
        <v>1015.0</v>
      </c>
      <c r="H3478" s="1">
        <v>10.0</v>
      </c>
      <c r="I3478" s="1" t="s">
        <v>16</v>
      </c>
      <c r="J3478" s="1">
        <v>2450000.0</v>
      </c>
      <c r="K3478" s="1">
        <v>2011.0</v>
      </c>
      <c r="L3478" s="1">
        <v>3.9</v>
      </c>
      <c r="O3478" s="3"/>
      <c r="S3478" s="4"/>
    </row>
    <row r="3479" ht="14.25" customHeight="1">
      <c r="A3479" s="1" t="s">
        <v>1133</v>
      </c>
      <c r="B3479" s="1">
        <v>120.0</v>
      </c>
      <c r="C3479" s="1">
        <v>7.64E7</v>
      </c>
      <c r="D3479" s="1" t="s">
        <v>1134</v>
      </c>
      <c r="E3479" s="1" t="s">
        <v>6970</v>
      </c>
      <c r="F3479" s="1" t="s">
        <v>6971</v>
      </c>
      <c r="G3479" s="1">
        <v>71321.0</v>
      </c>
      <c r="H3479" s="1">
        <v>230.0</v>
      </c>
      <c r="I3479" s="1" t="s">
        <v>16</v>
      </c>
      <c r="J3479" s="1">
        <v>2280000.0</v>
      </c>
      <c r="K3479" s="1">
        <v>1940.0</v>
      </c>
      <c r="L3479" s="1">
        <v>7.8</v>
      </c>
      <c r="O3479" s="3"/>
      <c r="S3479" s="4"/>
    </row>
    <row r="3480" ht="14.25" customHeight="1">
      <c r="A3480" s="1" t="s">
        <v>2814</v>
      </c>
      <c r="B3480" s="1">
        <v>91.0</v>
      </c>
      <c r="C3480" s="1">
        <v>3.62E7</v>
      </c>
      <c r="D3480" s="1" t="s">
        <v>2657</v>
      </c>
      <c r="E3480" s="1" t="s">
        <v>6972</v>
      </c>
      <c r="F3480" s="1" t="s">
        <v>6973</v>
      </c>
      <c r="G3480" s="1">
        <v>31952.0</v>
      </c>
      <c r="H3480" s="1">
        <v>372.0</v>
      </c>
      <c r="I3480" s="1" t="s">
        <v>16</v>
      </c>
      <c r="J3480" s="1">
        <v>4000000.0</v>
      </c>
      <c r="K3480" s="1">
        <v>1982.0</v>
      </c>
      <c r="L3480" s="1">
        <v>5.7</v>
      </c>
      <c r="O3480" s="3"/>
      <c r="S3480" s="4"/>
    </row>
    <row r="3481" ht="14.25" customHeight="1">
      <c r="A3481" s="1" t="s">
        <v>6974</v>
      </c>
      <c r="B3481" s="1">
        <v>92.0</v>
      </c>
      <c r="C3481" s="1">
        <v>2.13E7</v>
      </c>
      <c r="D3481" s="1" t="s">
        <v>1239</v>
      </c>
      <c r="E3481" s="1" t="s">
        <v>6975</v>
      </c>
      <c r="F3481" s="1" t="s">
        <v>6976</v>
      </c>
      <c r="G3481" s="1">
        <v>22521.0</v>
      </c>
      <c r="H3481" s="1">
        <v>342.0</v>
      </c>
      <c r="I3481" s="1" t="s">
        <v>16</v>
      </c>
      <c r="J3481" s="1">
        <v>2200000.0</v>
      </c>
      <c r="K3481" s="1">
        <v>1985.0</v>
      </c>
      <c r="L3481" s="1">
        <v>4.7</v>
      </c>
      <c r="O3481" s="3"/>
      <c r="S3481" s="4"/>
    </row>
    <row r="3482" ht="14.25" customHeight="1">
      <c r="A3482" s="1" t="s">
        <v>6977</v>
      </c>
      <c r="B3482" s="1">
        <v>117.0</v>
      </c>
      <c r="C3482" s="1">
        <v>379643.0</v>
      </c>
      <c r="D3482" s="1" t="s">
        <v>1391</v>
      </c>
      <c r="E3482" s="1" t="s">
        <v>5564</v>
      </c>
      <c r="F3482" s="1" t="s">
        <v>6978</v>
      </c>
      <c r="G3482" s="1">
        <v>1573.0</v>
      </c>
      <c r="H3482" s="1">
        <v>29.0</v>
      </c>
      <c r="I3482" s="1" t="s">
        <v>16</v>
      </c>
      <c r="J3482" s="1">
        <v>2200000.0</v>
      </c>
      <c r="K3482" s="1">
        <v>2007.0</v>
      </c>
      <c r="L3482" s="1">
        <v>5.9</v>
      </c>
      <c r="O3482" s="3"/>
      <c r="S3482" s="4"/>
    </row>
    <row r="3483" ht="14.25" customHeight="1">
      <c r="A3483" s="1" t="s">
        <v>6979</v>
      </c>
      <c r="B3483" s="1">
        <v>120.0</v>
      </c>
      <c r="C3483" s="1">
        <v>1.2985267E7</v>
      </c>
      <c r="D3483" s="1" t="s">
        <v>1391</v>
      </c>
      <c r="E3483" s="1" t="s">
        <v>2351</v>
      </c>
      <c r="F3483" s="1" t="s">
        <v>6980</v>
      </c>
      <c r="G3483" s="1">
        <v>4977.0</v>
      </c>
      <c r="H3483" s="1">
        <v>63.0</v>
      </c>
      <c r="I3483" s="1" t="s">
        <v>16</v>
      </c>
      <c r="J3483" s="1">
        <v>2300000.0</v>
      </c>
      <c r="K3483" s="1">
        <v>2015.0</v>
      </c>
      <c r="L3483" s="1">
        <v>5.9</v>
      </c>
      <c r="O3483" s="3"/>
      <c r="S3483" s="4"/>
    </row>
    <row r="3484" ht="14.25" customHeight="1">
      <c r="A3484" s="1" t="s">
        <v>6981</v>
      </c>
      <c r="B3484" s="1">
        <v>172.0</v>
      </c>
      <c r="C3484" s="1">
        <v>2.365E7</v>
      </c>
      <c r="D3484" s="1" t="s">
        <v>2906</v>
      </c>
      <c r="E3484" s="1" t="s">
        <v>6982</v>
      </c>
      <c r="F3484" s="1" t="s">
        <v>6983</v>
      </c>
      <c r="G3484" s="1">
        <v>40359.0</v>
      </c>
      <c r="H3484" s="1">
        <v>235.0</v>
      </c>
      <c r="I3484" s="1" t="s">
        <v>16</v>
      </c>
      <c r="J3484" s="1">
        <v>2100000.0</v>
      </c>
      <c r="K3484" s="1">
        <v>1946.0</v>
      </c>
      <c r="L3484" s="1">
        <v>8.1</v>
      </c>
      <c r="O3484" s="3"/>
      <c r="S3484" s="4"/>
    </row>
    <row r="3485" ht="14.25" customHeight="1">
      <c r="A3485" s="1" t="s">
        <v>6984</v>
      </c>
      <c r="B3485" s="1">
        <v>89.0</v>
      </c>
      <c r="C3485" s="1">
        <v>313436.0</v>
      </c>
      <c r="D3485" s="1" t="s">
        <v>1059</v>
      </c>
      <c r="E3485" s="1" t="s">
        <v>6985</v>
      </c>
      <c r="F3485" s="1" t="s">
        <v>6986</v>
      </c>
      <c r="G3485" s="1">
        <v>12244.0</v>
      </c>
      <c r="H3485" s="1">
        <v>95.0</v>
      </c>
      <c r="I3485" s="1" t="s">
        <v>6375</v>
      </c>
      <c r="J3485" s="1">
        <v>1.55E7</v>
      </c>
      <c r="K3485" s="1">
        <v>2001.0</v>
      </c>
      <c r="L3485" s="1">
        <v>7.6</v>
      </c>
      <c r="O3485" s="3"/>
      <c r="S3485" s="4"/>
    </row>
    <row r="3486" ht="14.25" customHeight="1">
      <c r="A3486" s="1" t="s">
        <v>6987</v>
      </c>
      <c r="B3486" s="1">
        <v>125.0</v>
      </c>
      <c r="C3486" s="1">
        <v>3330.0</v>
      </c>
      <c r="D3486" s="1" t="s">
        <v>811</v>
      </c>
      <c r="E3486" s="1" t="s">
        <v>6988</v>
      </c>
      <c r="F3486" s="1" t="s">
        <v>6989</v>
      </c>
      <c r="G3486" s="1">
        <v>22.0</v>
      </c>
      <c r="H3486" s="1">
        <v>1.0</v>
      </c>
      <c r="I3486" s="1" t="s">
        <v>16</v>
      </c>
      <c r="J3486" s="1">
        <v>2100000.0</v>
      </c>
      <c r="K3486" s="1">
        <v>2015.0</v>
      </c>
      <c r="L3486" s="1">
        <v>7.2</v>
      </c>
      <c r="O3486" s="3"/>
      <c r="S3486" s="4"/>
    </row>
    <row r="3487" ht="14.25" customHeight="1">
      <c r="A3487" s="1" t="s">
        <v>5849</v>
      </c>
      <c r="B3487" s="1">
        <v>115.0</v>
      </c>
      <c r="C3487" s="1">
        <v>2.48E7</v>
      </c>
      <c r="D3487" s="1" t="s">
        <v>22</v>
      </c>
      <c r="E3487" s="1" t="s">
        <v>6990</v>
      </c>
      <c r="F3487" s="1" t="s">
        <v>6991</v>
      </c>
      <c r="G3487" s="1">
        <v>89403.0</v>
      </c>
      <c r="H3487" s="1">
        <v>358.0</v>
      </c>
      <c r="I3487" s="1" t="s">
        <v>16</v>
      </c>
      <c r="J3487" s="1">
        <v>2000000.0</v>
      </c>
      <c r="K3487" s="1">
        <v>1963.0</v>
      </c>
      <c r="L3487" s="1">
        <v>7.5</v>
      </c>
      <c r="O3487" s="3"/>
      <c r="S3487" s="4"/>
    </row>
    <row r="3488" ht="14.25" customHeight="1">
      <c r="A3488" s="1" t="s">
        <v>6992</v>
      </c>
      <c r="B3488" s="1">
        <v>96.0</v>
      </c>
      <c r="C3488" s="1">
        <v>792966.0</v>
      </c>
      <c r="D3488" s="1" t="s">
        <v>6993</v>
      </c>
      <c r="E3488" s="1" t="s">
        <v>6994</v>
      </c>
      <c r="F3488" s="1" t="s">
        <v>6995</v>
      </c>
      <c r="G3488" s="1">
        <v>4663.0</v>
      </c>
      <c r="H3488" s="1">
        <v>40.0</v>
      </c>
      <c r="I3488" s="1" t="s">
        <v>16</v>
      </c>
      <c r="J3488" s="1">
        <v>2300000.0</v>
      </c>
      <c r="K3488" s="1">
        <v>1989.0</v>
      </c>
      <c r="L3488" s="1">
        <v>5.1</v>
      </c>
      <c r="O3488" s="3"/>
      <c r="S3488" s="4"/>
    </row>
    <row r="3489" ht="14.25" customHeight="1">
      <c r="A3489" s="1" t="s">
        <v>6996</v>
      </c>
      <c r="B3489" s="1">
        <v>100.0</v>
      </c>
      <c r="C3489" s="1">
        <v>1.4673301E7</v>
      </c>
      <c r="D3489" s="1" t="s">
        <v>2512</v>
      </c>
      <c r="E3489" s="1" t="s">
        <v>6997</v>
      </c>
      <c r="F3489" s="1" t="s">
        <v>6998</v>
      </c>
      <c r="G3489" s="1">
        <v>112899.0</v>
      </c>
      <c r="H3489" s="1">
        <v>631.0</v>
      </c>
      <c r="I3489" s="1" t="s">
        <v>16</v>
      </c>
      <c r="J3489" s="1">
        <v>2000000.0</v>
      </c>
      <c r="K3489" s="1">
        <v>2014.0</v>
      </c>
      <c r="L3489" s="1">
        <v>6.9</v>
      </c>
      <c r="O3489" s="3"/>
      <c r="S3489" s="4"/>
    </row>
    <row r="3490" ht="14.25" customHeight="1">
      <c r="A3490" s="1" t="s">
        <v>359</v>
      </c>
      <c r="B3490" s="1">
        <v>87.0</v>
      </c>
      <c r="C3490" s="1">
        <v>9003011.0</v>
      </c>
      <c r="D3490" s="1" t="s">
        <v>99</v>
      </c>
      <c r="E3490" s="1" t="s">
        <v>6999</v>
      </c>
      <c r="F3490" s="1" t="s">
        <v>7000</v>
      </c>
      <c r="G3490" s="1">
        <v>133966.0</v>
      </c>
      <c r="H3490" s="1">
        <v>294.0</v>
      </c>
      <c r="I3490" s="1" t="s">
        <v>16</v>
      </c>
      <c r="J3490" s="1">
        <v>2000000.0</v>
      </c>
      <c r="K3490" s="1">
        <v>1981.0</v>
      </c>
      <c r="L3490" s="1">
        <v>7.6</v>
      </c>
      <c r="O3490" s="3"/>
      <c r="S3490" s="4"/>
    </row>
    <row r="3491" ht="14.25" customHeight="1">
      <c r="A3491" s="1" t="s">
        <v>7001</v>
      </c>
      <c r="B3491" s="1">
        <v>102.0</v>
      </c>
      <c r="C3491" s="1">
        <v>1.1546543E7</v>
      </c>
      <c r="D3491" s="1" t="s">
        <v>907</v>
      </c>
      <c r="E3491" s="1" t="s">
        <v>7002</v>
      </c>
      <c r="F3491" s="1" t="s">
        <v>7003</v>
      </c>
      <c r="G3491" s="1">
        <v>34520.0</v>
      </c>
      <c r="H3491" s="1">
        <v>146.0</v>
      </c>
      <c r="I3491" s="1" t="s">
        <v>2884</v>
      </c>
      <c r="J3491" s="1">
        <v>2000000.0</v>
      </c>
      <c r="K3491" s="1">
        <v>1994.0</v>
      </c>
      <c r="L3491" s="1">
        <v>7.6</v>
      </c>
      <c r="O3491" s="3"/>
      <c r="S3491" s="4"/>
    </row>
    <row r="3492" ht="14.25" customHeight="1">
      <c r="A3492" s="1" t="s">
        <v>3327</v>
      </c>
      <c r="B3492" s="1">
        <v>118.0</v>
      </c>
      <c r="C3492" s="1">
        <v>1.1533945E7</v>
      </c>
      <c r="D3492" s="1" t="s">
        <v>5685</v>
      </c>
      <c r="E3492" s="1" t="s">
        <v>7004</v>
      </c>
      <c r="F3492" s="1" t="s">
        <v>7005</v>
      </c>
      <c r="G3492" s="1">
        <v>77551.0</v>
      </c>
      <c r="H3492" s="1">
        <v>434.0</v>
      </c>
      <c r="I3492" s="1" t="s">
        <v>16</v>
      </c>
      <c r="J3492" s="1">
        <v>2000000.0</v>
      </c>
      <c r="K3492" s="1">
        <v>1999.0</v>
      </c>
      <c r="L3492" s="1">
        <v>7.6</v>
      </c>
      <c r="O3492" s="3"/>
      <c r="S3492" s="4"/>
    </row>
    <row r="3493" ht="14.25" customHeight="1">
      <c r="A3493" s="1" t="s">
        <v>7006</v>
      </c>
      <c r="B3493" s="1">
        <v>86.0</v>
      </c>
      <c r="C3493" s="1">
        <v>1.255523E7</v>
      </c>
      <c r="D3493" s="1" t="s">
        <v>2439</v>
      </c>
      <c r="E3493" s="1" t="s">
        <v>7007</v>
      </c>
      <c r="F3493" s="1" t="s">
        <v>7008</v>
      </c>
      <c r="G3493" s="1">
        <v>18566.0</v>
      </c>
      <c r="H3493" s="1">
        <v>154.0</v>
      </c>
      <c r="I3493" s="1" t="s">
        <v>16</v>
      </c>
      <c r="J3493" s="1">
        <v>2000000.0</v>
      </c>
      <c r="K3493" s="1">
        <v>2011.0</v>
      </c>
      <c r="L3493" s="1">
        <v>5.3</v>
      </c>
      <c r="O3493" s="3"/>
      <c r="S3493" s="4"/>
    </row>
    <row r="3494" ht="14.25" customHeight="1">
      <c r="A3494" s="1" t="s">
        <v>755</v>
      </c>
      <c r="B3494" s="1">
        <v>137.0</v>
      </c>
      <c r="C3494" s="1">
        <v>1.1284657E7</v>
      </c>
      <c r="D3494" s="1" t="s">
        <v>1654</v>
      </c>
      <c r="E3494" s="1" t="s">
        <v>5155</v>
      </c>
      <c r="F3494" s="1" t="s">
        <v>7009</v>
      </c>
      <c r="G3494" s="1">
        <v>259379.0</v>
      </c>
      <c r="H3494" s="1">
        <v>407.0</v>
      </c>
      <c r="I3494" s="1" t="s">
        <v>4449</v>
      </c>
      <c r="J3494" s="1">
        <v>2000000.0</v>
      </c>
      <c r="K3494" s="1">
        <v>2006.0</v>
      </c>
      <c r="L3494" s="1">
        <v>8.5</v>
      </c>
      <c r="O3494" s="3"/>
      <c r="S3494" s="4"/>
    </row>
    <row r="3495" ht="14.25" customHeight="1">
      <c r="A3495" s="1" t="s">
        <v>6570</v>
      </c>
      <c r="B3495" s="1">
        <v>129.0</v>
      </c>
      <c r="C3495" s="1">
        <v>3.4522221E7</v>
      </c>
      <c r="D3495" s="1" t="s">
        <v>1391</v>
      </c>
      <c r="E3495" s="1" t="s">
        <v>7010</v>
      </c>
      <c r="F3495" s="1" t="s">
        <v>7011</v>
      </c>
      <c r="G3495" s="1">
        <v>15401.0</v>
      </c>
      <c r="H3495" s="1">
        <v>175.0</v>
      </c>
      <c r="I3495" s="1" t="s">
        <v>16</v>
      </c>
      <c r="J3495" s="1">
        <v>2000000.0</v>
      </c>
      <c r="K3495" s="1">
        <v>2011.0</v>
      </c>
      <c r="L3495" s="1">
        <v>7.0</v>
      </c>
      <c r="O3495" s="3"/>
      <c r="S3495" s="4"/>
    </row>
    <row r="3496" ht="14.25" customHeight="1">
      <c r="A3496" s="1" t="s">
        <v>7012</v>
      </c>
      <c r="B3496" s="1">
        <v>80.0</v>
      </c>
      <c r="C3496" s="1">
        <v>7002255.0</v>
      </c>
      <c r="D3496" s="1" t="s">
        <v>7013</v>
      </c>
      <c r="E3496" s="1" t="s">
        <v>7014</v>
      </c>
      <c r="F3496" s="1" t="s">
        <v>7015</v>
      </c>
      <c r="G3496" s="1">
        <v>42462.0</v>
      </c>
      <c r="H3496" s="1">
        <v>312.0</v>
      </c>
      <c r="I3496" s="1" t="s">
        <v>1189</v>
      </c>
      <c r="J3496" s="1">
        <v>9500000.0</v>
      </c>
      <c r="K3496" s="1">
        <v>2003.0</v>
      </c>
      <c r="L3496" s="1">
        <v>7.8</v>
      </c>
      <c r="O3496" s="3"/>
      <c r="S3496" s="4"/>
    </row>
    <row r="3497" ht="14.25" customHeight="1">
      <c r="A3497" s="1" t="s">
        <v>7016</v>
      </c>
      <c r="B3497" s="1">
        <v>89.0</v>
      </c>
      <c r="C3497" s="1">
        <v>6719300.0</v>
      </c>
      <c r="D3497" s="1" t="s">
        <v>1059</v>
      </c>
      <c r="E3497" s="1" t="s">
        <v>7017</v>
      </c>
      <c r="F3497" s="1" t="s">
        <v>7018</v>
      </c>
      <c r="G3497" s="1">
        <v>8224.0</v>
      </c>
      <c r="H3497" s="1">
        <v>132.0</v>
      </c>
      <c r="I3497" s="1" t="s">
        <v>16</v>
      </c>
      <c r="J3497" s="1">
        <v>2000000.0</v>
      </c>
      <c r="K3497" s="1">
        <v>1998.0</v>
      </c>
      <c r="L3497" s="1">
        <v>7.2</v>
      </c>
      <c r="O3497" s="3"/>
      <c r="S3497" s="4"/>
    </row>
    <row r="3498" ht="14.25" customHeight="1">
      <c r="A3498" s="1" t="s">
        <v>3582</v>
      </c>
      <c r="B3498" s="1">
        <v>80.0</v>
      </c>
      <c r="C3498" s="1">
        <v>5792822.0</v>
      </c>
      <c r="D3498" s="1" t="s">
        <v>92</v>
      </c>
      <c r="E3498" s="1" t="s">
        <v>7019</v>
      </c>
      <c r="F3498" s="1" t="s">
        <v>7020</v>
      </c>
      <c r="G3498" s="1">
        <v>168398.0</v>
      </c>
      <c r="H3498" s="1">
        <v>492.0</v>
      </c>
      <c r="I3498" s="1" t="s">
        <v>16</v>
      </c>
      <c r="J3498" s="1">
        <v>2700000.0</v>
      </c>
      <c r="K3498" s="1">
        <v>2004.0</v>
      </c>
      <c r="L3498" s="1">
        <v>8.0</v>
      </c>
      <c r="O3498" s="3"/>
      <c r="S3498" s="4"/>
    </row>
    <row r="3499" ht="14.25" customHeight="1">
      <c r="A3499" s="1" t="s">
        <v>476</v>
      </c>
      <c r="B3499" s="1">
        <v>115.0</v>
      </c>
      <c r="C3499" s="1">
        <v>5383834.0</v>
      </c>
      <c r="D3499" s="1" t="s">
        <v>1654</v>
      </c>
      <c r="E3499" s="1" t="s">
        <v>7021</v>
      </c>
      <c r="F3499" s="1" t="s">
        <v>7022</v>
      </c>
      <c r="G3499" s="1">
        <v>173551.0</v>
      </c>
      <c r="H3499" s="1">
        <v>361.0</v>
      </c>
      <c r="I3499" s="1" t="s">
        <v>1144</v>
      </c>
      <c r="J3499" s="1">
        <v>2000000.0</v>
      </c>
      <c r="K3499" s="1">
        <v>2000.0</v>
      </c>
      <c r="L3499" s="1">
        <v>8.1</v>
      </c>
      <c r="O3499" s="3"/>
      <c r="S3499" s="4"/>
    </row>
    <row r="3500" ht="14.25" customHeight="1">
      <c r="A3500" s="1" t="s">
        <v>2447</v>
      </c>
      <c r="B3500" s="1">
        <v>100.0</v>
      </c>
      <c r="C3500" s="1">
        <v>4599680.0</v>
      </c>
      <c r="D3500" s="1" t="s">
        <v>1391</v>
      </c>
      <c r="E3500" s="1" t="s">
        <v>873</v>
      </c>
      <c r="F3500" s="1" t="s">
        <v>7023</v>
      </c>
      <c r="G3500" s="1">
        <v>68222.0</v>
      </c>
      <c r="H3500" s="1">
        <v>545.0</v>
      </c>
      <c r="I3500" s="1" t="s">
        <v>16</v>
      </c>
      <c r="J3500" s="1">
        <v>1500000.0</v>
      </c>
      <c r="K3500" s="1">
        <v>2003.0</v>
      </c>
      <c r="L3500" s="1">
        <v>6.8</v>
      </c>
      <c r="O3500" s="3"/>
      <c r="S3500" s="4"/>
    </row>
    <row r="3501" ht="14.25" customHeight="1">
      <c r="A3501" s="1" t="s">
        <v>7024</v>
      </c>
      <c r="B3501" s="1">
        <v>100.0</v>
      </c>
      <c r="C3501" s="1">
        <v>6531491.0</v>
      </c>
      <c r="D3501" s="1" t="s">
        <v>1391</v>
      </c>
      <c r="E3501" s="1" t="s">
        <v>152</v>
      </c>
      <c r="F3501" s="1" t="s">
        <v>7025</v>
      </c>
      <c r="G3501" s="1">
        <v>111658.0</v>
      </c>
      <c r="H3501" s="1">
        <v>297.0</v>
      </c>
      <c r="I3501" s="1" t="s">
        <v>16</v>
      </c>
      <c r="J3501" s="1">
        <v>2000000.0</v>
      </c>
      <c r="K3501" s="1">
        <v>2010.0</v>
      </c>
      <c r="L3501" s="1">
        <v>7.2</v>
      </c>
      <c r="O3501" s="3"/>
      <c r="S3501" s="4"/>
    </row>
    <row r="3502" ht="14.25" customHeight="1">
      <c r="A3502" s="1" t="s">
        <v>7026</v>
      </c>
      <c r="B3502" s="1">
        <v>91.0</v>
      </c>
      <c r="C3502" s="1">
        <v>3885134.0</v>
      </c>
      <c r="D3502" s="1" t="s">
        <v>1059</v>
      </c>
      <c r="E3502" s="1" t="s">
        <v>7027</v>
      </c>
      <c r="F3502" s="1" t="s">
        <v>7028</v>
      </c>
      <c r="G3502" s="1">
        <v>31130.0</v>
      </c>
      <c r="H3502" s="1">
        <v>243.0</v>
      </c>
      <c r="I3502" s="1" t="s">
        <v>16</v>
      </c>
      <c r="J3502" s="1">
        <v>2000000.0</v>
      </c>
      <c r="K3502" s="1">
        <v>2005.0</v>
      </c>
      <c r="L3502" s="1">
        <v>7.4</v>
      </c>
      <c r="O3502" s="3"/>
      <c r="S3502" s="4"/>
    </row>
    <row r="3503" ht="14.25" customHeight="1">
      <c r="A3503" s="1" t="s">
        <v>7029</v>
      </c>
      <c r="B3503" s="1">
        <v>96.0</v>
      </c>
      <c r="C3503" s="1">
        <v>3590010.0</v>
      </c>
      <c r="D3503" s="1" t="s">
        <v>3098</v>
      </c>
      <c r="E3503" s="1" t="s">
        <v>7030</v>
      </c>
      <c r="F3503" s="1" t="s">
        <v>7031</v>
      </c>
      <c r="G3503" s="1">
        <v>20885.0</v>
      </c>
      <c r="H3503" s="1">
        <v>60.0</v>
      </c>
      <c r="I3503" s="1" t="s">
        <v>16</v>
      </c>
      <c r="J3503" s="1">
        <v>2000000.0</v>
      </c>
      <c r="K3503" s="1">
        <v>2015.0</v>
      </c>
      <c r="L3503" s="1">
        <v>6.1</v>
      </c>
      <c r="O3503" s="3"/>
      <c r="S3503" s="4"/>
    </row>
    <row r="3504" ht="14.25" customHeight="1">
      <c r="A3504" s="1" t="s">
        <v>218</v>
      </c>
      <c r="B3504" s="1">
        <v>116.0</v>
      </c>
      <c r="C3504" s="1">
        <v>3335839.0</v>
      </c>
      <c r="D3504" s="1" t="s">
        <v>197</v>
      </c>
      <c r="E3504" s="1" t="s">
        <v>35</v>
      </c>
      <c r="F3504" s="1" t="s">
        <v>7032</v>
      </c>
      <c r="G3504" s="1">
        <v>54657.0</v>
      </c>
      <c r="H3504" s="1">
        <v>222.0</v>
      </c>
      <c r="I3504" s="1" t="s">
        <v>16</v>
      </c>
      <c r="J3504" s="1">
        <v>2000000.0</v>
      </c>
      <c r="K3504" s="1">
        <v>2005.0</v>
      </c>
      <c r="L3504" s="1">
        <v>7.0</v>
      </c>
      <c r="O3504" s="3"/>
      <c r="S3504" s="4"/>
    </row>
    <row r="3505" ht="14.25" customHeight="1">
      <c r="A3505" s="1" t="s">
        <v>2712</v>
      </c>
      <c r="B3505" s="1">
        <v>97.0</v>
      </c>
      <c r="C3505" s="1">
        <v>2557668.0</v>
      </c>
      <c r="D3505" s="1" t="s">
        <v>901</v>
      </c>
      <c r="E3505" s="1" t="s">
        <v>1190</v>
      </c>
      <c r="F3505" s="1" t="s">
        <v>7033</v>
      </c>
      <c r="G3505" s="1">
        <v>3911.0</v>
      </c>
      <c r="H3505" s="1">
        <v>22.0</v>
      </c>
      <c r="I3505" s="1" t="s">
        <v>16</v>
      </c>
      <c r="J3505" s="1">
        <v>2000000.0</v>
      </c>
      <c r="K3505" s="1">
        <v>2015.0</v>
      </c>
      <c r="L3505" s="1">
        <v>5.3</v>
      </c>
      <c r="O3505" s="3"/>
      <c r="S3505" s="4"/>
    </row>
    <row r="3506" ht="14.25" customHeight="1">
      <c r="A3506" s="1" t="s">
        <v>639</v>
      </c>
      <c r="B3506" s="1">
        <v>101.0</v>
      </c>
      <c r="C3506" s="1">
        <v>2506446.0</v>
      </c>
      <c r="D3506" s="1" t="s">
        <v>699</v>
      </c>
      <c r="E3506" s="1" t="s">
        <v>1028</v>
      </c>
      <c r="F3506" s="1" t="s">
        <v>7034</v>
      </c>
      <c r="G3506" s="1">
        <v>8662.0</v>
      </c>
      <c r="H3506" s="1">
        <v>172.0</v>
      </c>
      <c r="I3506" s="1" t="s">
        <v>16</v>
      </c>
      <c r="J3506" s="1">
        <v>2000000.0</v>
      </c>
      <c r="K3506" s="1">
        <v>2002.0</v>
      </c>
      <c r="L3506" s="1">
        <v>4.7</v>
      </c>
      <c r="O3506" s="3"/>
      <c r="S3506" s="4"/>
    </row>
    <row r="3507" ht="14.25" customHeight="1">
      <c r="A3507" s="1" t="s">
        <v>7035</v>
      </c>
      <c r="B3507" s="1">
        <v>98.0</v>
      </c>
      <c r="C3507" s="1">
        <v>7369373.0</v>
      </c>
      <c r="D3507" s="1" t="s">
        <v>1239</v>
      </c>
      <c r="E3507" s="1" t="s">
        <v>7036</v>
      </c>
      <c r="F3507" s="1" t="s">
        <v>7037</v>
      </c>
      <c r="G3507" s="1">
        <v>4288.0</v>
      </c>
      <c r="H3507" s="1">
        <v>74.0</v>
      </c>
      <c r="I3507" s="1" t="s">
        <v>16</v>
      </c>
      <c r="J3507" s="1">
        <v>2000000.0</v>
      </c>
      <c r="K3507" s="1">
        <v>1986.0</v>
      </c>
      <c r="L3507" s="1">
        <v>5.7</v>
      </c>
      <c r="O3507" s="3"/>
      <c r="S3507" s="4"/>
    </row>
    <row r="3508" ht="14.25" customHeight="1">
      <c r="A3508" s="1" t="s">
        <v>6298</v>
      </c>
      <c r="B3508" s="1">
        <v>101.0</v>
      </c>
      <c r="C3508" s="1">
        <v>1984378.0</v>
      </c>
      <c r="D3508" s="1" t="s">
        <v>593</v>
      </c>
      <c r="E3508" s="1" t="s">
        <v>7038</v>
      </c>
      <c r="F3508" s="1" t="s">
        <v>7039</v>
      </c>
      <c r="G3508" s="1">
        <v>27346.0</v>
      </c>
      <c r="H3508" s="1">
        <v>206.0</v>
      </c>
      <c r="I3508" s="1" t="s">
        <v>16</v>
      </c>
      <c r="J3508" s="1">
        <v>2000000.0</v>
      </c>
      <c r="K3508" s="1">
        <v>2006.0</v>
      </c>
      <c r="L3508" s="1">
        <v>6.5</v>
      </c>
      <c r="O3508" s="3"/>
      <c r="S3508" s="4"/>
    </row>
    <row r="3509" ht="14.25" customHeight="1">
      <c r="A3509" s="1" t="s">
        <v>7040</v>
      </c>
      <c r="B3509" s="1">
        <v>90.0</v>
      </c>
      <c r="C3509" s="1">
        <v>2283276.0</v>
      </c>
      <c r="D3509" s="1" t="s">
        <v>7041</v>
      </c>
      <c r="E3509" s="1" t="s">
        <v>7040</v>
      </c>
      <c r="F3509" s="1" t="s">
        <v>7042</v>
      </c>
      <c r="G3509" s="1">
        <v>46107.0</v>
      </c>
      <c r="H3509" s="1">
        <v>156.0</v>
      </c>
      <c r="I3509" s="1" t="s">
        <v>7043</v>
      </c>
      <c r="J3509" s="1">
        <v>1500000.0</v>
      </c>
      <c r="K3509" s="1">
        <v>2008.0</v>
      </c>
      <c r="L3509" s="1">
        <v>8.0</v>
      </c>
      <c r="O3509" s="3"/>
      <c r="S3509" s="4"/>
    </row>
    <row r="3510" ht="14.25" customHeight="1">
      <c r="A3510" s="1" t="s">
        <v>7044</v>
      </c>
      <c r="B3510" s="1">
        <v>120.0</v>
      </c>
      <c r="C3510" s="1">
        <v>1098224.0</v>
      </c>
      <c r="D3510" s="1" t="s">
        <v>404</v>
      </c>
      <c r="E3510" s="1" t="s">
        <v>7045</v>
      </c>
      <c r="F3510" s="1" t="s">
        <v>7046</v>
      </c>
      <c r="G3510" s="1">
        <v>397.0</v>
      </c>
      <c r="H3510" s="1">
        <v>30.0</v>
      </c>
      <c r="I3510" s="1" t="s">
        <v>16</v>
      </c>
      <c r="J3510" s="1">
        <v>2000000.0</v>
      </c>
      <c r="K3510" s="1">
        <v>2003.0</v>
      </c>
      <c r="L3510" s="1">
        <v>3.3</v>
      </c>
      <c r="O3510" s="3"/>
      <c r="S3510" s="4"/>
    </row>
    <row r="3511" ht="14.25" customHeight="1">
      <c r="A3511" s="1" t="s">
        <v>6757</v>
      </c>
      <c r="B3511" s="1">
        <v>102.0</v>
      </c>
      <c r="C3511" s="1">
        <v>1430185.0</v>
      </c>
      <c r="D3511" s="1" t="s">
        <v>7047</v>
      </c>
      <c r="E3511" s="1" t="s">
        <v>6377</v>
      </c>
      <c r="F3511" s="1" t="s">
        <v>7048</v>
      </c>
      <c r="G3511" s="1">
        <v>7314.0</v>
      </c>
      <c r="H3511" s="1">
        <v>55.0</v>
      </c>
      <c r="I3511" s="1" t="s">
        <v>16</v>
      </c>
      <c r="J3511" s="1">
        <v>2000000.0</v>
      </c>
      <c r="K3511" s="1">
        <v>2007.0</v>
      </c>
      <c r="L3511" s="1">
        <v>8.3</v>
      </c>
      <c r="O3511" s="3"/>
      <c r="S3511" s="4"/>
    </row>
    <row r="3512" ht="14.25" customHeight="1">
      <c r="A3512" s="1" t="s">
        <v>7049</v>
      </c>
      <c r="B3512" s="1">
        <v>102.0</v>
      </c>
      <c r="C3512" s="1">
        <v>1477002.0</v>
      </c>
      <c r="D3512" s="1" t="s">
        <v>92</v>
      </c>
      <c r="E3512" s="1" t="s">
        <v>3866</v>
      </c>
      <c r="F3512" s="1" t="s">
        <v>7050</v>
      </c>
      <c r="G3512" s="1">
        <v>16645.0</v>
      </c>
      <c r="H3512" s="1">
        <v>72.0</v>
      </c>
      <c r="I3512" s="1" t="s">
        <v>16</v>
      </c>
      <c r="J3512" s="1">
        <v>2000000.0</v>
      </c>
      <c r="K3512" s="1">
        <v>2015.0</v>
      </c>
      <c r="L3512" s="1">
        <v>6.9</v>
      </c>
      <c r="O3512" s="3"/>
      <c r="S3512" s="4"/>
    </row>
    <row r="3513" ht="14.25" customHeight="1">
      <c r="A3513" s="1" t="s">
        <v>7051</v>
      </c>
      <c r="B3513" s="1">
        <v>100.0</v>
      </c>
      <c r="C3513" s="1">
        <v>1134049.0</v>
      </c>
      <c r="D3513" s="1" t="s">
        <v>7052</v>
      </c>
      <c r="E3513" s="1" t="s">
        <v>7053</v>
      </c>
      <c r="F3513" s="1" t="s">
        <v>7054</v>
      </c>
      <c r="G3513" s="1">
        <v>5475.0</v>
      </c>
      <c r="H3513" s="1">
        <v>44.0</v>
      </c>
      <c r="I3513" s="1" t="s">
        <v>16</v>
      </c>
      <c r="J3513" s="1">
        <v>2000000.0</v>
      </c>
      <c r="K3513" s="1">
        <v>2007.0</v>
      </c>
      <c r="L3513" s="1">
        <v>8.1</v>
      </c>
      <c r="O3513" s="3"/>
      <c r="S3513" s="4"/>
    </row>
    <row r="3514" ht="14.25" customHeight="1">
      <c r="A3514" s="1" t="s">
        <v>6512</v>
      </c>
      <c r="B3514" s="1">
        <v>89.0</v>
      </c>
      <c r="C3514" s="1">
        <v>653621.0</v>
      </c>
      <c r="D3514" s="1" t="s">
        <v>7055</v>
      </c>
      <c r="E3514" s="1" t="s">
        <v>6292</v>
      </c>
      <c r="F3514" s="1" t="s">
        <v>7056</v>
      </c>
      <c r="G3514" s="1">
        <v>5615.0</v>
      </c>
      <c r="H3514" s="1">
        <v>64.0</v>
      </c>
      <c r="I3514" s="1" t="s">
        <v>16</v>
      </c>
      <c r="J3514" s="1">
        <v>2000000.0</v>
      </c>
      <c r="K3514" s="1">
        <v>2005.0</v>
      </c>
      <c r="L3514" s="1">
        <v>6.8</v>
      </c>
      <c r="O3514" s="3"/>
      <c r="S3514" s="4"/>
    </row>
    <row r="3515" ht="14.25" customHeight="1">
      <c r="A3515" s="1" t="s">
        <v>7057</v>
      </c>
      <c r="B3515" s="1">
        <v>86.0</v>
      </c>
      <c r="C3515" s="1">
        <v>535249.0</v>
      </c>
      <c r="D3515" s="1" t="s">
        <v>828</v>
      </c>
      <c r="E3515" s="1" t="s">
        <v>7058</v>
      </c>
      <c r="F3515" s="1" t="s">
        <v>7059</v>
      </c>
      <c r="G3515" s="1">
        <v>3467.0</v>
      </c>
      <c r="H3515" s="1">
        <v>13.0</v>
      </c>
      <c r="I3515" s="1" t="s">
        <v>16</v>
      </c>
      <c r="J3515" s="1">
        <v>3400000.0</v>
      </c>
      <c r="K3515" s="1">
        <v>2010.0</v>
      </c>
      <c r="L3515" s="1">
        <v>4.6</v>
      </c>
      <c r="O3515" s="3"/>
      <c r="S3515" s="4"/>
    </row>
    <row r="3516" ht="14.25" customHeight="1">
      <c r="A3516" s="1" t="s">
        <v>7060</v>
      </c>
      <c r="B3516" s="1">
        <v>96.0</v>
      </c>
      <c r="C3516" s="1">
        <v>371081.0</v>
      </c>
      <c r="D3516" s="1" t="s">
        <v>1059</v>
      </c>
      <c r="E3516" s="1" t="s">
        <v>346</v>
      </c>
      <c r="F3516" s="1" t="s">
        <v>7061</v>
      </c>
      <c r="G3516" s="1">
        <v>7479.0</v>
      </c>
      <c r="H3516" s="1">
        <v>86.0</v>
      </c>
      <c r="I3516" s="1" t="s">
        <v>16</v>
      </c>
      <c r="J3516" s="1">
        <v>6000000.0</v>
      </c>
      <c r="K3516" s="1">
        <v>2004.0</v>
      </c>
      <c r="L3516" s="1">
        <v>7.0</v>
      </c>
      <c r="O3516" s="3"/>
      <c r="S3516" s="4"/>
    </row>
    <row r="3517" ht="14.25" customHeight="1">
      <c r="A3517" s="1" t="s">
        <v>7062</v>
      </c>
      <c r="B3517" s="1">
        <v>91.0</v>
      </c>
      <c r="C3517" s="1">
        <v>124494.0</v>
      </c>
      <c r="D3517" s="1" t="s">
        <v>7063</v>
      </c>
      <c r="E3517" s="1" t="s">
        <v>7064</v>
      </c>
      <c r="F3517" s="1" t="s">
        <v>7065</v>
      </c>
      <c r="G3517" s="1">
        <v>5613.0</v>
      </c>
      <c r="H3517" s="1">
        <v>102.0</v>
      </c>
      <c r="I3517" s="1" t="s">
        <v>16</v>
      </c>
      <c r="J3517" s="1">
        <v>2000000.0</v>
      </c>
      <c r="K3517" s="1">
        <v>1998.0</v>
      </c>
      <c r="L3517" s="1">
        <v>6.7</v>
      </c>
      <c r="O3517" s="3"/>
      <c r="S3517" s="4"/>
    </row>
    <row r="3518" ht="14.25" customHeight="1">
      <c r="A3518" s="1" t="s">
        <v>7066</v>
      </c>
      <c r="B3518" s="1">
        <v>85.0</v>
      </c>
      <c r="C3518" s="1">
        <v>100669.0</v>
      </c>
      <c r="D3518" s="1" t="s">
        <v>1059</v>
      </c>
      <c r="E3518" s="1" t="s">
        <v>64</v>
      </c>
      <c r="F3518" s="1" t="s">
        <v>7067</v>
      </c>
      <c r="G3518" s="1">
        <v>2522.0</v>
      </c>
      <c r="H3518" s="1">
        <v>11.0</v>
      </c>
      <c r="I3518" s="1" t="s">
        <v>16</v>
      </c>
      <c r="J3518" s="1">
        <v>3800000.0</v>
      </c>
      <c r="K3518" s="1">
        <v>2009.0</v>
      </c>
      <c r="L3518" s="1">
        <v>5.8</v>
      </c>
      <c r="O3518" s="3"/>
      <c r="S3518" s="4"/>
    </row>
    <row r="3519" ht="14.25" customHeight="1">
      <c r="A3519" s="1" t="s">
        <v>183</v>
      </c>
      <c r="B3519" s="1">
        <v>129.0</v>
      </c>
      <c r="C3519" s="1">
        <v>186354.0</v>
      </c>
      <c r="D3519" s="1" t="s">
        <v>1391</v>
      </c>
      <c r="E3519" s="1" t="s">
        <v>1385</v>
      </c>
      <c r="F3519" s="1" t="s">
        <v>7068</v>
      </c>
      <c r="G3519" s="1">
        <v>1758.0</v>
      </c>
      <c r="H3519" s="1">
        <v>30.0</v>
      </c>
      <c r="I3519" s="1" t="s">
        <v>16</v>
      </c>
      <c r="J3519" s="1">
        <v>1.35E7</v>
      </c>
      <c r="K3519" s="1">
        <v>2015.0</v>
      </c>
      <c r="L3519" s="1">
        <v>4.5</v>
      </c>
      <c r="O3519" s="3"/>
      <c r="S3519" s="4"/>
    </row>
    <row r="3520" ht="14.25" customHeight="1">
      <c r="A3520" s="1" t="s">
        <v>7069</v>
      </c>
      <c r="B3520" s="1">
        <v>95.0</v>
      </c>
      <c r="C3520" s="1">
        <v>17580.0</v>
      </c>
      <c r="D3520" s="1" t="s">
        <v>1391</v>
      </c>
      <c r="E3520" s="1" t="s">
        <v>7070</v>
      </c>
      <c r="F3520" s="1" t="s">
        <v>7071</v>
      </c>
      <c r="G3520" s="1">
        <v>1268.0</v>
      </c>
      <c r="H3520" s="1">
        <v>23.0</v>
      </c>
      <c r="I3520" s="1" t="s">
        <v>16</v>
      </c>
      <c r="J3520" s="1">
        <v>1500000.0</v>
      </c>
      <c r="K3520" s="1">
        <v>2009.0</v>
      </c>
      <c r="L3520" s="1">
        <v>6.2</v>
      </c>
      <c r="O3520" s="3"/>
      <c r="S3520" s="4"/>
    </row>
    <row r="3521" ht="14.25" customHeight="1">
      <c r="A3521" s="1" t="s">
        <v>7072</v>
      </c>
      <c r="B3521" s="1">
        <v>92.0</v>
      </c>
      <c r="C3521" s="1">
        <v>12667.0</v>
      </c>
      <c r="D3521" s="1" t="s">
        <v>92</v>
      </c>
      <c r="E3521" s="1" t="s">
        <v>147</v>
      </c>
      <c r="F3521" s="1" t="s">
        <v>7073</v>
      </c>
      <c r="G3521" s="1">
        <v>19336.0</v>
      </c>
      <c r="H3521" s="1">
        <v>90.0</v>
      </c>
      <c r="I3521" s="1" t="s">
        <v>16</v>
      </c>
      <c r="J3521" s="1">
        <v>14000.0</v>
      </c>
      <c r="K3521" s="1">
        <v>2005.0</v>
      </c>
      <c r="L3521" s="1">
        <v>6.6</v>
      </c>
      <c r="O3521" s="3"/>
      <c r="S3521" s="4"/>
    </row>
    <row r="3522" ht="14.25" customHeight="1">
      <c r="A3522" s="1" t="s">
        <v>7074</v>
      </c>
      <c r="B3522" s="1">
        <v>96.0</v>
      </c>
      <c r="C3522" s="1">
        <v>198407.0</v>
      </c>
      <c r="D3522" s="1" t="s">
        <v>1391</v>
      </c>
      <c r="E3522" s="1" t="s">
        <v>7075</v>
      </c>
      <c r="F3522" s="1" t="s">
        <v>7076</v>
      </c>
      <c r="G3522" s="1">
        <v>10282.0</v>
      </c>
      <c r="H3522" s="1">
        <v>78.0</v>
      </c>
      <c r="I3522" s="1" t="s">
        <v>16</v>
      </c>
      <c r="J3522" s="1">
        <v>2000000.0</v>
      </c>
      <c r="K3522" s="1">
        <v>2006.0</v>
      </c>
      <c r="L3522" s="1">
        <v>6.6</v>
      </c>
      <c r="O3522" s="3"/>
      <c r="S3522" s="4"/>
    </row>
    <row r="3523" ht="14.25" customHeight="1">
      <c r="A3523" s="1" t="s">
        <v>7077</v>
      </c>
      <c r="B3523" s="1">
        <v>119.0</v>
      </c>
      <c r="C3523" s="1">
        <v>4958.0</v>
      </c>
      <c r="D3523" s="1" t="s">
        <v>5713</v>
      </c>
      <c r="E3523" s="1" t="s">
        <v>7078</v>
      </c>
      <c r="F3523" s="1" t="s">
        <v>7079</v>
      </c>
      <c r="G3523" s="1">
        <v>9689.0</v>
      </c>
      <c r="H3523" s="1">
        <v>23.0</v>
      </c>
      <c r="I3523" s="1" t="s">
        <v>16</v>
      </c>
      <c r="J3523" s="1">
        <v>2000000.0</v>
      </c>
      <c r="K3523" s="1">
        <v>2008.0</v>
      </c>
      <c r="L3523" s="1">
        <v>7.8</v>
      </c>
      <c r="O3523" s="3"/>
      <c r="S3523" s="4"/>
    </row>
    <row r="3524" ht="14.25" customHeight="1">
      <c r="A3524" s="1" t="s">
        <v>7080</v>
      </c>
      <c r="B3524" s="1">
        <v>92.0</v>
      </c>
      <c r="C3524" s="1">
        <v>7927.0</v>
      </c>
      <c r="D3524" s="1" t="s">
        <v>7081</v>
      </c>
      <c r="E3524" s="1" t="s">
        <v>7082</v>
      </c>
      <c r="F3524" s="1" t="s">
        <v>7083</v>
      </c>
      <c r="G3524" s="1">
        <v>19236.0</v>
      </c>
      <c r="H3524" s="1">
        <v>175.0</v>
      </c>
      <c r="I3524" s="1" t="s">
        <v>16</v>
      </c>
      <c r="J3524" s="1">
        <v>2300000.0</v>
      </c>
      <c r="K3524" s="1">
        <v>1947.0</v>
      </c>
      <c r="L3524" s="1">
        <v>7.7</v>
      </c>
      <c r="O3524" s="3"/>
      <c r="S3524" s="4"/>
    </row>
    <row r="3525" ht="14.25" customHeight="1">
      <c r="A3525" s="1" t="s">
        <v>7084</v>
      </c>
      <c r="B3525" s="1">
        <v>106.0</v>
      </c>
      <c r="C3525" s="1">
        <v>2436.0</v>
      </c>
      <c r="D3525" s="1" t="s">
        <v>7085</v>
      </c>
      <c r="E3525" s="1" t="s">
        <v>7086</v>
      </c>
      <c r="F3525" s="1" t="s">
        <v>7087</v>
      </c>
      <c r="G3525" s="1">
        <v>344.0</v>
      </c>
      <c r="H3525" s="1">
        <v>19.0</v>
      </c>
      <c r="I3525" s="1" t="s">
        <v>16</v>
      </c>
      <c r="J3525" s="1">
        <v>2000000.0</v>
      </c>
      <c r="K3525" s="1">
        <v>2012.0</v>
      </c>
      <c r="L3525" s="1">
        <v>5.7</v>
      </c>
      <c r="O3525" s="3"/>
      <c r="S3525" s="4"/>
    </row>
    <row r="3526" ht="14.25" customHeight="1">
      <c r="A3526" s="1" t="s">
        <v>7088</v>
      </c>
      <c r="B3526" s="1">
        <v>99.0</v>
      </c>
      <c r="C3526" s="1">
        <v>4600000.0</v>
      </c>
      <c r="D3526" s="1" t="s">
        <v>811</v>
      </c>
      <c r="E3526" s="1" t="s">
        <v>252</v>
      </c>
      <c r="F3526" s="1" t="s">
        <v>7089</v>
      </c>
      <c r="G3526" s="1">
        <v>11763.0</v>
      </c>
      <c r="H3526" s="1">
        <v>111.0</v>
      </c>
      <c r="I3526" s="1" t="s">
        <v>16</v>
      </c>
      <c r="J3526" s="1">
        <v>1900000.0</v>
      </c>
      <c r="K3526" s="1">
        <v>1986.0</v>
      </c>
      <c r="L3526" s="1">
        <v>7.1</v>
      </c>
      <c r="O3526" s="3"/>
      <c r="S3526" s="4"/>
    </row>
    <row r="3527" ht="14.25" customHeight="1">
      <c r="A3527" s="1" t="s">
        <v>5230</v>
      </c>
      <c r="B3527" s="1">
        <v>103.0</v>
      </c>
      <c r="C3527" s="1">
        <v>1420578.0</v>
      </c>
      <c r="D3527" s="1" t="s">
        <v>2143</v>
      </c>
      <c r="E3527" s="1" t="s">
        <v>1307</v>
      </c>
      <c r="F3527" s="1" t="s">
        <v>7090</v>
      </c>
      <c r="G3527" s="1">
        <v>4894.0</v>
      </c>
      <c r="H3527" s="1">
        <v>122.0</v>
      </c>
      <c r="I3527" s="1" t="s">
        <v>16</v>
      </c>
      <c r="J3527" s="1">
        <v>1900000.0</v>
      </c>
      <c r="K3527" s="1">
        <v>2003.0</v>
      </c>
      <c r="L3527" s="1">
        <v>6.4</v>
      </c>
      <c r="O3527" s="3"/>
      <c r="S3527" s="4"/>
    </row>
    <row r="3528" ht="14.25" customHeight="1">
      <c r="A3528" s="1" t="s">
        <v>7091</v>
      </c>
      <c r="B3528" s="1">
        <v>95.0</v>
      </c>
      <c r="C3528" s="1">
        <v>1028658.0</v>
      </c>
      <c r="D3528" s="1" t="s">
        <v>806</v>
      </c>
      <c r="E3528" s="1" t="s">
        <v>137</v>
      </c>
      <c r="F3528" s="1" t="s">
        <v>7092</v>
      </c>
      <c r="G3528" s="1">
        <v>118684.0</v>
      </c>
      <c r="H3528" s="1">
        <v>447.0</v>
      </c>
      <c r="I3528" s="1" t="s">
        <v>16</v>
      </c>
      <c r="J3528" s="1">
        <v>3000000.0</v>
      </c>
      <c r="K3528" s="1">
        <v>2010.0</v>
      </c>
      <c r="L3528" s="1">
        <v>7.0</v>
      </c>
      <c r="O3528" s="3"/>
      <c r="S3528" s="4"/>
    </row>
    <row r="3529" ht="14.25" customHeight="1">
      <c r="A3529" s="1" t="s">
        <v>7093</v>
      </c>
      <c r="B3529" s="1">
        <v>95.0</v>
      </c>
      <c r="C3529" s="1">
        <v>18435.0</v>
      </c>
      <c r="D3529" s="1" t="s">
        <v>1391</v>
      </c>
      <c r="E3529" s="1" t="s">
        <v>7094</v>
      </c>
      <c r="F3529" s="1" t="s">
        <v>7095</v>
      </c>
      <c r="G3529" s="1">
        <v>1010.0</v>
      </c>
      <c r="H3529" s="1">
        <v>15.0</v>
      </c>
      <c r="I3529" s="1" t="s">
        <v>1189</v>
      </c>
      <c r="J3529" s="1">
        <v>1400000.0</v>
      </c>
      <c r="K3529" s="1">
        <v>2006.0</v>
      </c>
      <c r="L3529" s="1">
        <v>5.8</v>
      </c>
      <c r="O3529" s="3"/>
      <c r="S3529" s="4"/>
    </row>
    <row r="3530" ht="14.25" customHeight="1">
      <c r="A3530" s="1" t="s">
        <v>3327</v>
      </c>
      <c r="B3530" s="1">
        <v>100.0</v>
      </c>
      <c r="C3530" s="1">
        <v>3.5266619E7</v>
      </c>
      <c r="D3530" s="1" t="s">
        <v>2039</v>
      </c>
      <c r="E3530" s="1" t="s">
        <v>210</v>
      </c>
      <c r="F3530" s="1" t="s">
        <v>3328</v>
      </c>
      <c r="G3530" s="1">
        <v>108248.0</v>
      </c>
      <c r="H3530" s="1">
        <v>371.0</v>
      </c>
      <c r="I3530" s="1" t="s">
        <v>16</v>
      </c>
      <c r="J3530" s="1">
        <v>3.0E7</v>
      </c>
      <c r="K3530" s="1">
        <v>2013.0</v>
      </c>
      <c r="L3530" s="1">
        <v>5.9</v>
      </c>
      <c r="O3530" s="3"/>
      <c r="S3530" s="4"/>
    </row>
    <row r="3531" ht="14.25" customHeight="1">
      <c r="A3531" s="1" t="s">
        <v>2511</v>
      </c>
      <c r="B3531" s="1">
        <v>101.0</v>
      </c>
      <c r="C3531" s="1">
        <v>2.6505E7</v>
      </c>
      <c r="D3531" s="1" t="s">
        <v>2551</v>
      </c>
      <c r="E3531" s="1" t="s">
        <v>19</v>
      </c>
      <c r="F3531" s="1" t="s">
        <v>2915</v>
      </c>
      <c r="G3531" s="1">
        <v>149293.0</v>
      </c>
      <c r="H3531" s="1">
        <v>668.0</v>
      </c>
      <c r="I3531" s="1" t="s">
        <v>16</v>
      </c>
      <c r="J3531" s="1">
        <v>1800000.0</v>
      </c>
      <c r="K3531" s="1">
        <v>1984.0</v>
      </c>
      <c r="L3531" s="1">
        <v>7.5</v>
      </c>
      <c r="O3531" s="3"/>
      <c r="S3531" s="4"/>
    </row>
    <row r="3532" ht="14.25" customHeight="1">
      <c r="A3532" s="1" t="s">
        <v>4884</v>
      </c>
      <c r="B3532" s="1">
        <v>90.0</v>
      </c>
      <c r="C3532" s="1">
        <v>2957978.0</v>
      </c>
      <c r="D3532" s="1" t="s">
        <v>7096</v>
      </c>
      <c r="E3532" s="1" t="s">
        <v>7097</v>
      </c>
      <c r="F3532" s="1" t="s">
        <v>7098</v>
      </c>
      <c r="G3532" s="1">
        <v>40481.0</v>
      </c>
      <c r="H3532" s="1">
        <v>134.0</v>
      </c>
      <c r="I3532" s="1" t="s">
        <v>16</v>
      </c>
      <c r="J3532" s="1">
        <v>1000000.0</v>
      </c>
      <c r="K3532" s="1">
        <v>2008.0</v>
      </c>
      <c r="L3532" s="1">
        <v>7.8</v>
      </c>
      <c r="O3532" s="3"/>
      <c r="S3532" s="4"/>
    </row>
    <row r="3533" ht="14.25" customHeight="1">
      <c r="A3533" s="1" t="s">
        <v>7099</v>
      </c>
      <c r="B3533" s="1">
        <v>89.0</v>
      </c>
      <c r="C3533" s="1">
        <v>444044.0</v>
      </c>
      <c r="D3533" s="1" t="s">
        <v>1391</v>
      </c>
      <c r="E3533" s="1" t="s">
        <v>7100</v>
      </c>
      <c r="F3533" s="1" t="s">
        <v>7101</v>
      </c>
      <c r="G3533" s="1">
        <v>744.0</v>
      </c>
      <c r="H3533" s="1">
        <v>19.0</v>
      </c>
      <c r="I3533" s="1" t="s">
        <v>16</v>
      </c>
      <c r="J3533" s="1">
        <v>1900000.0</v>
      </c>
      <c r="K3533" s="1">
        <v>2015.0</v>
      </c>
      <c r="L3533" s="1">
        <v>7.2</v>
      </c>
      <c r="O3533" s="3"/>
      <c r="S3533" s="4"/>
    </row>
    <row r="3534" ht="14.25" customHeight="1">
      <c r="A3534" s="1" t="s">
        <v>7102</v>
      </c>
      <c r="B3534" s="1">
        <v>87.0</v>
      </c>
      <c r="C3534" s="1">
        <v>4.0990055E7</v>
      </c>
      <c r="D3534" s="1" t="s">
        <v>1790</v>
      </c>
      <c r="E3534" s="1" t="s">
        <v>7103</v>
      </c>
      <c r="F3534" s="1" t="s">
        <v>7104</v>
      </c>
      <c r="G3534" s="1">
        <v>41509.0</v>
      </c>
      <c r="H3534" s="1">
        <v>300.0</v>
      </c>
      <c r="I3534" s="1" t="s">
        <v>16</v>
      </c>
      <c r="J3534" s="1">
        <v>1800000.0</v>
      </c>
      <c r="K3534" s="1">
        <v>2010.0</v>
      </c>
      <c r="L3534" s="1">
        <v>5.6</v>
      </c>
      <c r="O3534" s="3"/>
      <c r="S3534" s="4"/>
    </row>
    <row r="3535" ht="14.25" customHeight="1">
      <c r="A3535" s="1" t="s">
        <v>7105</v>
      </c>
      <c r="B3535" s="1">
        <v>118.0</v>
      </c>
      <c r="C3535" s="1">
        <v>5709616.0</v>
      </c>
      <c r="D3535" s="1" t="s">
        <v>92</v>
      </c>
      <c r="E3535" s="1" t="s">
        <v>7106</v>
      </c>
      <c r="F3535" s="1" t="s">
        <v>7107</v>
      </c>
      <c r="G3535" s="1">
        <v>11088.0</v>
      </c>
      <c r="H3535" s="1">
        <v>110.0</v>
      </c>
      <c r="I3535" s="1" t="s">
        <v>1144</v>
      </c>
      <c r="J3535" s="1">
        <v>1800000.0</v>
      </c>
      <c r="K3535" s="1">
        <v>2002.0</v>
      </c>
      <c r="L3535" s="1">
        <v>6.8</v>
      </c>
      <c r="O3535" s="3"/>
      <c r="S3535" s="4"/>
    </row>
    <row r="3536" ht="14.25" customHeight="1">
      <c r="A3536" s="1" t="s">
        <v>7108</v>
      </c>
      <c r="B3536" s="1">
        <v>93.0</v>
      </c>
      <c r="C3536" s="1">
        <v>1.2784397E7</v>
      </c>
      <c r="D3536" s="1" t="s">
        <v>2143</v>
      </c>
      <c r="E3536" s="1" t="s">
        <v>1521</v>
      </c>
      <c r="F3536" s="1" t="s">
        <v>7109</v>
      </c>
      <c r="G3536" s="1">
        <v>70336.0</v>
      </c>
      <c r="H3536" s="1">
        <v>269.0</v>
      </c>
      <c r="I3536" s="1" t="s">
        <v>16</v>
      </c>
      <c r="J3536" s="1">
        <v>1800000.0</v>
      </c>
      <c r="K3536" s="1">
        <v>2012.0</v>
      </c>
      <c r="L3536" s="1">
        <v>7.3</v>
      </c>
      <c r="O3536" s="3"/>
      <c r="S3536" s="4"/>
    </row>
    <row r="3537" ht="14.25" customHeight="1">
      <c r="A3537" s="1" t="s">
        <v>7110</v>
      </c>
      <c r="B3537" s="1">
        <v>109.0</v>
      </c>
      <c r="C3537" s="1">
        <v>3050934.0</v>
      </c>
      <c r="D3537" s="1" t="s">
        <v>2466</v>
      </c>
      <c r="E3537" s="1" t="s">
        <v>6313</v>
      </c>
      <c r="F3537" s="1" t="s">
        <v>7111</v>
      </c>
      <c r="G3537" s="1">
        <v>2794.0</v>
      </c>
      <c r="H3537" s="1">
        <v>78.0</v>
      </c>
      <c r="I3537" s="1" t="s">
        <v>16</v>
      </c>
      <c r="J3537" s="1">
        <v>1800000.0</v>
      </c>
      <c r="K3537" s="1">
        <v>2000.0</v>
      </c>
      <c r="L3537" s="1">
        <v>7.3</v>
      </c>
      <c r="O3537" s="3"/>
      <c r="S3537" s="4"/>
    </row>
    <row r="3538" ht="14.25" customHeight="1">
      <c r="A3538" s="1" t="s">
        <v>5666</v>
      </c>
      <c r="B3538" s="1">
        <v>90.0</v>
      </c>
      <c r="C3538" s="1">
        <v>638476.0</v>
      </c>
      <c r="D3538" s="1" t="s">
        <v>6384</v>
      </c>
      <c r="E3538" s="1" t="s">
        <v>734</v>
      </c>
      <c r="F3538" s="1" t="s">
        <v>7112</v>
      </c>
      <c r="G3538" s="1">
        <v>13223.0</v>
      </c>
      <c r="H3538" s="1">
        <v>45.0</v>
      </c>
      <c r="I3538" s="1" t="s">
        <v>16</v>
      </c>
      <c r="J3538" s="1">
        <v>1500000.0</v>
      </c>
      <c r="K3538" s="1">
        <v>2011.0</v>
      </c>
      <c r="L3538" s="1">
        <v>6.6</v>
      </c>
      <c r="O3538" s="3"/>
      <c r="S3538" s="4"/>
    </row>
    <row r="3539" ht="14.25" customHeight="1">
      <c r="A3539" s="1" t="s">
        <v>7113</v>
      </c>
      <c r="B3539" s="1">
        <v>108.0</v>
      </c>
      <c r="C3539" s="1">
        <v>505295.0</v>
      </c>
      <c r="D3539" s="1" t="s">
        <v>2805</v>
      </c>
      <c r="E3539" s="1" t="s">
        <v>7114</v>
      </c>
      <c r="F3539" s="1" t="s">
        <v>7115</v>
      </c>
      <c r="G3539" s="1">
        <v>1747.0</v>
      </c>
      <c r="H3539" s="1">
        <v>28.0</v>
      </c>
      <c r="I3539" s="1" t="s">
        <v>7116</v>
      </c>
      <c r="J3539" s="1">
        <v>1800000.0</v>
      </c>
      <c r="K3539" s="1">
        <v>2003.0</v>
      </c>
      <c r="L3539" s="1">
        <v>7.5</v>
      </c>
      <c r="O3539" s="3"/>
      <c r="S3539" s="4"/>
    </row>
    <row r="3540" ht="14.25" customHeight="1">
      <c r="A3540" s="1" t="s">
        <v>769</v>
      </c>
      <c r="B3540" s="1">
        <v>81.0</v>
      </c>
      <c r="C3540" s="1">
        <v>7267324.0</v>
      </c>
      <c r="D3540" s="1" t="s">
        <v>811</v>
      </c>
      <c r="E3540" s="1" t="s">
        <v>4447</v>
      </c>
      <c r="F3540" s="1" t="s">
        <v>7117</v>
      </c>
      <c r="G3540" s="1">
        <v>161471.0</v>
      </c>
      <c r="H3540" s="1">
        <v>709.0</v>
      </c>
      <c r="I3540" s="1" t="s">
        <v>4449</v>
      </c>
      <c r="J3540" s="1">
        <v>3500000.0</v>
      </c>
      <c r="K3540" s="1">
        <v>1998.0</v>
      </c>
      <c r="L3540" s="1">
        <v>7.8</v>
      </c>
      <c r="O3540" s="3"/>
      <c r="S3540" s="4"/>
    </row>
    <row r="3541" ht="14.25" customHeight="1">
      <c r="A3541" s="1" t="s">
        <v>7118</v>
      </c>
      <c r="B3541" s="1">
        <v>93.0</v>
      </c>
      <c r="C3541" s="1">
        <v>145540.0</v>
      </c>
      <c r="D3541" s="1" t="s">
        <v>5971</v>
      </c>
      <c r="E3541" s="1" t="s">
        <v>7119</v>
      </c>
      <c r="F3541" s="1" t="s">
        <v>7120</v>
      </c>
      <c r="G3541" s="1">
        <v>26773.0</v>
      </c>
      <c r="H3541" s="1">
        <v>277.0</v>
      </c>
      <c r="I3541" s="1" t="s">
        <v>16</v>
      </c>
      <c r="J3541" s="1">
        <v>500000.0</v>
      </c>
      <c r="K3541" s="1">
        <v>2002.0</v>
      </c>
      <c r="L3541" s="1">
        <v>6.7</v>
      </c>
      <c r="O3541" s="3"/>
      <c r="S3541" s="4"/>
    </row>
    <row r="3542" ht="14.25" customHeight="1">
      <c r="A3542" s="1" t="s">
        <v>5138</v>
      </c>
      <c r="B3542" s="1">
        <v>138.0</v>
      </c>
      <c r="C3542" s="1">
        <v>3.5918429E7</v>
      </c>
      <c r="D3542" s="1" t="s">
        <v>811</v>
      </c>
      <c r="E3542" s="1" t="s">
        <v>1907</v>
      </c>
      <c r="F3542" s="1" t="s">
        <v>7121</v>
      </c>
      <c r="G3542" s="1">
        <v>32415.0</v>
      </c>
      <c r="H3542" s="1">
        <v>510.0</v>
      </c>
      <c r="I3542" s="1" t="s">
        <v>16</v>
      </c>
      <c r="J3542" s="1">
        <v>1700000.0</v>
      </c>
      <c r="K3542" s="1">
        <v>2001.0</v>
      </c>
      <c r="L3542" s="1">
        <v>7.5</v>
      </c>
      <c r="O3542" s="3"/>
      <c r="S3542" s="4"/>
    </row>
    <row r="3543" ht="14.25" customHeight="1">
      <c r="A3543" s="1" t="s">
        <v>7122</v>
      </c>
      <c r="B3543" s="1">
        <v>105.0</v>
      </c>
      <c r="C3543" s="1">
        <v>92401.0</v>
      </c>
      <c r="D3543" s="1" t="s">
        <v>2657</v>
      </c>
      <c r="E3543" s="1" t="s">
        <v>7123</v>
      </c>
      <c r="F3543" s="1" t="s">
        <v>7124</v>
      </c>
      <c r="G3543" s="1">
        <v>56402.0</v>
      </c>
      <c r="H3543" s="1">
        <v>209.0</v>
      </c>
      <c r="I3543" s="1" t="s">
        <v>16</v>
      </c>
      <c r="J3543" s="1">
        <v>2000000.0</v>
      </c>
      <c r="K3543" s="1">
        <v>2010.0</v>
      </c>
      <c r="L3543" s="1">
        <v>6.3</v>
      </c>
      <c r="O3543" s="3"/>
      <c r="S3543" s="4"/>
    </row>
    <row r="3544" ht="14.25" customHeight="1">
      <c r="A3544" s="1" t="s">
        <v>7125</v>
      </c>
      <c r="B3544" s="1">
        <v>98.0</v>
      </c>
      <c r="C3544" s="1">
        <v>1943649.0</v>
      </c>
      <c r="D3544" s="1" t="s">
        <v>1737</v>
      </c>
      <c r="E3544" s="1" t="s">
        <v>7126</v>
      </c>
      <c r="F3544" s="1" t="s">
        <v>7127</v>
      </c>
      <c r="G3544" s="1">
        <v>8697.0</v>
      </c>
      <c r="H3544" s="1">
        <v>122.0</v>
      </c>
      <c r="I3544" s="1" t="s">
        <v>16</v>
      </c>
      <c r="J3544" s="1">
        <v>1700000.0</v>
      </c>
      <c r="K3544" s="1">
        <v>1999.0</v>
      </c>
      <c r="L3544" s="1">
        <v>6.3</v>
      </c>
      <c r="O3544" s="3"/>
      <c r="S3544" s="4"/>
    </row>
    <row r="3545" ht="14.25" customHeight="1">
      <c r="A3545" s="1" t="s">
        <v>7128</v>
      </c>
      <c r="B3545" s="1">
        <v>86.0</v>
      </c>
      <c r="C3545" s="1">
        <v>992238.0</v>
      </c>
      <c r="D3545" s="1" t="s">
        <v>92</v>
      </c>
      <c r="E3545" s="1" t="s">
        <v>966</v>
      </c>
      <c r="F3545" s="1" t="s">
        <v>7129</v>
      </c>
      <c r="G3545" s="1">
        <v>16349.0</v>
      </c>
      <c r="H3545" s="1">
        <v>103.0</v>
      </c>
      <c r="I3545" s="1" t="s">
        <v>16</v>
      </c>
      <c r="J3545" s="1">
        <v>1700000.0</v>
      </c>
      <c r="K3545" s="1">
        <v>2004.0</v>
      </c>
      <c r="L3545" s="1">
        <v>6.8</v>
      </c>
      <c r="O3545" s="3"/>
      <c r="S3545" s="4"/>
    </row>
    <row r="3546" ht="14.25" customHeight="1">
      <c r="A3546" s="1" t="s">
        <v>7130</v>
      </c>
      <c r="B3546" s="1">
        <v>104.0</v>
      </c>
      <c r="C3546" s="1">
        <v>4231500.0</v>
      </c>
      <c r="D3546" s="1" t="s">
        <v>92</v>
      </c>
      <c r="E3546" s="1" t="s">
        <v>7131</v>
      </c>
      <c r="F3546" s="1" t="s">
        <v>7132</v>
      </c>
      <c r="G3546" s="1">
        <v>30479.0</v>
      </c>
      <c r="H3546" s="1">
        <v>162.0</v>
      </c>
      <c r="I3546" s="1" t="s">
        <v>5555</v>
      </c>
      <c r="J3546" s="1">
        <v>1000000.0</v>
      </c>
      <c r="K3546" s="1">
        <v>2013.0</v>
      </c>
      <c r="L3546" s="1">
        <v>7.8</v>
      </c>
      <c r="O3546" s="3"/>
      <c r="S3546" s="4"/>
    </row>
    <row r="3547" ht="14.25" customHeight="1">
      <c r="A3547" s="1" t="s">
        <v>7133</v>
      </c>
      <c r="B3547" s="1">
        <v>100.0</v>
      </c>
      <c r="C3547" s="1">
        <v>396035.0</v>
      </c>
      <c r="D3547" s="1" t="s">
        <v>92</v>
      </c>
      <c r="E3547" s="1" t="s">
        <v>970</v>
      </c>
      <c r="F3547" s="1" t="s">
        <v>7134</v>
      </c>
      <c r="G3547" s="1">
        <v>2725.0</v>
      </c>
      <c r="H3547" s="1">
        <v>48.0</v>
      </c>
      <c r="I3547" s="1" t="s">
        <v>16</v>
      </c>
      <c r="J3547" s="1">
        <v>1000000.0</v>
      </c>
      <c r="K3547" s="1">
        <v>2004.0</v>
      </c>
      <c r="L3547" s="1">
        <v>6.9</v>
      </c>
      <c r="O3547" s="3"/>
      <c r="S3547" s="4"/>
    </row>
    <row r="3548" ht="14.25" customHeight="1">
      <c r="A3548" s="1" t="s">
        <v>7135</v>
      </c>
      <c r="B3548" s="1">
        <v>84.0</v>
      </c>
      <c r="C3548" s="1">
        <v>6026908.0</v>
      </c>
      <c r="D3548" s="1" t="s">
        <v>1059</v>
      </c>
      <c r="E3548" s="1" t="s">
        <v>6849</v>
      </c>
      <c r="F3548" s="1" t="s">
        <v>7136</v>
      </c>
      <c r="G3548" s="1">
        <v>536.0</v>
      </c>
      <c r="H3548" s="1">
        <v>13.0</v>
      </c>
      <c r="I3548" s="1" t="s">
        <v>16</v>
      </c>
      <c r="J3548" s="1">
        <v>2000000.0</v>
      </c>
      <c r="K3548" s="1">
        <v>1999.0</v>
      </c>
      <c r="L3548" s="1">
        <v>4.3</v>
      </c>
      <c r="O3548" s="3"/>
      <c r="S3548" s="4"/>
    </row>
    <row r="3549" ht="14.25" customHeight="1">
      <c r="A3549" s="1" t="s">
        <v>7137</v>
      </c>
      <c r="B3549" s="1">
        <v>95.0</v>
      </c>
      <c r="C3549" s="1">
        <v>1060591.0</v>
      </c>
      <c r="D3549" s="1" t="s">
        <v>593</v>
      </c>
      <c r="E3549" s="1" t="s">
        <v>7138</v>
      </c>
      <c r="F3549" s="1" t="s">
        <v>7139</v>
      </c>
      <c r="G3549" s="1">
        <v>9750.0</v>
      </c>
      <c r="H3549" s="1">
        <v>66.0</v>
      </c>
      <c r="I3549" s="1" t="s">
        <v>7140</v>
      </c>
      <c r="J3549" s="1">
        <v>1300000.0</v>
      </c>
      <c r="K3549" s="1">
        <v>2007.0</v>
      </c>
      <c r="L3549" s="1">
        <v>7.2</v>
      </c>
      <c r="O3549" s="3"/>
      <c r="S3549" s="4"/>
    </row>
    <row r="3550" ht="14.25" customHeight="1">
      <c r="A3550" s="1" t="s">
        <v>7141</v>
      </c>
      <c r="B3550" s="1">
        <v>90.0</v>
      </c>
      <c r="C3550" s="1">
        <v>155972.0</v>
      </c>
      <c r="D3550" s="1" t="s">
        <v>593</v>
      </c>
      <c r="E3550" s="1" t="s">
        <v>7142</v>
      </c>
      <c r="F3550" s="1" t="s">
        <v>7143</v>
      </c>
      <c r="G3550" s="1">
        <v>4702.0</v>
      </c>
      <c r="H3550" s="1">
        <v>23.0</v>
      </c>
      <c r="I3550" s="1" t="s">
        <v>7043</v>
      </c>
      <c r="J3550" s="1">
        <v>1500000.0</v>
      </c>
      <c r="K3550" s="1">
        <v>2006.0</v>
      </c>
      <c r="L3550" s="1">
        <v>7.3</v>
      </c>
      <c r="O3550" s="3"/>
      <c r="S3550" s="4"/>
    </row>
    <row r="3551" ht="14.25" customHeight="1">
      <c r="A3551" s="1" t="s">
        <v>7144</v>
      </c>
      <c r="B3551" s="1">
        <v>123.0</v>
      </c>
      <c r="C3551" s="1">
        <v>26893.0</v>
      </c>
      <c r="D3551" s="1" t="s">
        <v>5447</v>
      </c>
      <c r="E3551" s="1" t="s">
        <v>2651</v>
      </c>
      <c r="F3551" s="1" t="s">
        <v>7145</v>
      </c>
      <c r="G3551" s="1">
        <v>4391.0</v>
      </c>
      <c r="H3551" s="1">
        <v>26.0</v>
      </c>
      <c r="I3551" s="1" t="s">
        <v>1189</v>
      </c>
      <c r="J3551" s="1">
        <v>1600000.0</v>
      </c>
      <c r="K3551" s="1">
        <v>1969.0</v>
      </c>
      <c r="L3551" s="1">
        <v>7.2</v>
      </c>
      <c r="O3551" s="3"/>
      <c r="S3551" s="4"/>
    </row>
    <row r="3552" ht="14.25" customHeight="1">
      <c r="A3552" s="1" t="s">
        <v>1177</v>
      </c>
      <c r="B3552" s="1">
        <v>111.0</v>
      </c>
      <c r="C3552" s="1">
        <v>2580.0</v>
      </c>
      <c r="D3552" s="1" t="s">
        <v>3192</v>
      </c>
      <c r="E3552" s="1" t="s">
        <v>260</v>
      </c>
      <c r="F3552" s="1" t="s">
        <v>7146</v>
      </c>
      <c r="G3552" s="1">
        <v>1618.0</v>
      </c>
      <c r="H3552" s="1">
        <v>40.0</v>
      </c>
      <c r="I3552" s="1" t="s">
        <v>16</v>
      </c>
      <c r="J3552" s="1">
        <v>1650000.0</v>
      </c>
      <c r="K3552" s="1">
        <v>2003.0</v>
      </c>
      <c r="L3552" s="1">
        <v>5.4</v>
      </c>
      <c r="O3552" s="3"/>
      <c r="S3552" s="4"/>
    </row>
    <row r="3553" ht="14.25" customHeight="1">
      <c r="A3553" s="1" t="s">
        <v>48</v>
      </c>
      <c r="B3553" s="1">
        <v>110.0</v>
      </c>
      <c r="C3553" s="1">
        <v>5.8885635E7</v>
      </c>
      <c r="D3553" s="1" t="s">
        <v>1981</v>
      </c>
      <c r="E3553" s="1" t="s">
        <v>402</v>
      </c>
      <c r="F3553" s="1" t="s">
        <v>3483</v>
      </c>
      <c r="G3553" s="1">
        <v>194426.0</v>
      </c>
      <c r="H3553" s="1">
        <v>1057.0</v>
      </c>
      <c r="I3553" s="1" t="s">
        <v>16</v>
      </c>
      <c r="J3553" s="1">
        <v>2.6E7</v>
      </c>
      <c r="K3553" s="1">
        <v>2004.0</v>
      </c>
      <c r="L3553" s="1">
        <v>7.4</v>
      </c>
      <c r="O3553" s="3"/>
      <c r="S3553" s="4"/>
    </row>
    <row r="3554" ht="14.25" customHeight="1">
      <c r="A3554" s="1" t="s">
        <v>7147</v>
      </c>
      <c r="B3554" s="1">
        <v>108.0</v>
      </c>
      <c r="C3554" s="1">
        <v>1.9067631E7</v>
      </c>
      <c r="D3554" s="1" t="s">
        <v>593</v>
      </c>
      <c r="E3554" s="1" t="s">
        <v>7148</v>
      </c>
      <c r="F3554" s="1" t="s">
        <v>7149</v>
      </c>
      <c r="G3554" s="1">
        <v>37714.0</v>
      </c>
      <c r="H3554" s="1">
        <v>204.0</v>
      </c>
      <c r="I3554" s="1" t="s">
        <v>16</v>
      </c>
      <c r="J3554" s="1">
        <v>2000000.0</v>
      </c>
      <c r="K3554" s="1">
        <v>2007.0</v>
      </c>
      <c r="L3554" s="1">
        <v>7.1</v>
      </c>
      <c r="O3554" s="3"/>
      <c r="S3554" s="4"/>
    </row>
    <row r="3555" ht="14.25" customHeight="1">
      <c r="A3555" s="1" t="s">
        <v>7150</v>
      </c>
      <c r="B3555" s="1">
        <v>92.0</v>
      </c>
      <c r="C3555" s="1">
        <v>1.1806119E7</v>
      </c>
      <c r="D3555" s="1" t="s">
        <v>2835</v>
      </c>
      <c r="E3555" s="1" t="s">
        <v>4768</v>
      </c>
      <c r="F3555" s="1" t="s">
        <v>7151</v>
      </c>
      <c r="G3555" s="1">
        <v>57578.0</v>
      </c>
      <c r="H3555" s="1">
        <v>210.0</v>
      </c>
      <c r="I3555" s="1" t="s">
        <v>16</v>
      </c>
      <c r="J3555" s="1">
        <v>1100000.0</v>
      </c>
      <c r="K3555" s="1">
        <v>1988.0</v>
      </c>
      <c r="L3555" s="1">
        <v>6.8</v>
      </c>
      <c r="O3555" s="3"/>
      <c r="S3555" s="4"/>
    </row>
    <row r="3556" ht="14.25" customHeight="1">
      <c r="A3556" s="1" t="s">
        <v>7152</v>
      </c>
      <c r="B3556" s="1">
        <v>91.0</v>
      </c>
      <c r="C3556" s="1">
        <v>7417210.0</v>
      </c>
      <c r="D3556" s="1" t="s">
        <v>1391</v>
      </c>
      <c r="E3556" s="1" t="s">
        <v>798</v>
      </c>
      <c r="F3556" s="1" t="s">
        <v>7153</v>
      </c>
      <c r="G3556" s="1">
        <v>59041.0</v>
      </c>
      <c r="H3556" s="1">
        <v>408.0</v>
      </c>
      <c r="I3556" s="1" t="s">
        <v>16</v>
      </c>
      <c r="J3556" s="1">
        <v>1500000.0</v>
      </c>
      <c r="K3556" s="1">
        <v>1995.0</v>
      </c>
      <c r="L3556" s="1">
        <v>7.0</v>
      </c>
      <c r="O3556" s="3"/>
      <c r="S3556" s="4"/>
    </row>
    <row r="3557" ht="14.25" customHeight="1">
      <c r="A3557" s="1" t="s">
        <v>5754</v>
      </c>
      <c r="B3557" s="1">
        <v>88.0</v>
      </c>
      <c r="C3557" s="1">
        <v>7362100.0</v>
      </c>
      <c r="D3557" s="1" t="s">
        <v>1059</v>
      </c>
      <c r="E3557" s="1" t="s">
        <v>7154</v>
      </c>
      <c r="F3557" s="1" t="s">
        <v>7155</v>
      </c>
      <c r="G3557" s="1">
        <v>60295.0</v>
      </c>
      <c r="H3557" s="1">
        <v>232.0</v>
      </c>
      <c r="I3557" s="1" t="s">
        <v>16</v>
      </c>
      <c r="J3557" s="1">
        <v>1500000.0</v>
      </c>
      <c r="K3557" s="1">
        <v>2005.0</v>
      </c>
      <c r="L3557" s="1">
        <v>7.4</v>
      </c>
      <c r="O3557" s="3"/>
      <c r="S3557" s="4"/>
    </row>
    <row r="3558" ht="14.25" customHeight="1">
      <c r="A3558" s="1" t="s">
        <v>3692</v>
      </c>
      <c r="B3558" s="1">
        <v>97.0</v>
      </c>
      <c r="C3558" s="1">
        <v>7022940.0</v>
      </c>
      <c r="D3558" s="1" t="s">
        <v>593</v>
      </c>
      <c r="E3558" s="1" t="s">
        <v>7156</v>
      </c>
      <c r="F3558" s="1" t="s">
        <v>7157</v>
      </c>
      <c r="G3558" s="1">
        <v>14018.0</v>
      </c>
      <c r="H3558" s="1">
        <v>190.0</v>
      </c>
      <c r="I3558" s="1" t="s">
        <v>16</v>
      </c>
      <c r="J3558" s="1">
        <v>1000000.0</v>
      </c>
      <c r="K3558" s="1">
        <v>2001.0</v>
      </c>
      <c r="L3558" s="1">
        <v>6.7</v>
      </c>
      <c r="O3558" s="3"/>
      <c r="S3558" s="4"/>
    </row>
    <row r="3559" ht="14.25" customHeight="1">
      <c r="A3559" s="1" t="s">
        <v>3888</v>
      </c>
      <c r="B3559" s="1">
        <v>103.0</v>
      </c>
      <c r="C3559" s="1">
        <v>5132222.0</v>
      </c>
      <c r="D3559" s="1" t="s">
        <v>1556</v>
      </c>
      <c r="E3559" s="1" t="s">
        <v>1157</v>
      </c>
      <c r="F3559" s="1" t="s">
        <v>7158</v>
      </c>
      <c r="G3559" s="1">
        <v>14112.0</v>
      </c>
      <c r="H3559" s="1">
        <v>83.0</v>
      </c>
      <c r="I3559" s="1" t="s">
        <v>16</v>
      </c>
      <c r="J3559" s="1">
        <v>2000000.0</v>
      </c>
      <c r="K3559" s="1">
        <v>1994.0</v>
      </c>
      <c r="L3559" s="1">
        <v>7.2</v>
      </c>
      <c r="O3559" s="3"/>
      <c r="S3559" s="4"/>
    </row>
    <row r="3560" ht="14.25" customHeight="1">
      <c r="A3560" s="1" t="s">
        <v>5778</v>
      </c>
      <c r="B3560" s="1">
        <v>110.0</v>
      </c>
      <c r="C3560" s="1">
        <v>2365931.0</v>
      </c>
      <c r="D3560" s="1" t="s">
        <v>1275</v>
      </c>
      <c r="E3560" s="1" t="s">
        <v>1617</v>
      </c>
      <c r="F3560" s="1" t="s">
        <v>7159</v>
      </c>
      <c r="G3560" s="1">
        <v>36657.0</v>
      </c>
      <c r="H3560" s="1">
        <v>318.0</v>
      </c>
      <c r="I3560" s="1" t="s">
        <v>16</v>
      </c>
      <c r="J3560" s="1">
        <v>1500000.0</v>
      </c>
      <c r="K3560" s="1">
        <v>1998.0</v>
      </c>
      <c r="L3560" s="1">
        <v>7.5</v>
      </c>
      <c r="O3560" s="3"/>
      <c r="S3560" s="4"/>
    </row>
    <row r="3561" ht="14.25" customHeight="1">
      <c r="A3561" s="1" t="s">
        <v>145</v>
      </c>
      <c r="B3561" s="1">
        <v>103.0</v>
      </c>
      <c r="C3561" s="1">
        <v>5.3991137E7</v>
      </c>
      <c r="D3561" s="1" t="s">
        <v>1103</v>
      </c>
      <c r="E3561" s="1" t="s">
        <v>3102</v>
      </c>
      <c r="F3561" s="1" t="s">
        <v>7160</v>
      </c>
      <c r="G3561" s="1">
        <v>202800.0</v>
      </c>
      <c r="H3561" s="1">
        <v>752.0</v>
      </c>
      <c r="I3561" s="1" t="s">
        <v>16</v>
      </c>
      <c r="J3561" s="1">
        <v>1500000.0</v>
      </c>
      <c r="K3561" s="1">
        <v>2010.0</v>
      </c>
      <c r="L3561" s="1">
        <v>6.8</v>
      </c>
      <c r="O3561" s="3"/>
      <c r="S3561" s="4"/>
    </row>
    <row r="3562" ht="14.25" customHeight="1">
      <c r="A3562" s="1" t="s">
        <v>7161</v>
      </c>
      <c r="B3562" s="1">
        <v>114.0</v>
      </c>
      <c r="C3562" s="1">
        <v>1221261.0</v>
      </c>
      <c r="D3562" s="1" t="s">
        <v>901</v>
      </c>
      <c r="E3562" s="1" t="s">
        <v>6733</v>
      </c>
      <c r="F3562" s="1" t="s">
        <v>7162</v>
      </c>
      <c r="G3562" s="1">
        <v>38215.0</v>
      </c>
      <c r="H3562" s="1">
        <v>125.0</v>
      </c>
      <c r="I3562" s="1" t="s">
        <v>1144</v>
      </c>
      <c r="J3562" s="1">
        <v>1500000.0</v>
      </c>
      <c r="K3562" s="1">
        <v>2000.0</v>
      </c>
      <c r="L3562" s="1">
        <v>7.9</v>
      </c>
      <c r="O3562" s="3"/>
      <c r="S3562" s="4"/>
    </row>
    <row r="3563" ht="14.25" customHeight="1">
      <c r="A3563" s="1" t="s">
        <v>7163</v>
      </c>
      <c r="B3563" s="1">
        <v>112.0</v>
      </c>
      <c r="C3563" s="1">
        <v>712294.0</v>
      </c>
      <c r="D3563" s="1" t="s">
        <v>1391</v>
      </c>
      <c r="E3563" s="1" t="s">
        <v>7164</v>
      </c>
      <c r="F3563" s="1" t="s">
        <v>7165</v>
      </c>
      <c r="G3563" s="1">
        <v>9408.0</v>
      </c>
      <c r="H3563" s="1">
        <v>68.0</v>
      </c>
      <c r="I3563" s="1" t="s">
        <v>16</v>
      </c>
      <c r="J3563" s="1">
        <v>1500000.0</v>
      </c>
      <c r="K3563" s="1">
        <v>2005.0</v>
      </c>
      <c r="L3563" s="1">
        <v>6.7</v>
      </c>
      <c r="O3563" s="3"/>
      <c r="S3563" s="4"/>
    </row>
    <row r="3564" ht="14.25" customHeight="1">
      <c r="A3564" s="1" t="s">
        <v>7166</v>
      </c>
      <c r="B3564" s="1">
        <v>104.0</v>
      </c>
      <c r="C3564" s="1">
        <v>3447339.0</v>
      </c>
      <c r="D3564" s="1" t="s">
        <v>699</v>
      </c>
      <c r="E3564" s="1" t="s">
        <v>7167</v>
      </c>
      <c r="F3564" s="1" t="s">
        <v>7168</v>
      </c>
      <c r="G3564" s="1">
        <v>29517.0</v>
      </c>
      <c r="H3564" s="1">
        <v>79.0</v>
      </c>
      <c r="I3564" s="1" t="s">
        <v>16</v>
      </c>
      <c r="J3564" s="1">
        <v>1500000.0</v>
      </c>
      <c r="K3564" s="1">
        <v>2013.0</v>
      </c>
      <c r="L3564" s="1">
        <v>5.8</v>
      </c>
      <c r="O3564" s="3"/>
      <c r="S3564" s="4"/>
    </row>
    <row r="3565" ht="14.25" customHeight="1">
      <c r="A3565" s="1" t="s">
        <v>6637</v>
      </c>
      <c r="B3565" s="1">
        <v>99.0</v>
      </c>
      <c r="C3565" s="1">
        <v>418953.0</v>
      </c>
      <c r="D3565" s="1" t="s">
        <v>901</v>
      </c>
      <c r="E3565" s="1" t="s">
        <v>5738</v>
      </c>
      <c r="F3565" s="1" t="s">
        <v>7169</v>
      </c>
      <c r="G3565" s="1">
        <v>17322.0</v>
      </c>
      <c r="H3565" s="1">
        <v>93.0</v>
      </c>
      <c r="I3565" s="1" t="s">
        <v>16</v>
      </c>
      <c r="J3565" s="1">
        <v>1500000.0</v>
      </c>
      <c r="K3565" s="1">
        <v>1993.0</v>
      </c>
      <c r="L3565" s="1">
        <v>6.5</v>
      </c>
      <c r="O3565" s="3"/>
      <c r="S3565" s="4"/>
    </row>
    <row r="3566" ht="14.25" customHeight="1">
      <c r="A3566" s="1" t="s">
        <v>7170</v>
      </c>
      <c r="B3566" s="1">
        <v>98.0</v>
      </c>
      <c r="C3566" s="1">
        <v>406035.0</v>
      </c>
      <c r="D3566" s="1" t="s">
        <v>1391</v>
      </c>
      <c r="E3566" s="1" t="s">
        <v>1717</v>
      </c>
      <c r="F3566" s="1" t="s">
        <v>7171</v>
      </c>
      <c r="G3566" s="1">
        <v>30314.0</v>
      </c>
      <c r="H3566" s="1">
        <v>159.0</v>
      </c>
      <c r="I3566" s="1" t="s">
        <v>16</v>
      </c>
      <c r="J3566" s="1">
        <v>1500000.0</v>
      </c>
      <c r="K3566" s="1">
        <v>2001.0</v>
      </c>
      <c r="L3566" s="1">
        <v>7.2</v>
      </c>
      <c r="O3566" s="3"/>
      <c r="S3566" s="4"/>
    </row>
    <row r="3567" ht="14.25" customHeight="1">
      <c r="A3567" s="1" t="s">
        <v>5035</v>
      </c>
      <c r="B3567" s="1">
        <v>100.0</v>
      </c>
      <c r="C3567" s="1">
        <v>373967.0</v>
      </c>
      <c r="D3567" s="1" t="s">
        <v>2512</v>
      </c>
      <c r="E3567" s="1" t="s">
        <v>7172</v>
      </c>
      <c r="F3567" s="1" t="s">
        <v>7173</v>
      </c>
      <c r="G3567" s="1">
        <v>43839.0</v>
      </c>
      <c r="H3567" s="1">
        <v>481.0</v>
      </c>
      <c r="I3567" s="1" t="s">
        <v>16</v>
      </c>
      <c r="J3567" s="1">
        <v>1500000.0</v>
      </c>
      <c r="K3567" s="1">
        <v>2001.0</v>
      </c>
      <c r="L3567" s="1">
        <v>6.5</v>
      </c>
      <c r="O3567" s="3"/>
      <c r="S3567" s="4"/>
    </row>
    <row r="3568" ht="14.25" customHeight="1">
      <c r="A3568" s="1" t="s">
        <v>7174</v>
      </c>
      <c r="B3568" s="1">
        <v>80.0</v>
      </c>
      <c r="C3568" s="1">
        <v>194568.0</v>
      </c>
      <c r="D3568" s="1" t="s">
        <v>699</v>
      </c>
      <c r="E3568" s="1" t="s">
        <v>7175</v>
      </c>
      <c r="F3568" s="1" t="s">
        <v>7176</v>
      </c>
      <c r="G3568" s="1">
        <v>2963.0</v>
      </c>
      <c r="H3568" s="1">
        <v>28.0</v>
      </c>
      <c r="I3568" s="1" t="s">
        <v>16</v>
      </c>
      <c r="J3568" s="1">
        <v>1500000.0</v>
      </c>
      <c r="K3568" s="1">
        <v>2006.0</v>
      </c>
      <c r="L3568" s="1">
        <v>6.2</v>
      </c>
      <c r="O3568" s="3"/>
      <c r="S3568" s="4"/>
    </row>
    <row r="3569" ht="14.25" customHeight="1">
      <c r="A3569" s="1" t="s">
        <v>7177</v>
      </c>
      <c r="B3569" s="1">
        <v>87.0</v>
      </c>
      <c r="C3569" s="1">
        <v>163245.0</v>
      </c>
      <c r="D3569" s="1" t="s">
        <v>1599</v>
      </c>
      <c r="E3569" s="1" t="s">
        <v>7178</v>
      </c>
      <c r="F3569" s="1" t="s">
        <v>7179</v>
      </c>
      <c r="G3569" s="1">
        <v>143086.0</v>
      </c>
      <c r="H3569" s="1">
        <v>211.0</v>
      </c>
      <c r="I3569" s="1" t="s">
        <v>16</v>
      </c>
      <c r="J3569" s="1">
        <v>1500000.0</v>
      </c>
      <c r="K3569" s="1">
        <v>1936.0</v>
      </c>
      <c r="L3569" s="1">
        <v>8.6</v>
      </c>
      <c r="O3569" s="3"/>
      <c r="S3569" s="4"/>
    </row>
    <row r="3570" ht="14.25" customHeight="1">
      <c r="A3570" s="1" t="s">
        <v>7180</v>
      </c>
      <c r="B3570" s="1">
        <v>91.0</v>
      </c>
      <c r="C3570" s="1">
        <v>119841.0</v>
      </c>
      <c r="D3570" s="1" t="s">
        <v>1391</v>
      </c>
      <c r="E3570" s="1" t="s">
        <v>2579</v>
      </c>
      <c r="F3570" s="1" t="s">
        <v>7181</v>
      </c>
      <c r="G3570" s="1">
        <v>2419.0</v>
      </c>
      <c r="H3570" s="1">
        <v>55.0</v>
      </c>
      <c r="I3570" s="1" t="s">
        <v>16</v>
      </c>
      <c r="J3570" s="1">
        <v>1500000.0</v>
      </c>
      <c r="K3570" s="1">
        <v>2002.0</v>
      </c>
      <c r="L3570" s="1">
        <v>6.5</v>
      </c>
      <c r="O3570" s="3"/>
      <c r="S3570" s="4"/>
    </row>
    <row r="3571" ht="14.25" customHeight="1">
      <c r="A3571" s="1" t="s">
        <v>7182</v>
      </c>
      <c r="B3571" s="1">
        <v>84.0</v>
      </c>
      <c r="C3571" s="1">
        <v>173066.0</v>
      </c>
      <c r="D3571" s="1" t="s">
        <v>1148</v>
      </c>
      <c r="E3571" s="1" t="s">
        <v>6735</v>
      </c>
      <c r="F3571" s="1" t="s">
        <v>7183</v>
      </c>
      <c r="G3571" s="1">
        <v>21379.0</v>
      </c>
      <c r="H3571" s="1">
        <v>88.0</v>
      </c>
      <c r="I3571" s="1" t="s">
        <v>16</v>
      </c>
      <c r="J3571" s="1">
        <v>1500000.0</v>
      </c>
      <c r="K3571" s="1">
        <v>2007.0</v>
      </c>
      <c r="L3571" s="1">
        <v>6.3</v>
      </c>
      <c r="O3571" s="3"/>
      <c r="S3571" s="4"/>
    </row>
    <row r="3572" ht="14.25" customHeight="1">
      <c r="A3572" s="1" t="s">
        <v>5222</v>
      </c>
      <c r="B3572" s="1">
        <v>90.0</v>
      </c>
      <c r="C3572" s="1">
        <v>92362.0</v>
      </c>
      <c r="D3572" s="1" t="s">
        <v>1059</v>
      </c>
      <c r="E3572" s="1" t="s">
        <v>272</v>
      </c>
      <c r="F3572" s="1" t="s">
        <v>7184</v>
      </c>
      <c r="G3572" s="1">
        <v>444.0</v>
      </c>
      <c r="H3572" s="1">
        <v>5.0</v>
      </c>
      <c r="I3572" s="1" t="s">
        <v>16</v>
      </c>
      <c r="J3572" s="1">
        <v>1500000.0</v>
      </c>
      <c r="K3572" s="1">
        <v>2005.0</v>
      </c>
      <c r="L3572" s="1">
        <v>4.3</v>
      </c>
      <c r="O3572" s="3"/>
      <c r="S3572" s="4"/>
    </row>
    <row r="3573" ht="14.25" customHeight="1">
      <c r="A3573" s="1" t="s">
        <v>7185</v>
      </c>
      <c r="B3573" s="1">
        <v>98.0</v>
      </c>
      <c r="C3573" s="1">
        <v>105943.0</v>
      </c>
      <c r="D3573" s="1" t="s">
        <v>828</v>
      </c>
      <c r="E3573" s="1" t="s">
        <v>7186</v>
      </c>
      <c r="F3573" s="1" t="s">
        <v>7187</v>
      </c>
      <c r="G3573" s="1">
        <v>1351.0</v>
      </c>
      <c r="H3573" s="1">
        <v>11.0</v>
      </c>
      <c r="I3573" s="1" t="s">
        <v>16</v>
      </c>
      <c r="J3573" s="1">
        <v>1500000.0</v>
      </c>
      <c r="K3573" s="1">
        <v>2015.0</v>
      </c>
      <c r="L3573" s="1">
        <v>6.1</v>
      </c>
      <c r="O3573" s="3"/>
      <c r="S3573" s="4"/>
    </row>
    <row r="3574" ht="14.25" customHeight="1">
      <c r="A3574" s="1" t="s">
        <v>5917</v>
      </c>
      <c r="B3574" s="1">
        <v>124.0</v>
      </c>
      <c r="C3574" s="1">
        <v>183490.0</v>
      </c>
      <c r="D3574" s="1" t="s">
        <v>1384</v>
      </c>
      <c r="E3574" s="1" t="s">
        <v>7188</v>
      </c>
      <c r="F3574" s="1" t="s">
        <v>7189</v>
      </c>
      <c r="G3574" s="1">
        <v>463.0</v>
      </c>
      <c r="H3574" s="1">
        <v>8.0</v>
      </c>
      <c r="I3574" s="1" t="s">
        <v>16</v>
      </c>
      <c r="J3574" s="1">
        <v>1700000.0</v>
      </c>
      <c r="K3574" s="1">
        <v>2010.0</v>
      </c>
      <c r="L3574" s="1">
        <v>5.8</v>
      </c>
      <c r="O3574" s="3"/>
      <c r="S3574" s="4"/>
    </row>
    <row r="3575" ht="14.25" customHeight="1">
      <c r="A3575" s="1" t="s">
        <v>7190</v>
      </c>
      <c r="B3575" s="1">
        <v>95.0</v>
      </c>
      <c r="C3575" s="1">
        <v>3478.0</v>
      </c>
      <c r="D3575" s="1" t="s">
        <v>2945</v>
      </c>
      <c r="E3575" s="1" t="s">
        <v>7191</v>
      </c>
      <c r="F3575" s="1" t="s">
        <v>7192</v>
      </c>
      <c r="G3575" s="1">
        <v>22212.0</v>
      </c>
      <c r="H3575" s="1">
        <v>142.0</v>
      </c>
      <c r="I3575" s="1" t="s">
        <v>16</v>
      </c>
      <c r="J3575" s="1">
        <v>1500000.0</v>
      </c>
      <c r="K3575" s="1">
        <v>2008.0</v>
      </c>
      <c r="L3575" s="1">
        <v>6.7</v>
      </c>
      <c r="O3575" s="3"/>
      <c r="S3575" s="4"/>
    </row>
    <row r="3576" ht="14.25" customHeight="1">
      <c r="A3576" s="1" t="s">
        <v>7193</v>
      </c>
      <c r="B3576" s="1">
        <v>90.0</v>
      </c>
      <c r="C3576" s="1">
        <v>52166.0</v>
      </c>
      <c r="D3576" s="1" t="s">
        <v>1391</v>
      </c>
      <c r="E3576" s="1" t="s">
        <v>223</v>
      </c>
      <c r="F3576" s="1" t="s">
        <v>7194</v>
      </c>
      <c r="G3576" s="1">
        <v>2792.0</v>
      </c>
      <c r="H3576" s="1">
        <v>22.0</v>
      </c>
      <c r="I3576" s="1" t="s">
        <v>16</v>
      </c>
      <c r="J3576" s="1">
        <v>2000000.0</v>
      </c>
      <c r="K3576" s="1">
        <v>2008.0</v>
      </c>
      <c r="L3576" s="1">
        <v>6.7</v>
      </c>
      <c r="O3576" s="3"/>
      <c r="S3576" s="4"/>
    </row>
    <row r="3577" ht="14.25" customHeight="1">
      <c r="A3577" s="1" t="s">
        <v>4891</v>
      </c>
      <c r="B3577" s="1">
        <v>101.0</v>
      </c>
      <c r="C3577" s="1">
        <v>1163508.0</v>
      </c>
      <c r="D3577" s="1" t="s">
        <v>380</v>
      </c>
      <c r="E3577" s="1" t="s">
        <v>6099</v>
      </c>
      <c r="F3577" s="1" t="s">
        <v>7195</v>
      </c>
      <c r="G3577" s="1">
        <v>20376.0</v>
      </c>
      <c r="H3577" s="1">
        <v>166.0</v>
      </c>
      <c r="I3577" s="1" t="s">
        <v>16</v>
      </c>
      <c r="J3577" s="1">
        <v>2500000.0</v>
      </c>
      <c r="K3577" s="1">
        <v>2012.0</v>
      </c>
      <c r="L3577" s="1">
        <v>5.1</v>
      </c>
      <c r="O3577" s="3"/>
      <c r="S3577" s="4"/>
    </row>
    <row r="3578" ht="14.25" customHeight="1">
      <c r="A3578" s="1" t="s">
        <v>377</v>
      </c>
      <c r="B3578" s="1">
        <v>130.0</v>
      </c>
      <c r="C3578" s="1">
        <v>8.0033643E7</v>
      </c>
      <c r="D3578" s="1" t="s">
        <v>503</v>
      </c>
      <c r="E3578" s="1" t="s">
        <v>226</v>
      </c>
      <c r="F3578" s="1" t="s">
        <v>1648</v>
      </c>
      <c r="G3578" s="1">
        <v>226583.0</v>
      </c>
      <c r="H3578" s="1">
        <v>448.0</v>
      </c>
      <c r="I3578" s="1" t="s">
        <v>16</v>
      </c>
      <c r="J3578" s="1">
        <v>6.0E7</v>
      </c>
      <c r="K3578" s="1">
        <v>2012.0</v>
      </c>
      <c r="L3578" s="1">
        <v>7.0</v>
      </c>
      <c r="O3578" s="3"/>
      <c r="S3578" s="4"/>
    </row>
    <row r="3579" ht="14.25" customHeight="1">
      <c r="A3579" s="1" t="s">
        <v>7196</v>
      </c>
      <c r="B3579" s="1">
        <v>83.0</v>
      </c>
      <c r="C3579" s="1">
        <v>1.84925485E8</v>
      </c>
      <c r="D3579" s="1" t="s">
        <v>2400</v>
      </c>
      <c r="E3579" s="1" t="s">
        <v>7197</v>
      </c>
      <c r="F3579" s="1" t="s">
        <v>7198</v>
      </c>
      <c r="G3579" s="1">
        <v>133348.0</v>
      </c>
      <c r="H3579" s="1">
        <v>204.0</v>
      </c>
      <c r="I3579" s="1" t="s">
        <v>16</v>
      </c>
      <c r="J3579" s="1">
        <v>2000000.0</v>
      </c>
      <c r="K3579" s="1">
        <v>1937.0</v>
      </c>
      <c r="L3579" s="1">
        <v>7.7</v>
      </c>
      <c r="O3579" s="3"/>
      <c r="S3579" s="4"/>
    </row>
    <row r="3580" ht="14.25" customHeight="1">
      <c r="A3580" s="1" t="s">
        <v>7199</v>
      </c>
      <c r="B3580" s="1">
        <v>106.0</v>
      </c>
      <c r="C3580" s="1">
        <v>304124.0</v>
      </c>
      <c r="D3580" s="1" t="s">
        <v>1391</v>
      </c>
      <c r="E3580" s="1" t="s">
        <v>6567</v>
      </c>
      <c r="F3580" s="1" t="s">
        <v>7200</v>
      </c>
      <c r="G3580" s="1">
        <v>2720.0</v>
      </c>
      <c r="H3580" s="1">
        <v>37.0</v>
      </c>
      <c r="I3580" s="1" t="s">
        <v>1144</v>
      </c>
      <c r="J3580" s="1">
        <v>1400000.0</v>
      </c>
      <c r="K3580" s="1">
        <v>2004.0</v>
      </c>
      <c r="L3580" s="1">
        <v>6.7</v>
      </c>
      <c r="O3580" s="3"/>
      <c r="S3580" s="4"/>
    </row>
    <row r="3581" ht="14.25" customHeight="1">
      <c r="A3581" s="1" t="s">
        <v>7201</v>
      </c>
      <c r="B3581" s="1">
        <v>94.0</v>
      </c>
      <c r="C3581" s="1">
        <v>36830.0</v>
      </c>
      <c r="D3581" s="1" t="s">
        <v>7202</v>
      </c>
      <c r="E3581" s="1" t="s">
        <v>7201</v>
      </c>
      <c r="F3581" s="1" t="s">
        <v>7203</v>
      </c>
      <c r="G3581" s="1">
        <v>3291.0</v>
      </c>
      <c r="H3581" s="1">
        <v>63.0</v>
      </c>
      <c r="I3581" s="1" t="s">
        <v>16</v>
      </c>
      <c r="J3581" s="1">
        <v>1400000.0</v>
      </c>
      <c r="K3581" s="1">
        <v>2004.0</v>
      </c>
      <c r="L3581" s="1">
        <v>6.6</v>
      </c>
      <c r="O3581" s="3"/>
      <c r="S3581" s="4"/>
    </row>
    <row r="3582" ht="14.25" customHeight="1">
      <c r="A3582" s="1" t="s">
        <v>538</v>
      </c>
      <c r="B3582" s="1">
        <v>120.0</v>
      </c>
      <c r="C3582" s="1">
        <v>3650677.0</v>
      </c>
      <c r="D3582" s="1" t="s">
        <v>427</v>
      </c>
      <c r="E3582" s="1" t="s">
        <v>147</v>
      </c>
      <c r="F3582" s="1" t="s">
        <v>7204</v>
      </c>
      <c r="G3582" s="1">
        <v>414976.0</v>
      </c>
      <c r="H3582" s="1">
        <v>523.0</v>
      </c>
      <c r="I3582" s="1" t="s">
        <v>16</v>
      </c>
      <c r="J3582" s="1">
        <v>960000.0</v>
      </c>
      <c r="K3582" s="1">
        <v>1998.0</v>
      </c>
      <c r="L3582" s="1">
        <v>8.2</v>
      </c>
      <c r="O3582" s="3"/>
      <c r="S3582" s="4"/>
    </row>
    <row r="3583" ht="14.25" customHeight="1">
      <c r="A3583" s="1" t="s">
        <v>6016</v>
      </c>
      <c r="B3583" s="1">
        <v>105.0</v>
      </c>
      <c r="C3583" s="1">
        <v>1647780.0</v>
      </c>
      <c r="D3583" s="1" t="s">
        <v>1391</v>
      </c>
      <c r="E3583" s="1" t="s">
        <v>7205</v>
      </c>
      <c r="F3583" s="1" t="s">
        <v>7206</v>
      </c>
      <c r="G3583" s="1">
        <v>65951.0</v>
      </c>
      <c r="H3583" s="1">
        <v>258.0</v>
      </c>
      <c r="I3583" s="1" t="s">
        <v>5892</v>
      </c>
      <c r="J3583" s="1">
        <v>1300000.0</v>
      </c>
      <c r="K3583" s="1">
        <v>1998.0</v>
      </c>
      <c r="L3583" s="1">
        <v>8.1</v>
      </c>
      <c r="O3583" s="3"/>
      <c r="S3583" s="4"/>
    </row>
    <row r="3584" ht="14.25" customHeight="1">
      <c r="A3584" s="1" t="s">
        <v>119</v>
      </c>
      <c r="B3584" s="1">
        <v>95.0</v>
      </c>
      <c r="C3584" s="1">
        <v>695229.0</v>
      </c>
      <c r="D3584" s="1" t="s">
        <v>1059</v>
      </c>
      <c r="E3584" s="1" t="s">
        <v>119</v>
      </c>
      <c r="F3584" s="1" t="s">
        <v>7207</v>
      </c>
      <c r="G3584" s="1">
        <v>11369.0</v>
      </c>
      <c r="H3584" s="1">
        <v>65.0</v>
      </c>
      <c r="I3584" s="1" t="s">
        <v>16</v>
      </c>
      <c r="J3584" s="1">
        <v>1300000.0</v>
      </c>
      <c r="K3584" s="1">
        <v>1996.0</v>
      </c>
      <c r="L3584" s="1">
        <v>7.2</v>
      </c>
      <c r="O3584" s="3"/>
      <c r="S3584" s="4"/>
    </row>
    <row r="3585" ht="14.25" customHeight="1">
      <c r="A3585" s="1" t="s">
        <v>7208</v>
      </c>
      <c r="B3585" s="1">
        <v>135.0</v>
      </c>
      <c r="C3585" s="1">
        <v>638951.0</v>
      </c>
      <c r="D3585" s="1" t="s">
        <v>1391</v>
      </c>
      <c r="E3585" s="1" t="s">
        <v>7209</v>
      </c>
      <c r="F3585" s="1" t="s">
        <v>7210</v>
      </c>
      <c r="G3585" s="1">
        <v>775.0</v>
      </c>
      <c r="H3585" s="1">
        <v>19.0</v>
      </c>
      <c r="I3585" s="1" t="s">
        <v>7211</v>
      </c>
      <c r="J3585" s="1">
        <v>1592000.0</v>
      </c>
      <c r="K3585" s="1">
        <v>2006.0</v>
      </c>
      <c r="L3585" s="1">
        <v>7.4</v>
      </c>
      <c r="O3585" s="3"/>
      <c r="S3585" s="4"/>
    </row>
    <row r="3586" ht="14.25" customHeight="1">
      <c r="A3586" s="1" t="s">
        <v>7212</v>
      </c>
      <c r="B3586" s="1">
        <v>105.0</v>
      </c>
      <c r="C3586" s="1">
        <v>609042.0</v>
      </c>
      <c r="D3586" s="1" t="s">
        <v>1391</v>
      </c>
      <c r="E3586" s="1" t="s">
        <v>1600</v>
      </c>
      <c r="F3586" s="1" t="s">
        <v>7213</v>
      </c>
      <c r="G3586" s="1">
        <v>449.0</v>
      </c>
      <c r="H3586" s="1">
        <v>38.0</v>
      </c>
      <c r="I3586" s="1" t="s">
        <v>16</v>
      </c>
      <c r="J3586" s="1">
        <v>1300000.0</v>
      </c>
      <c r="K3586" s="1">
        <v>1999.0</v>
      </c>
      <c r="L3586" s="1">
        <v>6.5</v>
      </c>
      <c r="O3586" s="3"/>
      <c r="S3586" s="4"/>
    </row>
    <row r="3587" ht="14.25" customHeight="1">
      <c r="A3587" s="1" t="s">
        <v>7214</v>
      </c>
      <c r="B3587" s="1">
        <v>83.0</v>
      </c>
      <c r="C3587" s="1">
        <v>1521.0</v>
      </c>
      <c r="D3587" s="1" t="s">
        <v>3008</v>
      </c>
      <c r="E3587" s="1" t="s">
        <v>7191</v>
      </c>
      <c r="F3587" s="1" t="s">
        <v>7215</v>
      </c>
      <c r="G3587" s="1">
        <v>1231.0</v>
      </c>
      <c r="H3587" s="1">
        <v>10.0</v>
      </c>
      <c r="I3587" s="1" t="s">
        <v>16</v>
      </c>
      <c r="J3587" s="1">
        <v>1500000.0</v>
      </c>
      <c r="K3587" s="1">
        <v>2012.0</v>
      </c>
      <c r="L3587" s="1">
        <v>5.7</v>
      </c>
      <c r="O3587" s="3"/>
      <c r="S3587" s="4"/>
    </row>
    <row r="3588" ht="14.25" customHeight="1">
      <c r="A3588" s="1" t="s">
        <v>1747</v>
      </c>
      <c r="B3588" s="1">
        <v>111.0</v>
      </c>
      <c r="C3588" s="1">
        <v>3.2940507E7</v>
      </c>
      <c r="D3588" s="1" t="s">
        <v>197</v>
      </c>
      <c r="E3588" s="1" t="s">
        <v>415</v>
      </c>
      <c r="F3588" s="1" t="s">
        <v>1748</v>
      </c>
      <c r="G3588" s="1">
        <v>54316.0</v>
      </c>
      <c r="H3588" s="1">
        <v>127.0</v>
      </c>
      <c r="I3588" s="1" t="s">
        <v>16</v>
      </c>
      <c r="J3588" s="1">
        <v>6.0E7</v>
      </c>
      <c r="K3588" s="1">
        <v>1998.0</v>
      </c>
      <c r="L3588" s="1">
        <v>6.1</v>
      </c>
      <c r="O3588" s="3"/>
      <c r="S3588" s="4"/>
    </row>
    <row r="3589" ht="14.25" customHeight="1">
      <c r="A3589" s="1" t="s">
        <v>7216</v>
      </c>
      <c r="B3589" s="1">
        <v>87.0</v>
      </c>
      <c r="C3589" s="1">
        <v>19539.0</v>
      </c>
      <c r="D3589" s="1" t="s">
        <v>828</v>
      </c>
      <c r="E3589" s="1" t="s">
        <v>260</v>
      </c>
      <c r="F3589" s="1" t="s">
        <v>7217</v>
      </c>
      <c r="G3589" s="1">
        <v>4182.0</v>
      </c>
      <c r="H3589" s="1">
        <v>53.0</v>
      </c>
      <c r="I3589" s="1" t="s">
        <v>16</v>
      </c>
      <c r="J3589" s="1">
        <v>1000000.0</v>
      </c>
      <c r="K3589" s="1">
        <v>2003.0</v>
      </c>
      <c r="L3589" s="1">
        <v>6.2</v>
      </c>
      <c r="O3589" s="3"/>
      <c r="S3589" s="4"/>
    </row>
    <row r="3590" ht="14.25" customHeight="1">
      <c r="A3590" s="1" t="s">
        <v>7218</v>
      </c>
      <c r="B3590" s="1">
        <v>97.0</v>
      </c>
      <c r="C3590" s="1">
        <v>100358.0</v>
      </c>
      <c r="D3590" s="1" t="s">
        <v>4350</v>
      </c>
      <c r="E3590" s="1" t="s">
        <v>7219</v>
      </c>
      <c r="F3590" s="1" t="s">
        <v>7220</v>
      </c>
      <c r="G3590" s="1">
        <v>1167.0</v>
      </c>
      <c r="H3590" s="1">
        <v>24.0</v>
      </c>
      <c r="I3590" s="1" t="s">
        <v>16</v>
      </c>
      <c r="J3590" s="1">
        <v>1500000.0</v>
      </c>
      <c r="K3590" s="1">
        <v>2005.0</v>
      </c>
      <c r="L3590" s="1">
        <v>3.3</v>
      </c>
      <c r="O3590" s="3"/>
      <c r="S3590" s="4"/>
    </row>
    <row r="3591" ht="14.25" customHeight="1">
      <c r="A3591" s="1" t="s">
        <v>2814</v>
      </c>
      <c r="B3591" s="1">
        <v>87.0</v>
      </c>
      <c r="C3591" s="1">
        <v>1.91E7</v>
      </c>
      <c r="D3591" s="1" t="s">
        <v>1239</v>
      </c>
      <c r="E3591" s="1" t="s">
        <v>7221</v>
      </c>
      <c r="F3591" s="1" t="s">
        <v>7222</v>
      </c>
      <c r="G3591" s="1">
        <v>39690.0</v>
      </c>
      <c r="H3591" s="1">
        <v>394.0</v>
      </c>
      <c r="I3591" s="1" t="s">
        <v>16</v>
      </c>
      <c r="J3591" s="1">
        <v>1250000.0</v>
      </c>
      <c r="K3591" s="1">
        <v>1981.0</v>
      </c>
      <c r="L3591" s="1">
        <v>6.1</v>
      </c>
      <c r="O3591" s="3"/>
      <c r="S3591" s="4"/>
    </row>
    <row r="3592" ht="14.25" customHeight="1">
      <c r="A3592" s="1" t="s">
        <v>7223</v>
      </c>
      <c r="B3592" s="1">
        <v>80.0</v>
      </c>
      <c r="C3592" s="1">
        <v>2833383.0</v>
      </c>
      <c r="D3592" s="1" t="s">
        <v>2466</v>
      </c>
      <c r="E3592" s="1" t="s">
        <v>5857</v>
      </c>
      <c r="F3592" s="1" t="s">
        <v>7224</v>
      </c>
      <c r="G3592" s="1">
        <v>910.0</v>
      </c>
      <c r="H3592" s="1">
        <v>11.0</v>
      </c>
      <c r="I3592" s="1" t="s">
        <v>16</v>
      </c>
      <c r="J3592" s="1">
        <v>427000.0</v>
      </c>
      <c r="K3592" s="1">
        <v>2012.0</v>
      </c>
      <c r="L3592" s="1">
        <v>5.7</v>
      </c>
      <c r="O3592" s="3"/>
      <c r="S3592" s="4"/>
    </row>
    <row r="3593" ht="14.25" customHeight="1">
      <c r="A3593" s="1" t="s">
        <v>639</v>
      </c>
      <c r="B3593" s="1">
        <v>100.0</v>
      </c>
      <c r="C3593" s="1">
        <v>2.47417E7</v>
      </c>
      <c r="D3593" s="1" t="s">
        <v>1391</v>
      </c>
      <c r="E3593" s="1" t="s">
        <v>7225</v>
      </c>
      <c r="F3593" s="1" t="s">
        <v>7226</v>
      </c>
      <c r="G3593" s="1">
        <v>37785.0</v>
      </c>
      <c r="H3593" s="1">
        <v>95.0</v>
      </c>
      <c r="I3593" s="1" t="s">
        <v>16</v>
      </c>
      <c r="J3593" s="1">
        <v>1200000.0</v>
      </c>
      <c r="K3593" s="1">
        <v>1989.0</v>
      </c>
      <c r="L3593" s="1">
        <v>7.2</v>
      </c>
      <c r="O3593" s="3"/>
      <c r="S3593" s="4"/>
    </row>
    <row r="3594" ht="14.25" customHeight="1">
      <c r="A3594" s="1" t="s">
        <v>145</v>
      </c>
      <c r="B3594" s="1">
        <v>103.0</v>
      </c>
      <c r="C3594" s="1">
        <v>5.5153403E7</v>
      </c>
      <c r="D3594" s="1" t="s">
        <v>1239</v>
      </c>
      <c r="E3594" s="1" t="s">
        <v>1142</v>
      </c>
      <c r="F3594" s="1" t="s">
        <v>7227</v>
      </c>
      <c r="G3594" s="1">
        <v>299127.0</v>
      </c>
      <c r="H3594" s="1">
        <v>1509.0</v>
      </c>
      <c r="I3594" s="1" t="s">
        <v>16</v>
      </c>
      <c r="J3594" s="1">
        <v>1200000.0</v>
      </c>
      <c r="K3594" s="1">
        <v>2004.0</v>
      </c>
      <c r="L3594" s="1">
        <v>7.7</v>
      </c>
      <c r="O3594" s="3"/>
      <c r="S3594" s="4"/>
    </row>
    <row r="3595" ht="14.25" customHeight="1">
      <c r="A3595" s="1" t="s">
        <v>1996</v>
      </c>
      <c r="B3595" s="1">
        <v>100.0</v>
      </c>
      <c r="C3595" s="1">
        <v>1.8488314E7</v>
      </c>
      <c r="D3595" s="1" t="s">
        <v>4782</v>
      </c>
      <c r="E3595" s="1" t="s">
        <v>7228</v>
      </c>
      <c r="F3595" s="1" t="s">
        <v>7229</v>
      </c>
      <c r="G3595" s="1">
        <v>76151.0</v>
      </c>
      <c r="H3595" s="1">
        <v>333.0</v>
      </c>
      <c r="I3595" s="1" t="s">
        <v>16</v>
      </c>
      <c r="J3595" s="1">
        <v>1200000.0</v>
      </c>
      <c r="K3595" s="1">
        <v>2001.0</v>
      </c>
      <c r="L3595" s="1">
        <v>7.1</v>
      </c>
      <c r="O3595" s="3"/>
      <c r="S3595" s="4"/>
    </row>
    <row r="3596" ht="14.25" customHeight="1">
      <c r="A3596" s="1" t="s">
        <v>7230</v>
      </c>
      <c r="B3596" s="1">
        <v>89.0</v>
      </c>
      <c r="C3596" s="1">
        <v>11278.0</v>
      </c>
      <c r="D3596" s="1" t="s">
        <v>1059</v>
      </c>
      <c r="E3596" s="1" t="s">
        <v>7231</v>
      </c>
      <c r="F3596" s="1" t="s">
        <v>7232</v>
      </c>
      <c r="G3596" s="1">
        <v>1229.0</v>
      </c>
      <c r="H3596" s="1">
        <v>2.0</v>
      </c>
      <c r="I3596" s="1" t="s">
        <v>1144</v>
      </c>
      <c r="J3596" s="1">
        <v>1300000.0</v>
      </c>
      <c r="K3596" s="1">
        <v>2013.0</v>
      </c>
      <c r="L3596" s="1">
        <v>7.0</v>
      </c>
      <c r="O3596" s="3"/>
      <c r="S3596" s="4"/>
    </row>
    <row r="3597" ht="14.25" customHeight="1">
      <c r="A3597" s="1" t="s">
        <v>1111</v>
      </c>
      <c r="B3597" s="1">
        <v>104.0</v>
      </c>
      <c r="C3597" s="1">
        <v>7.9363785E7</v>
      </c>
      <c r="D3597" s="1" t="s">
        <v>1112</v>
      </c>
      <c r="E3597" s="1" t="s">
        <v>252</v>
      </c>
      <c r="F3597" s="1" t="s">
        <v>1113</v>
      </c>
      <c r="G3597" s="1">
        <v>139426.0</v>
      </c>
      <c r="H3597" s="1">
        <v>698.0</v>
      </c>
      <c r="I3597" s="1" t="s">
        <v>16</v>
      </c>
      <c r="J3597" s="1">
        <v>8.0E7</v>
      </c>
      <c r="K3597" s="1">
        <v>2008.0</v>
      </c>
      <c r="L3597" s="1">
        <v>5.5</v>
      </c>
      <c r="O3597" s="3"/>
      <c r="S3597" s="4"/>
    </row>
    <row r="3598" ht="14.25" customHeight="1">
      <c r="A3598" s="1" t="s">
        <v>3996</v>
      </c>
      <c r="B3598" s="1">
        <v>114.0</v>
      </c>
      <c r="C3598" s="1">
        <v>1.3876974E7</v>
      </c>
      <c r="D3598" s="1" t="s">
        <v>593</v>
      </c>
      <c r="E3598" s="1" t="s">
        <v>7233</v>
      </c>
      <c r="F3598" s="1" t="s">
        <v>7234</v>
      </c>
      <c r="G3598" s="1">
        <v>19397.0</v>
      </c>
      <c r="H3598" s="1">
        <v>214.0</v>
      </c>
      <c r="I3598" s="1" t="s">
        <v>5555</v>
      </c>
      <c r="J3598" s="1">
        <v>7000000.0</v>
      </c>
      <c r="K3598" s="1">
        <v>2001.0</v>
      </c>
      <c r="L3598" s="1">
        <v>7.4</v>
      </c>
      <c r="O3598" s="3"/>
      <c r="S3598" s="4"/>
    </row>
    <row r="3599" ht="14.25" customHeight="1">
      <c r="A3599" s="1" t="s">
        <v>5159</v>
      </c>
      <c r="B3599" s="1">
        <v>111.0</v>
      </c>
      <c r="C3599" s="1">
        <v>9180275.0</v>
      </c>
      <c r="D3599" s="1" t="s">
        <v>1391</v>
      </c>
      <c r="E3599" s="1" t="s">
        <v>383</v>
      </c>
      <c r="F3599" s="1" t="s">
        <v>7235</v>
      </c>
      <c r="G3599" s="1">
        <v>22145.0</v>
      </c>
      <c r="H3599" s="1">
        <v>231.0</v>
      </c>
      <c r="I3599" s="1" t="s">
        <v>16</v>
      </c>
      <c r="J3599" s="1">
        <v>1200000.0</v>
      </c>
      <c r="K3599" s="1">
        <v>2000.0</v>
      </c>
      <c r="L3599" s="1">
        <v>7.7</v>
      </c>
      <c r="O3599" s="3"/>
      <c r="S3599" s="4"/>
    </row>
    <row r="3600" ht="14.25" customHeight="1">
      <c r="A3600" s="1" t="s">
        <v>2407</v>
      </c>
      <c r="B3600" s="1">
        <v>110.0</v>
      </c>
      <c r="C3600" s="1">
        <v>2.2494487E7</v>
      </c>
      <c r="D3600" s="1" t="s">
        <v>909</v>
      </c>
      <c r="E3600" s="1" t="s">
        <v>415</v>
      </c>
      <c r="F3600" s="1" t="s">
        <v>3574</v>
      </c>
      <c r="G3600" s="1">
        <v>262160.0</v>
      </c>
      <c r="H3600" s="1">
        <v>507.0</v>
      </c>
      <c r="I3600" s="1" t="s">
        <v>16</v>
      </c>
      <c r="J3600" s="1">
        <v>2.7E7</v>
      </c>
      <c r="K3600" s="1">
        <v>2006.0</v>
      </c>
      <c r="L3600" s="1">
        <v>7.8</v>
      </c>
      <c r="O3600" s="3"/>
      <c r="S3600" s="4"/>
    </row>
    <row r="3601" ht="14.25" customHeight="1">
      <c r="A3601" s="1" t="s">
        <v>7236</v>
      </c>
      <c r="B3601" s="1">
        <v>85.0</v>
      </c>
      <c r="C3601" s="1">
        <v>2199853.0</v>
      </c>
      <c r="D3601" s="1" t="s">
        <v>1059</v>
      </c>
      <c r="E3601" s="1" t="s">
        <v>2290</v>
      </c>
      <c r="F3601" s="1" t="s">
        <v>7237</v>
      </c>
      <c r="G3601" s="1">
        <v>19986.0</v>
      </c>
      <c r="H3601" s="1">
        <v>186.0</v>
      </c>
      <c r="I3601" s="1" t="s">
        <v>16</v>
      </c>
      <c r="J3601" s="1">
        <v>1200000.0</v>
      </c>
      <c r="K3601" s="1">
        <v>1999.0</v>
      </c>
      <c r="L3601" s="1">
        <v>6.6</v>
      </c>
      <c r="O3601" s="3"/>
      <c r="S3601" s="4"/>
    </row>
    <row r="3602" ht="14.25" customHeight="1">
      <c r="A3602" s="1" t="s">
        <v>7238</v>
      </c>
      <c r="B3602" s="1">
        <v>113.0</v>
      </c>
      <c r="C3602" s="1">
        <v>2859955.0</v>
      </c>
      <c r="D3602" s="1" t="s">
        <v>1540</v>
      </c>
      <c r="E3602" s="1" t="s">
        <v>272</v>
      </c>
      <c r="F3602" s="1" t="s">
        <v>7239</v>
      </c>
      <c r="G3602" s="1">
        <v>2417.0</v>
      </c>
      <c r="H3602" s="1">
        <v>32.0</v>
      </c>
      <c r="I3602" s="1" t="s">
        <v>16</v>
      </c>
      <c r="J3602" s="1">
        <v>1200000.0</v>
      </c>
      <c r="K3602" s="1">
        <v>2013.0</v>
      </c>
      <c r="L3602" s="1">
        <v>6.0</v>
      </c>
      <c r="O3602" s="3"/>
      <c r="S3602" s="4"/>
    </row>
    <row r="3603" ht="14.25" customHeight="1">
      <c r="A3603" s="1" t="s">
        <v>734</v>
      </c>
      <c r="B3603" s="1">
        <v>99.0</v>
      </c>
      <c r="C3603" s="1">
        <v>2812029.0</v>
      </c>
      <c r="D3603" s="1" t="s">
        <v>901</v>
      </c>
      <c r="E3603" s="1" t="s">
        <v>734</v>
      </c>
      <c r="F3603" s="1" t="s">
        <v>7240</v>
      </c>
      <c r="G3603" s="1">
        <v>664719.0</v>
      </c>
      <c r="H3603" s="1">
        <v>931.0</v>
      </c>
      <c r="I3603" s="1" t="s">
        <v>16</v>
      </c>
      <c r="J3603" s="1">
        <v>1200000.0</v>
      </c>
      <c r="K3603" s="1">
        <v>1992.0</v>
      </c>
      <c r="L3603" s="1">
        <v>8.4</v>
      </c>
      <c r="O3603" s="3"/>
      <c r="S3603" s="4"/>
    </row>
    <row r="3604" ht="14.25" customHeight="1">
      <c r="A3604" s="1" t="s">
        <v>3421</v>
      </c>
      <c r="B3604" s="1">
        <v>142.0</v>
      </c>
      <c r="C3604" s="1">
        <v>6100000.0</v>
      </c>
      <c r="D3604" s="1" t="s">
        <v>6162</v>
      </c>
      <c r="E3604" s="1" t="s">
        <v>1506</v>
      </c>
      <c r="F3604" s="1" t="s">
        <v>7241</v>
      </c>
      <c r="G3604" s="1">
        <v>503509.0</v>
      </c>
      <c r="H3604" s="1">
        <v>780.0</v>
      </c>
      <c r="I3604" s="1" t="s">
        <v>3818</v>
      </c>
      <c r="J3604" s="1">
        <v>1200000.0</v>
      </c>
      <c r="K3604" s="1">
        <v>1966.0</v>
      </c>
      <c r="L3604" s="1">
        <v>8.9</v>
      </c>
      <c r="O3604" s="3"/>
      <c r="S3604" s="4"/>
    </row>
    <row r="3605" ht="14.25" customHeight="1">
      <c r="A3605" s="1" t="s">
        <v>7242</v>
      </c>
      <c r="B3605" s="1">
        <v>112.0</v>
      </c>
      <c r="C3605" s="1">
        <v>375723.0</v>
      </c>
      <c r="D3605" s="1" t="s">
        <v>1059</v>
      </c>
      <c r="E3605" s="1" t="s">
        <v>7243</v>
      </c>
      <c r="F3605" s="1" t="s">
        <v>7244</v>
      </c>
      <c r="G3605" s="1">
        <v>7025.0</v>
      </c>
      <c r="H3605" s="1">
        <v>26.0</v>
      </c>
      <c r="I3605" s="1" t="s">
        <v>6182</v>
      </c>
      <c r="J3605" s="1">
        <v>4000000.0</v>
      </c>
      <c r="K3605" s="1">
        <v>2015.0</v>
      </c>
      <c r="L3605" s="1">
        <v>7.9</v>
      </c>
      <c r="O3605" s="3"/>
      <c r="S3605" s="4"/>
    </row>
    <row r="3606" ht="14.25" customHeight="1">
      <c r="A3606" s="1" t="s">
        <v>7245</v>
      </c>
      <c r="B3606" s="1">
        <v>108.0</v>
      </c>
      <c r="C3606" s="1">
        <v>594904.0</v>
      </c>
      <c r="D3606" s="1" t="s">
        <v>1059</v>
      </c>
      <c r="E3606" s="1" t="s">
        <v>7246</v>
      </c>
      <c r="F3606" s="1" t="s">
        <v>7247</v>
      </c>
      <c r="G3606" s="1">
        <v>2582.0</v>
      </c>
      <c r="H3606" s="1">
        <v>89.0</v>
      </c>
      <c r="I3606" s="1" t="s">
        <v>16</v>
      </c>
      <c r="J3606" s="1">
        <v>1200000.0</v>
      </c>
      <c r="K3606" s="1">
        <v>2012.0</v>
      </c>
      <c r="L3606" s="1">
        <v>6.0</v>
      </c>
      <c r="O3606" s="3"/>
      <c r="S3606" s="4"/>
    </row>
    <row r="3607" ht="14.25" customHeight="1">
      <c r="A3607" s="1" t="s">
        <v>7248</v>
      </c>
      <c r="B3607" s="1">
        <v>88.0</v>
      </c>
      <c r="C3607" s="1">
        <v>58936.0</v>
      </c>
      <c r="D3607" s="1" t="s">
        <v>3022</v>
      </c>
      <c r="E3607" s="1" t="s">
        <v>7249</v>
      </c>
      <c r="F3607" s="1" t="s">
        <v>7250</v>
      </c>
      <c r="G3607" s="1">
        <v>91.0</v>
      </c>
      <c r="H3607" s="1">
        <v>4.0</v>
      </c>
      <c r="I3607" s="1" t="s">
        <v>16</v>
      </c>
      <c r="J3607" s="1">
        <v>1200000.0</v>
      </c>
      <c r="K3607" s="1">
        <v>2001.0</v>
      </c>
      <c r="L3607" s="1">
        <v>6.1</v>
      </c>
      <c r="O3607" s="3"/>
      <c r="S3607" s="4"/>
    </row>
    <row r="3608" ht="14.25" customHeight="1">
      <c r="A3608" s="1" t="s">
        <v>7251</v>
      </c>
      <c r="B3608" s="1">
        <v>85.0</v>
      </c>
      <c r="C3608" s="1">
        <v>7826.0</v>
      </c>
      <c r="D3608" s="1" t="s">
        <v>6384</v>
      </c>
      <c r="E3608" s="1" t="s">
        <v>346</v>
      </c>
      <c r="F3608" s="1" t="s">
        <v>7252</v>
      </c>
      <c r="G3608" s="1">
        <v>132.0</v>
      </c>
      <c r="H3608" s="1">
        <v>2.0</v>
      </c>
      <c r="I3608" s="1" t="s">
        <v>16</v>
      </c>
      <c r="J3608" s="1">
        <v>1200000.0</v>
      </c>
      <c r="K3608" s="1">
        <v>2007.0</v>
      </c>
      <c r="L3608" s="1">
        <v>6.2</v>
      </c>
      <c r="O3608" s="3"/>
      <c r="S3608" s="4"/>
    </row>
    <row r="3609" ht="14.25" customHeight="1">
      <c r="A3609" s="1" t="s">
        <v>7253</v>
      </c>
      <c r="B3609" s="1">
        <v>110.0</v>
      </c>
      <c r="C3609" s="1">
        <v>3830.0</v>
      </c>
      <c r="D3609" s="1" t="s">
        <v>1059</v>
      </c>
      <c r="E3609" s="1" t="s">
        <v>7254</v>
      </c>
      <c r="F3609" s="1" t="s">
        <v>7255</v>
      </c>
      <c r="G3609" s="1">
        <v>27.0</v>
      </c>
      <c r="H3609" s="1">
        <v>1.0</v>
      </c>
      <c r="I3609" s="1" t="s">
        <v>1144</v>
      </c>
      <c r="J3609" s="1">
        <v>1200000.0</v>
      </c>
      <c r="K3609" s="1">
        <v>2013.0</v>
      </c>
      <c r="L3609" s="1">
        <v>7.2</v>
      </c>
      <c r="O3609" s="3"/>
      <c r="S3609" s="4"/>
    </row>
    <row r="3610" ht="14.25" customHeight="1">
      <c r="A3610" s="1" t="s">
        <v>1471</v>
      </c>
      <c r="B3610" s="1">
        <v>91.0</v>
      </c>
      <c r="C3610" s="1">
        <v>2850263.0</v>
      </c>
      <c r="D3610" s="1" t="s">
        <v>7256</v>
      </c>
      <c r="E3610" s="1" t="s">
        <v>7257</v>
      </c>
      <c r="F3610" s="1" t="s">
        <v>7258</v>
      </c>
      <c r="G3610" s="1">
        <v>5061.0</v>
      </c>
      <c r="H3610" s="1">
        <v>70.0</v>
      </c>
      <c r="I3610" s="1" t="s">
        <v>16</v>
      </c>
      <c r="J3610" s="1">
        <v>2600000.0</v>
      </c>
      <c r="K3610" s="1">
        <v>1993.0</v>
      </c>
      <c r="L3610" s="1">
        <v>6.2</v>
      </c>
      <c r="O3610" s="3"/>
      <c r="S3610" s="4"/>
    </row>
    <row r="3611" ht="14.25" customHeight="1">
      <c r="A3611" s="1" t="s">
        <v>7259</v>
      </c>
      <c r="B3611" s="1">
        <v>94.0</v>
      </c>
      <c r="C3611" s="1">
        <v>1.6101109E7</v>
      </c>
      <c r="D3611" s="1" t="s">
        <v>828</v>
      </c>
      <c r="E3611" s="1" t="s">
        <v>137</v>
      </c>
      <c r="F3611" s="1" t="s">
        <v>7260</v>
      </c>
      <c r="G3611" s="1">
        <v>76467.0</v>
      </c>
      <c r="H3611" s="1">
        <v>236.0</v>
      </c>
      <c r="I3611" s="1" t="s">
        <v>16</v>
      </c>
      <c r="J3611" s="1">
        <v>3000000.0</v>
      </c>
      <c r="K3611" s="1">
        <v>2005.0</v>
      </c>
      <c r="L3611" s="1">
        <v>6.8</v>
      </c>
      <c r="O3611" s="3"/>
      <c r="S3611" s="4"/>
    </row>
    <row r="3612" ht="14.25" customHeight="1">
      <c r="A3612" s="1" t="s">
        <v>6965</v>
      </c>
      <c r="B3612" s="1">
        <v>90.0</v>
      </c>
      <c r="C3612" s="1">
        <v>6013.0</v>
      </c>
      <c r="D3612" s="1" t="s">
        <v>901</v>
      </c>
      <c r="E3612" s="1" t="s">
        <v>966</v>
      </c>
      <c r="F3612" s="1" t="s">
        <v>7261</v>
      </c>
      <c r="G3612" s="1">
        <v>39929.0</v>
      </c>
      <c r="H3612" s="1">
        <v>207.0</v>
      </c>
      <c r="I3612" s="1" t="s">
        <v>16</v>
      </c>
      <c r="J3612" s="1">
        <v>695393.0</v>
      </c>
      <c r="K3612" s="1">
        <v>2004.0</v>
      </c>
      <c r="L3612" s="1">
        <v>7.7</v>
      </c>
      <c r="O3612" s="3"/>
      <c r="S3612" s="4"/>
    </row>
    <row r="3613" ht="14.25" customHeight="1">
      <c r="A3613" s="1" t="s">
        <v>7262</v>
      </c>
      <c r="B3613" s="1">
        <v>92.0</v>
      </c>
      <c r="C3613" s="1">
        <v>1400000.0</v>
      </c>
      <c r="D3613" s="1" t="s">
        <v>7263</v>
      </c>
      <c r="E3613" s="1" t="s">
        <v>7264</v>
      </c>
      <c r="F3613" s="1" t="s">
        <v>7265</v>
      </c>
      <c r="G3613" s="1">
        <v>1324.0</v>
      </c>
      <c r="H3613" s="1">
        <v>37.0</v>
      </c>
      <c r="I3613" s="1" t="s">
        <v>16</v>
      </c>
      <c r="J3613" s="1">
        <v>1100000.0</v>
      </c>
      <c r="K3613" s="1">
        <v>1987.0</v>
      </c>
      <c r="L3613" s="1">
        <v>5.9</v>
      </c>
      <c r="O3613" s="3"/>
      <c r="S3613" s="4"/>
    </row>
    <row r="3614" ht="14.25" customHeight="1">
      <c r="A3614" s="1" t="s">
        <v>7266</v>
      </c>
      <c r="B3614" s="1">
        <v>73.0</v>
      </c>
      <c r="C3614" s="1">
        <v>39659.0</v>
      </c>
      <c r="D3614" s="1" t="s">
        <v>7267</v>
      </c>
      <c r="E3614" s="1" t="s">
        <v>7268</v>
      </c>
      <c r="F3614" s="1" t="s">
        <v>7269</v>
      </c>
      <c r="G3614" s="1">
        <v>1555.0</v>
      </c>
      <c r="H3614" s="1">
        <v>32.0</v>
      </c>
      <c r="I3614" s="1" t="s">
        <v>16</v>
      </c>
      <c r="J3614" s="1">
        <v>1600000.0</v>
      </c>
      <c r="K3614" s="1">
        <v>2002.0</v>
      </c>
      <c r="L3614" s="1">
        <v>7.0</v>
      </c>
      <c r="O3614" s="3"/>
      <c r="S3614" s="4"/>
    </row>
    <row r="3615" ht="14.25" customHeight="1">
      <c r="A3615" s="1" t="s">
        <v>7270</v>
      </c>
      <c r="B3615" s="1">
        <v>110.0</v>
      </c>
      <c r="C3615" s="1">
        <v>56129.0</v>
      </c>
      <c r="D3615" s="1" t="s">
        <v>1210</v>
      </c>
      <c r="E3615" s="1" t="s">
        <v>7271</v>
      </c>
      <c r="F3615" s="1" t="s">
        <v>7272</v>
      </c>
      <c r="G3615" s="1">
        <v>6555.0</v>
      </c>
      <c r="H3615" s="1">
        <v>82.0</v>
      </c>
      <c r="I3615" s="1" t="s">
        <v>16</v>
      </c>
      <c r="J3615" s="1">
        <v>1100000.0</v>
      </c>
      <c r="K3615" s="1">
        <v>2010.0</v>
      </c>
      <c r="L3615" s="1">
        <v>6.1</v>
      </c>
      <c r="O3615" s="3"/>
      <c r="S3615" s="4"/>
    </row>
    <row r="3616" ht="14.25" customHeight="1">
      <c r="A3616" s="1" t="s">
        <v>7273</v>
      </c>
      <c r="B3616" s="1">
        <v>102.0</v>
      </c>
      <c r="C3616" s="1">
        <v>4105123.0</v>
      </c>
      <c r="D3616" s="1" t="s">
        <v>146</v>
      </c>
      <c r="E3616" s="1" t="s">
        <v>7274</v>
      </c>
      <c r="F3616" s="1" t="s">
        <v>7275</v>
      </c>
      <c r="G3616" s="1">
        <v>148221.0</v>
      </c>
      <c r="H3616" s="1">
        <v>316.0</v>
      </c>
      <c r="I3616" s="1" t="s">
        <v>7276</v>
      </c>
      <c r="J3616" s="1">
        <v>1100000.0</v>
      </c>
      <c r="K3616" s="1">
        <v>2011.0</v>
      </c>
      <c r="L3616" s="1">
        <v>7.6</v>
      </c>
      <c r="O3616" s="3"/>
      <c r="S3616" s="4"/>
    </row>
    <row r="3617" ht="14.25" customHeight="1">
      <c r="A3617" s="1" t="s">
        <v>2479</v>
      </c>
      <c r="B3617" s="1">
        <v>145.0</v>
      </c>
      <c r="C3617" s="1">
        <v>1.17235247E8</v>
      </c>
      <c r="D3617" s="1" t="s">
        <v>1540</v>
      </c>
      <c r="E3617" s="1" t="s">
        <v>1061</v>
      </c>
      <c r="F3617" s="1" t="s">
        <v>7277</v>
      </c>
      <c r="G3617" s="1">
        <v>375240.0</v>
      </c>
      <c r="H3617" s="1">
        <v>542.0</v>
      </c>
      <c r="I3617" s="1" t="s">
        <v>16</v>
      </c>
      <c r="J3617" s="1">
        <v>960000.0</v>
      </c>
      <c r="K3617" s="1">
        <v>1976.0</v>
      </c>
      <c r="L3617" s="1">
        <v>8.1</v>
      </c>
      <c r="O3617" s="3"/>
      <c r="S3617" s="4"/>
    </row>
    <row r="3618" ht="14.25" customHeight="1">
      <c r="A3618" s="1" t="s">
        <v>2158</v>
      </c>
      <c r="B3618" s="1">
        <v>89.0</v>
      </c>
      <c r="C3618" s="1">
        <v>2.1378E7</v>
      </c>
      <c r="D3618" s="1" t="s">
        <v>2945</v>
      </c>
      <c r="E3618" s="1" t="s">
        <v>720</v>
      </c>
      <c r="F3618" s="1" t="s">
        <v>4549</v>
      </c>
      <c r="G3618" s="1">
        <v>46493.0</v>
      </c>
      <c r="H3618" s="1">
        <v>335.0</v>
      </c>
      <c r="I3618" s="1" t="s">
        <v>16</v>
      </c>
      <c r="J3618" s="1">
        <v>1000000.0</v>
      </c>
      <c r="K3618" s="1">
        <v>1980.0</v>
      </c>
      <c r="L3618" s="1">
        <v>6.8</v>
      </c>
      <c r="O3618" s="3"/>
      <c r="S3618" s="4"/>
    </row>
    <row r="3619" ht="14.25" customHeight="1">
      <c r="A3619" s="1" t="s">
        <v>7278</v>
      </c>
      <c r="B3619" s="1">
        <v>83.0</v>
      </c>
      <c r="C3619" s="1">
        <v>3.153732E7</v>
      </c>
      <c r="D3619" s="1" t="s">
        <v>1239</v>
      </c>
      <c r="E3619" s="1" t="s">
        <v>7279</v>
      </c>
      <c r="F3619" s="1" t="s">
        <v>7280</v>
      </c>
      <c r="G3619" s="1">
        <v>44329.0</v>
      </c>
      <c r="H3619" s="1">
        <v>309.0</v>
      </c>
      <c r="I3619" s="1" t="s">
        <v>16</v>
      </c>
      <c r="J3619" s="1">
        <v>1000000.0</v>
      </c>
      <c r="K3619" s="1">
        <v>2014.0</v>
      </c>
      <c r="L3619" s="1">
        <v>5.7</v>
      </c>
      <c r="O3619" s="3"/>
      <c r="S3619" s="4"/>
    </row>
    <row r="3620" ht="14.25" customHeight="1">
      <c r="A3620" s="1" t="s">
        <v>1167</v>
      </c>
      <c r="B3620" s="1">
        <v>91.0</v>
      </c>
      <c r="C3620" s="1">
        <v>1.7986E7</v>
      </c>
      <c r="D3620" s="1" t="s">
        <v>2551</v>
      </c>
      <c r="E3620" s="1" t="s">
        <v>3282</v>
      </c>
      <c r="F3620" s="1" t="s">
        <v>7281</v>
      </c>
      <c r="G3620" s="1">
        <v>22773.0</v>
      </c>
      <c r="H3620" s="1">
        <v>195.0</v>
      </c>
      <c r="I3620" s="1" t="s">
        <v>16</v>
      </c>
      <c r="J3620" s="1">
        <v>1000000.0</v>
      </c>
      <c r="K3620" s="1">
        <v>1981.0</v>
      </c>
      <c r="L3620" s="1">
        <v>6.6</v>
      </c>
      <c r="O3620" s="3"/>
      <c r="S3620" s="4"/>
    </row>
    <row r="3621" ht="14.25" customHeight="1">
      <c r="A3621" s="1" t="s">
        <v>5849</v>
      </c>
      <c r="B3621" s="1">
        <v>110.0</v>
      </c>
      <c r="C3621" s="1">
        <v>1.6067035E7</v>
      </c>
      <c r="D3621" s="1" t="s">
        <v>22</v>
      </c>
      <c r="E3621" s="1" t="s">
        <v>7282</v>
      </c>
      <c r="F3621" s="1" t="s">
        <v>7283</v>
      </c>
      <c r="G3621" s="1">
        <v>116642.0</v>
      </c>
      <c r="H3621" s="1">
        <v>389.0</v>
      </c>
      <c r="I3621" s="1" t="s">
        <v>16</v>
      </c>
      <c r="J3621" s="1">
        <v>1100000.0</v>
      </c>
      <c r="K3621" s="1">
        <v>1962.0</v>
      </c>
      <c r="L3621" s="1">
        <v>7.3</v>
      </c>
      <c r="O3621" s="3"/>
      <c r="S3621" s="4"/>
    </row>
    <row r="3622" ht="14.25" customHeight="1">
      <c r="A3622" s="1" t="s">
        <v>7284</v>
      </c>
      <c r="B3622" s="1">
        <v>86.0</v>
      </c>
      <c r="C3622" s="1">
        <v>1.8112929E7</v>
      </c>
      <c r="D3622" s="1" t="s">
        <v>1742</v>
      </c>
      <c r="E3622" s="1" t="s">
        <v>1850</v>
      </c>
      <c r="F3622" s="1" t="s">
        <v>7285</v>
      </c>
      <c r="G3622" s="1">
        <v>52642.0</v>
      </c>
      <c r="H3622" s="1">
        <v>271.0</v>
      </c>
      <c r="I3622" s="1" t="s">
        <v>16</v>
      </c>
      <c r="J3622" s="1">
        <v>1000000.0</v>
      </c>
      <c r="K3622" s="1">
        <v>2012.0</v>
      </c>
      <c r="L3622" s="1">
        <v>5.0</v>
      </c>
      <c r="O3622" s="3"/>
      <c r="S3622" s="4"/>
    </row>
    <row r="3623" ht="14.25" customHeight="1">
      <c r="A3623" s="1" t="s">
        <v>7286</v>
      </c>
      <c r="B3623" s="1">
        <v>86.0</v>
      </c>
      <c r="C3623" s="1">
        <v>1.4564027E7</v>
      </c>
      <c r="D3623" s="1" t="s">
        <v>2945</v>
      </c>
      <c r="E3623" s="1" t="s">
        <v>7287</v>
      </c>
      <c r="F3623" s="1" t="s">
        <v>7288</v>
      </c>
      <c r="G3623" s="1">
        <v>76407.0</v>
      </c>
      <c r="H3623" s="1">
        <v>335.0</v>
      </c>
      <c r="I3623" s="1" t="s">
        <v>16</v>
      </c>
      <c r="J3623" s="1">
        <v>1000000.0</v>
      </c>
      <c r="K3623" s="1">
        <v>1987.0</v>
      </c>
      <c r="L3623" s="1">
        <v>7.0</v>
      </c>
      <c r="O3623" s="3"/>
      <c r="S3623" s="4"/>
    </row>
    <row r="3624" ht="14.25" customHeight="1">
      <c r="A3624" s="1" t="s">
        <v>7289</v>
      </c>
      <c r="B3624" s="1">
        <v>120.0</v>
      </c>
      <c r="C3624" s="1">
        <v>2.077307E7</v>
      </c>
      <c r="D3624" s="1" t="s">
        <v>1391</v>
      </c>
      <c r="E3624" s="1" t="s">
        <v>7290</v>
      </c>
      <c r="F3624" s="1" t="s">
        <v>7291</v>
      </c>
      <c r="G3624" s="1">
        <v>4501.0</v>
      </c>
      <c r="H3624" s="1">
        <v>102.0</v>
      </c>
      <c r="I3624" s="1" t="s">
        <v>16</v>
      </c>
      <c r="J3624" s="1">
        <v>5000000.0</v>
      </c>
      <c r="K3624" s="1">
        <v>2016.0</v>
      </c>
      <c r="L3624" s="1">
        <v>3.4</v>
      </c>
      <c r="O3624" s="3"/>
      <c r="S3624" s="4"/>
    </row>
    <row r="3625" ht="14.25" customHeight="1">
      <c r="A3625" s="1" t="s">
        <v>3542</v>
      </c>
      <c r="B3625" s="1">
        <v>90.0</v>
      </c>
      <c r="C3625" s="1">
        <v>1.0042266E7</v>
      </c>
      <c r="D3625" s="1" t="s">
        <v>2439</v>
      </c>
      <c r="E3625" s="1" t="s">
        <v>5294</v>
      </c>
      <c r="F3625" s="1" t="s">
        <v>7292</v>
      </c>
      <c r="G3625" s="1">
        <v>23021.0</v>
      </c>
      <c r="H3625" s="1">
        <v>220.0</v>
      </c>
      <c r="I3625" s="1" t="s">
        <v>16</v>
      </c>
      <c r="J3625" s="1">
        <v>1000000.0</v>
      </c>
      <c r="K3625" s="1">
        <v>2005.0</v>
      </c>
      <c r="L3625" s="1">
        <v>5.9</v>
      </c>
      <c r="O3625" s="3"/>
      <c r="S3625" s="4"/>
    </row>
    <row r="3626" ht="14.25" customHeight="1">
      <c r="A3626" s="1" t="s">
        <v>7293</v>
      </c>
      <c r="B3626" s="1">
        <v>99.0</v>
      </c>
      <c r="C3626" s="1">
        <v>1.003739E7</v>
      </c>
      <c r="D3626" s="1" t="s">
        <v>2257</v>
      </c>
      <c r="E3626" s="1" t="s">
        <v>7294</v>
      </c>
      <c r="F3626" s="1" t="s">
        <v>7295</v>
      </c>
      <c r="G3626" s="1">
        <v>5442.0</v>
      </c>
      <c r="H3626" s="1">
        <v>140.0</v>
      </c>
      <c r="I3626" s="1" t="s">
        <v>3076</v>
      </c>
      <c r="J3626" s="1">
        <v>1.0E9</v>
      </c>
      <c r="K3626" s="1">
        <v>1999.0</v>
      </c>
      <c r="L3626" s="1">
        <v>6.0</v>
      </c>
      <c r="O3626" s="3"/>
      <c r="S3626" s="4"/>
    </row>
    <row r="3627" ht="14.25" customHeight="1">
      <c r="A3627" s="1" t="s">
        <v>4950</v>
      </c>
      <c r="B3627" s="1">
        <v>112.0</v>
      </c>
      <c r="C3627" s="1">
        <v>9701559.0</v>
      </c>
      <c r="D3627" s="1" t="s">
        <v>92</v>
      </c>
      <c r="E3627" s="1" t="s">
        <v>1717</v>
      </c>
      <c r="F3627" s="1" t="s">
        <v>7296</v>
      </c>
      <c r="G3627" s="1">
        <v>141425.0</v>
      </c>
      <c r="H3627" s="1">
        <v>283.0</v>
      </c>
      <c r="I3627" s="1" t="s">
        <v>16</v>
      </c>
      <c r="J3627" s="1">
        <v>3500000.0</v>
      </c>
      <c r="K3627" s="1">
        <v>2010.0</v>
      </c>
      <c r="L3627" s="1">
        <v>7.4</v>
      </c>
      <c r="O3627" s="3"/>
      <c r="S3627" s="4"/>
    </row>
    <row r="3628" ht="14.25" customHeight="1">
      <c r="A3628" s="1" t="s">
        <v>7297</v>
      </c>
      <c r="B3628" s="1">
        <v>103.0</v>
      </c>
      <c r="C3628" s="1">
        <v>9013113.0</v>
      </c>
      <c r="D3628" s="1" t="s">
        <v>2162</v>
      </c>
      <c r="E3628" s="1" t="s">
        <v>3045</v>
      </c>
      <c r="F3628" s="1" t="s">
        <v>7298</v>
      </c>
      <c r="G3628" s="1">
        <v>36321.0</v>
      </c>
      <c r="H3628" s="1">
        <v>230.0</v>
      </c>
      <c r="I3628" s="1" t="s">
        <v>16</v>
      </c>
      <c r="J3628" s="1">
        <v>1000000.0</v>
      </c>
      <c r="K3628" s="1">
        <v>2005.0</v>
      </c>
      <c r="L3628" s="1">
        <v>7.4</v>
      </c>
      <c r="O3628" s="3"/>
      <c r="S3628" s="4"/>
    </row>
    <row r="3629" ht="14.25" customHeight="1">
      <c r="A3629" s="1" t="s">
        <v>4249</v>
      </c>
      <c r="B3629" s="1">
        <v>83.0</v>
      </c>
      <c r="C3629" s="1">
        <v>5.3245055E7</v>
      </c>
      <c r="D3629" s="1" t="s">
        <v>2551</v>
      </c>
      <c r="E3629" s="1" t="s">
        <v>7299</v>
      </c>
      <c r="F3629" s="1" t="s">
        <v>7300</v>
      </c>
      <c r="G3629" s="1">
        <v>30570.0</v>
      </c>
      <c r="H3629" s="1">
        <v>290.0</v>
      </c>
      <c r="I3629" s="1" t="s">
        <v>16</v>
      </c>
      <c r="J3629" s="1">
        <v>1000000.0</v>
      </c>
      <c r="K3629" s="1">
        <v>2012.0</v>
      </c>
      <c r="L3629" s="1">
        <v>4.2</v>
      </c>
      <c r="O3629" s="3"/>
      <c r="S3629" s="4"/>
    </row>
    <row r="3630" ht="14.25" customHeight="1">
      <c r="A3630" s="1" t="s">
        <v>7301</v>
      </c>
      <c r="B3630" s="1">
        <v>109.0</v>
      </c>
      <c r="C3630" s="1">
        <v>9000000.0</v>
      </c>
      <c r="D3630" s="1" t="s">
        <v>3479</v>
      </c>
      <c r="E3630" s="1" t="s">
        <v>4806</v>
      </c>
      <c r="F3630" s="1" t="s">
        <v>7302</v>
      </c>
      <c r="G3630" s="1">
        <v>7584.0</v>
      </c>
      <c r="H3630" s="1">
        <v>137.0</v>
      </c>
      <c r="I3630" s="1" t="s">
        <v>16</v>
      </c>
      <c r="J3630" s="1">
        <v>900000.0</v>
      </c>
      <c r="K3630" s="1">
        <v>1970.0</v>
      </c>
      <c r="L3630" s="1">
        <v>6.2</v>
      </c>
      <c r="O3630" s="3"/>
      <c r="S3630" s="4"/>
    </row>
    <row r="3631" ht="14.25" customHeight="1">
      <c r="A3631" s="1" t="s">
        <v>6035</v>
      </c>
      <c r="B3631" s="1">
        <v>100.0</v>
      </c>
      <c r="C3631" s="1">
        <v>7186670.0</v>
      </c>
      <c r="D3631" s="1" t="s">
        <v>6436</v>
      </c>
      <c r="E3631" s="1" t="s">
        <v>31</v>
      </c>
      <c r="F3631" s="1" t="s">
        <v>7303</v>
      </c>
      <c r="G3631" s="1">
        <v>21468.0</v>
      </c>
      <c r="H3631" s="1">
        <v>164.0</v>
      </c>
      <c r="I3631" s="1" t="s">
        <v>16</v>
      </c>
      <c r="J3631" s="1">
        <v>6000000.0</v>
      </c>
      <c r="K3631" s="1">
        <v>2013.0</v>
      </c>
      <c r="L3631" s="1">
        <v>5.4</v>
      </c>
      <c r="O3631" s="3"/>
      <c r="S3631" s="4"/>
    </row>
    <row r="3632" ht="14.25" customHeight="1">
      <c r="A3632" s="1" t="s">
        <v>7304</v>
      </c>
      <c r="B3632" s="1">
        <v>95.0</v>
      </c>
      <c r="C3632" s="1">
        <v>5997134.0</v>
      </c>
      <c r="D3632" s="1" t="s">
        <v>2028</v>
      </c>
      <c r="E3632" s="1" t="s">
        <v>7305</v>
      </c>
      <c r="F3632" s="1" t="s">
        <v>7306</v>
      </c>
      <c r="G3632" s="1">
        <v>36381.0</v>
      </c>
      <c r="H3632" s="1">
        <v>126.0</v>
      </c>
      <c r="I3632" s="1" t="s">
        <v>16</v>
      </c>
      <c r="J3632" s="1">
        <v>1000000.0</v>
      </c>
      <c r="K3632" s="1">
        <v>2012.0</v>
      </c>
      <c r="L3632" s="1">
        <v>7.2</v>
      </c>
      <c r="O3632" s="3"/>
      <c r="S3632" s="4"/>
    </row>
    <row r="3633" ht="14.25" customHeight="1">
      <c r="A3633" s="1" t="s">
        <v>5035</v>
      </c>
      <c r="B3633" s="1">
        <v>104.0</v>
      </c>
      <c r="C3633" s="1">
        <v>3386698.0</v>
      </c>
      <c r="D3633" s="1" t="s">
        <v>593</v>
      </c>
      <c r="E3633" s="1" t="s">
        <v>390</v>
      </c>
      <c r="F3633" s="1" t="s">
        <v>7307</v>
      </c>
      <c r="G3633" s="1">
        <v>4195.0</v>
      </c>
      <c r="H3633" s="1">
        <v>86.0</v>
      </c>
      <c r="I3633" s="1" t="s">
        <v>16</v>
      </c>
      <c r="J3633" s="1">
        <v>1000000.0</v>
      </c>
      <c r="K3633" s="1">
        <v>1998.0</v>
      </c>
      <c r="L3633" s="1">
        <v>6.7</v>
      </c>
      <c r="O3633" s="3"/>
      <c r="S3633" s="4"/>
    </row>
    <row r="3634" ht="14.25" customHeight="1">
      <c r="A3634" s="1" t="s">
        <v>3240</v>
      </c>
      <c r="B3634" s="1">
        <v>96.0</v>
      </c>
      <c r="C3634" s="1">
        <v>1.4349284E8</v>
      </c>
      <c r="D3634" s="1" t="s">
        <v>593</v>
      </c>
      <c r="E3634" s="1" t="s">
        <v>35</v>
      </c>
      <c r="F3634" s="1" t="s">
        <v>6071</v>
      </c>
      <c r="G3634" s="1">
        <v>414345.0</v>
      </c>
      <c r="H3634" s="1">
        <v>881.0</v>
      </c>
      <c r="I3634" s="1" t="s">
        <v>16</v>
      </c>
      <c r="J3634" s="1">
        <v>7500000.0</v>
      </c>
      <c r="K3634" s="1">
        <v>2007.0</v>
      </c>
      <c r="L3634" s="1">
        <v>7.5</v>
      </c>
      <c r="O3634" s="3"/>
      <c r="S3634" s="4"/>
    </row>
    <row r="3635" ht="14.25" customHeight="1">
      <c r="A3635" s="1" t="s">
        <v>7308</v>
      </c>
      <c r="B3635" s="1">
        <v>97.0</v>
      </c>
      <c r="C3635" s="1">
        <v>2508841.0</v>
      </c>
      <c r="D3635" s="1" t="s">
        <v>811</v>
      </c>
      <c r="E3635" s="1" t="s">
        <v>2857</v>
      </c>
      <c r="F3635" s="1" t="s">
        <v>7309</v>
      </c>
      <c r="G3635" s="1">
        <v>21746.0</v>
      </c>
      <c r="H3635" s="1">
        <v>93.0</v>
      </c>
      <c r="I3635" s="1" t="s">
        <v>16</v>
      </c>
      <c r="J3635" s="1">
        <v>1000000.0</v>
      </c>
      <c r="K3635" s="1">
        <v>2008.0</v>
      </c>
      <c r="L3635" s="1">
        <v>7.2</v>
      </c>
      <c r="O3635" s="3"/>
      <c r="S3635" s="4"/>
    </row>
    <row r="3636" ht="14.25" customHeight="1">
      <c r="A3636" s="1" t="s">
        <v>7310</v>
      </c>
      <c r="B3636" s="1">
        <v>91.0</v>
      </c>
      <c r="C3636" s="1">
        <v>4946250.0</v>
      </c>
      <c r="D3636" s="1" t="s">
        <v>1651</v>
      </c>
      <c r="E3636" s="1" t="s">
        <v>7311</v>
      </c>
      <c r="F3636" s="1" t="s">
        <v>7312</v>
      </c>
      <c r="G3636" s="1">
        <v>9540.0</v>
      </c>
      <c r="H3636" s="1">
        <v>80.0</v>
      </c>
      <c r="I3636" s="1" t="s">
        <v>16</v>
      </c>
      <c r="J3636" s="1">
        <v>1000000.0</v>
      </c>
      <c r="K3636" s="1">
        <v>2013.0</v>
      </c>
      <c r="L3636" s="1">
        <v>7.4</v>
      </c>
      <c r="O3636" s="3"/>
      <c r="S3636" s="4"/>
    </row>
    <row r="3637" ht="14.25" customHeight="1">
      <c r="A3637" s="1" t="s">
        <v>6361</v>
      </c>
      <c r="B3637" s="1">
        <v>84.0</v>
      </c>
      <c r="C3637" s="1">
        <v>1950218.0</v>
      </c>
      <c r="D3637" s="1" t="s">
        <v>1059</v>
      </c>
      <c r="E3637" s="1" t="s">
        <v>96</v>
      </c>
      <c r="F3637" s="1" t="s">
        <v>7313</v>
      </c>
      <c r="G3637" s="1">
        <v>5933.0</v>
      </c>
      <c r="H3637" s="1">
        <v>102.0</v>
      </c>
      <c r="I3637" s="1" t="s">
        <v>16</v>
      </c>
      <c r="J3637" s="1">
        <v>1000000.0</v>
      </c>
      <c r="K3637" s="1">
        <v>1997.0</v>
      </c>
      <c r="L3637" s="1">
        <v>5.6</v>
      </c>
      <c r="O3637" s="3"/>
      <c r="S3637" s="4"/>
    </row>
    <row r="3638" ht="14.25" customHeight="1">
      <c r="A3638" s="1" t="s">
        <v>5967</v>
      </c>
      <c r="B3638" s="1">
        <v>86.0</v>
      </c>
      <c r="C3638" s="1">
        <v>1277257.0</v>
      </c>
      <c r="D3638" s="1" t="s">
        <v>593</v>
      </c>
      <c r="E3638" s="1" t="s">
        <v>7314</v>
      </c>
      <c r="F3638" s="1" t="s">
        <v>7315</v>
      </c>
      <c r="G3638" s="1">
        <v>2629.0</v>
      </c>
      <c r="H3638" s="1">
        <v>32.0</v>
      </c>
      <c r="I3638" s="1" t="s">
        <v>16</v>
      </c>
      <c r="J3638" s="1">
        <v>1000000.0</v>
      </c>
      <c r="K3638" s="1">
        <v>1996.0</v>
      </c>
      <c r="L3638" s="1">
        <v>6.8</v>
      </c>
      <c r="O3638" s="3"/>
      <c r="S3638" s="4"/>
    </row>
    <row r="3639" ht="14.25" customHeight="1">
      <c r="A3639" s="1" t="s">
        <v>7316</v>
      </c>
      <c r="B3639" s="1">
        <v>92.0</v>
      </c>
      <c r="C3639" s="1">
        <v>1677838.0</v>
      </c>
      <c r="D3639" s="1" t="s">
        <v>3521</v>
      </c>
      <c r="E3639" s="1" t="s">
        <v>413</v>
      </c>
      <c r="F3639" s="1" t="s">
        <v>7317</v>
      </c>
      <c r="G3639" s="1">
        <v>11283.0</v>
      </c>
      <c r="H3639" s="1">
        <v>155.0</v>
      </c>
      <c r="I3639" s="1" t="s">
        <v>16</v>
      </c>
      <c r="J3639" s="1">
        <v>1000000.0</v>
      </c>
      <c r="K3639" s="1">
        <v>2006.0</v>
      </c>
      <c r="L3639" s="1">
        <v>7.7</v>
      </c>
      <c r="O3639" s="3"/>
      <c r="S3639" s="4"/>
    </row>
    <row r="3640" ht="14.25" customHeight="1">
      <c r="A3640" s="1" t="s">
        <v>7318</v>
      </c>
      <c r="B3640" s="1">
        <v>94.0</v>
      </c>
      <c r="C3640" s="1">
        <v>1744858.0</v>
      </c>
      <c r="D3640" s="1" t="s">
        <v>1825</v>
      </c>
      <c r="E3640" s="1" t="s">
        <v>2710</v>
      </c>
      <c r="F3640" s="1" t="s">
        <v>7319</v>
      </c>
      <c r="G3640" s="1">
        <v>6084.0</v>
      </c>
      <c r="H3640" s="1">
        <v>120.0</v>
      </c>
      <c r="I3640" s="1" t="s">
        <v>16</v>
      </c>
      <c r="J3640" s="1">
        <v>1000000.0</v>
      </c>
      <c r="K3640" s="1">
        <v>2000.0</v>
      </c>
      <c r="L3640" s="1">
        <v>7.0</v>
      </c>
      <c r="O3640" s="3"/>
      <c r="S3640" s="4"/>
    </row>
    <row r="3641" ht="14.25" customHeight="1">
      <c r="A3641" s="1" t="s">
        <v>202</v>
      </c>
      <c r="B3641" s="1">
        <v>103.0</v>
      </c>
      <c r="C3641" s="1">
        <v>8.002174E7</v>
      </c>
      <c r="D3641" s="1" t="s">
        <v>1814</v>
      </c>
      <c r="E3641" s="1" t="s">
        <v>1815</v>
      </c>
      <c r="F3641" s="1" t="s">
        <v>1816</v>
      </c>
      <c r="G3641" s="1">
        <v>47988.0</v>
      </c>
      <c r="H3641" s="1">
        <v>154.0</v>
      </c>
      <c r="I3641" s="1" t="s">
        <v>16</v>
      </c>
      <c r="J3641" s="1">
        <v>5.8E7</v>
      </c>
      <c r="K3641" s="1">
        <v>2015.0</v>
      </c>
      <c r="L3641" s="1">
        <v>6.4</v>
      </c>
      <c r="O3641" s="3"/>
      <c r="S3641" s="4"/>
    </row>
    <row r="3642" ht="14.25" customHeight="1">
      <c r="A3642" s="1" t="s">
        <v>7320</v>
      </c>
      <c r="B3642" s="1">
        <v>100.0</v>
      </c>
      <c r="C3642" s="1">
        <v>982214.0</v>
      </c>
      <c r="D3642" s="1" t="s">
        <v>1391</v>
      </c>
      <c r="E3642" s="1" t="s">
        <v>7321</v>
      </c>
      <c r="F3642" s="1" t="s">
        <v>7322</v>
      </c>
      <c r="G3642" s="1">
        <v>1976.0</v>
      </c>
      <c r="H3642" s="1">
        <v>51.0</v>
      </c>
      <c r="I3642" s="1" t="s">
        <v>16</v>
      </c>
      <c r="J3642" s="1">
        <v>1000000.0</v>
      </c>
      <c r="K3642" s="1">
        <v>1998.0</v>
      </c>
      <c r="L3642" s="1">
        <v>7.2</v>
      </c>
      <c r="O3642" s="3"/>
      <c r="S3642" s="4"/>
    </row>
    <row r="3643" ht="14.25" customHeight="1">
      <c r="A3643" s="1" t="s">
        <v>7323</v>
      </c>
      <c r="B3643" s="1">
        <v>119.0</v>
      </c>
      <c r="C3643" s="1">
        <v>798341.0</v>
      </c>
      <c r="D3643" s="1" t="s">
        <v>4443</v>
      </c>
      <c r="E3643" s="1" t="s">
        <v>2808</v>
      </c>
      <c r="F3643" s="1" t="s">
        <v>7324</v>
      </c>
      <c r="G3643" s="1">
        <v>983.0</v>
      </c>
      <c r="H3643" s="1">
        <v>63.0</v>
      </c>
      <c r="I3643" s="1" t="s">
        <v>16</v>
      </c>
      <c r="J3643" s="1">
        <v>1000000.0</v>
      </c>
      <c r="K3643" s="1">
        <v>2001.0</v>
      </c>
      <c r="L3643" s="1">
        <v>7.2</v>
      </c>
      <c r="O3643" s="3"/>
      <c r="S3643" s="4"/>
    </row>
    <row r="3644" ht="14.25" customHeight="1">
      <c r="A3644" s="1" t="s">
        <v>7325</v>
      </c>
      <c r="B3644" s="1">
        <v>167.0</v>
      </c>
      <c r="C3644" s="1">
        <v>610991.0</v>
      </c>
      <c r="D3644" s="1" t="s">
        <v>92</v>
      </c>
      <c r="E3644" s="1" t="s">
        <v>7326</v>
      </c>
      <c r="F3644" s="1" t="s">
        <v>7327</v>
      </c>
      <c r="G3644" s="1">
        <v>2715.0</v>
      </c>
      <c r="H3644" s="1">
        <v>19.0</v>
      </c>
      <c r="I3644" s="1" t="s">
        <v>5555</v>
      </c>
      <c r="J3644" s="1">
        <v>1000000.0</v>
      </c>
      <c r="K3644" s="1">
        <v>2000.0</v>
      </c>
      <c r="L3644" s="1">
        <v>6.2</v>
      </c>
      <c r="O3644" s="3"/>
      <c r="S3644" s="4"/>
    </row>
    <row r="3645" ht="14.25" customHeight="1">
      <c r="A3645" s="1" t="s">
        <v>4084</v>
      </c>
      <c r="B3645" s="1">
        <v>92.0</v>
      </c>
      <c r="C3645" s="1">
        <v>582024.0</v>
      </c>
      <c r="D3645" s="1" t="s">
        <v>2203</v>
      </c>
      <c r="E3645" s="1" t="s">
        <v>4084</v>
      </c>
      <c r="F3645" s="1" t="s">
        <v>7328</v>
      </c>
      <c r="G3645" s="1">
        <v>30396.0</v>
      </c>
      <c r="H3645" s="1">
        <v>168.0</v>
      </c>
      <c r="I3645" s="1" t="s">
        <v>16</v>
      </c>
      <c r="J3645" s="1">
        <v>1000000.0</v>
      </c>
      <c r="K3645" s="1">
        <v>1997.0</v>
      </c>
      <c r="L3645" s="1">
        <v>6.2</v>
      </c>
      <c r="O3645" s="3"/>
      <c r="S3645" s="4"/>
    </row>
    <row r="3646" ht="14.25" customHeight="1">
      <c r="A3646" s="1" t="s">
        <v>2176</v>
      </c>
      <c r="B3646" s="1">
        <v>108.0</v>
      </c>
      <c r="C3646" s="1">
        <v>548712.0</v>
      </c>
      <c r="D3646" s="1" t="s">
        <v>92</v>
      </c>
      <c r="E3646" s="1" t="s">
        <v>1662</v>
      </c>
      <c r="F3646" s="1" t="s">
        <v>7329</v>
      </c>
      <c r="G3646" s="1">
        <v>9233.0</v>
      </c>
      <c r="H3646" s="1">
        <v>126.0</v>
      </c>
      <c r="I3646" s="1" t="s">
        <v>16</v>
      </c>
      <c r="J3646" s="1">
        <v>2500000.0</v>
      </c>
      <c r="K3646" s="1">
        <v>2003.0</v>
      </c>
      <c r="L3646" s="1">
        <v>6.9</v>
      </c>
      <c r="O3646" s="3"/>
      <c r="S3646" s="4"/>
    </row>
    <row r="3647" ht="14.25" customHeight="1">
      <c r="A3647" s="1" t="s">
        <v>7330</v>
      </c>
      <c r="B3647" s="1">
        <v>97.0</v>
      </c>
      <c r="C3647" s="1">
        <v>464655.0</v>
      </c>
      <c r="D3647" s="1" t="s">
        <v>1059</v>
      </c>
      <c r="E3647" s="1" t="s">
        <v>4457</v>
      </c>
      <c r="F3647" s="1" t="s">
        <v>7331</v>
      </c>
      <c r="G3647" s="1">
        <v>1524.0</v>
      </c>
      <c r="H3647" s="1">
        <v>29.0</v>
      </c>
      <c r="I3647" s="1" t="s">
        <v>16</v>
      </c>
      <c r="J3647" s="1">
        <v>1000000.0</v>
      </c>
      <c r="K3647" s="1">
        <v>1997.0</v>
      </c>
      <c r="L3647" s="1">
        <v>7.0</v>
      </c>
      <c r="O3647" s="3"/>
      <c r="S3647" s="4"/>
    </row>
    <row r="3648" ht="14.25" customHeight="1">
      <c r="A3648" s="1" t="s">
        <v>7332</v>
      </c>
      <c r="B3648" s="1">
        <v>88.0</v>
      </c>
      <c r="C3648" s="1">
        <v>464126.0</v>
      </c>
      <c r="D3648" s="1" t="s">
        <v>1391</v>
      </c>
      <c r="E3648" s="1" t="s">
        <v>3158</v>
      </c>
      <c r="F3648" s="1" t="s">
        <v>7333</v>
      </c>
      <c r="G3648" s="1">
        <v>3142.0</v>
      </c>
      <c r="H3648" s="1">
        <v>68.0</v>
      </c>
      <c r="I3648" s="1" t="s">
        <v>16</v>
      </c>
      <c r="J3648" s="1">
        <v>1000000.0</v>
      </c>
      <c r="K3648" s="1">
        <v>2002.0</v>
      </c>
      <c r="L3648" s="1">
        <v>6.7</v>
      </c>
      <c r="O3648" s="3"/>
      <c r="S3648" s="4"/>
    </row>
    <row r="3649" ht="14.25" customHeight="1">
      <c r="A3649" s="1" t="s">
        <v>7334</v>
      </c>
      <c r="B3649" s="1">
        <v>100.0</v>
      </c>
      <c r="C3649" s="1">
        <v>428535.0</v>
      </c>
      <c r="D3649" s="1" t="s">
        <v>699</v>
      </c>
      <c r="E3649" s="1" t="s">
        <v>3875</v>
      </c>
      <c r="F3649" s="1" t="s">
        <v>7335</v>
      </c>
      <c r="G3649" s="1">
        <v>505.0</v>
      </c>
      <c r="H3649" s="1">
        <v>32.0</v>
      </c>
      <c r="I3649" s="1" t="s">
        <v>16</v>
      </c>
      <c r="J3649" s="1">
        <v>1000000.0</v>
      </c>
      <c r="K3649" s="1">
        <v>2000.0</v>
      </c>
      <c r="L3649" s="1">
        <v>3.6</v>
      </c>
      <c r="O3649" s="3"/>
      <c r="S3649" s="4"/>
    </row>
    <row r="3650" ht="14.25" customHeight="1">
      <c r="A3650" s="1" t="s">
        <v>7336</v>
      </c>
      <c r="B3650" s="1">
        <v>88.0</v>
      </c>
      <c r="C3650" s="1">
        <v>104077.0</v>
      </c>
      <c r="D3650" s="1" t="s">
        <v>1046</v>
      </c>
      <c r="E3650" s="1" t="s">
        <v>4760</v>
      </c>
      <c r="F3650" s="1" t="s">
        <v>7337</v>
      </c>
      <c r="G3650" s="1">
        <v>46076.0</v>
      </c>
      <c r="H3650" s="1">
        <v>88.0</v>
      </c>
      <c r="I3650" s="1" t="s">
        <v>16</v>
      </c>
      <c r="J3650" s="1">
        <v>1000000.0</v>
      </c>
      <c r="K3650" s="1">
        <v>2006.0</v>
      </c>
      <c r="L3650" s="1">
        <v>7.4</v>
      </c>
      <c r="O3650" s="3"/>
      <c r="S3650" s="4"/>
    </row>
    <row r="3651" ht="14.25" customHeight="1">
      <c r="A3651" s="1" t="s">
        <v>7338</v>
      </c>
      <c r="B3651" s="1">
        <v>79.0</v>
      </c>
      <c r="C3651" s="1">
        <v>279282.0</v>
      </c>
      <c r="D3651" s="1" t="s">
        <v>593</v>
      </c>
      <c r="E3651" s="1" t="s">
        <v>7339</v>
      </c>
      <c r="F3651" s="1" t="s">
        <v>7340</v>
      </c>
      <c r="G3651" s="1">
        <v>3806.0</v>
      </c>
      <c r="H3651" s="1">
        <v>49.0</v>
      </c>
      <c r="I3651" s="1" t="s">
        <v>16</v>
      </c>
      <c r="J3651" s="1">
        <v>1000000.0</v>
      </c>
      <c r="K3651" s="1">
        <v>2003.0</v>
      </c>
      <c r="L3651" s="1">
        <v>6.1</v>
      </c>
      <c r="O3651" s="3"/>
      <c r="S3651" s="4"/>
    </row>
    <row r="3652" ht="14.25" customHeight="1">
      <c r="A3652" s="1" t="s">
        <v>73</v>
      </c>
      <c r="B3652" s="1">
        <v>135.0</v>
      </c>
      <c r="C3652" s="1">
        <v>4.3982842E7</v>
      </c>
      <c r="D3652" s="1" t="s">
        <v>844</v>
      </c>
      <c r="E3652" s="1" t="s">
        <v>845</v>
      </c>
      <c r="F3652" s="1" t="s">
        <v>846</v>
      </c>
      <c r="G3652" s="1">
        <v>125114.0</v>
      </c>
      <c r="H3652" s="1">
        <v>593.0</v>
      </c>
      <c r="I3652" s="1" t="s">
        <v>16</v>
      </c>
      <c r="J3652" s="1">
        <v>6.5E7</v>
      </c>
      <c r="K3652" s="1">
        <v>2009.0</v>
      </c>
      <c r="L3652" s="1">
        <v>6.7</v>
      </c>
      <c r="O3652" s="3"/>
      <c r="S3652" s="4"/>
    </row>
    <row r="3653" ht="14.25" customHeight="1">
      <c r="A3653" s="1" t="s">
        <v>7341</v>
      </c>
      <c r="B3653" s="1">
        <v>96.0</v>
      </c>
      <c r="C3653" s="1">
        <v>484221.0</v>
      </c>
      <c r="D3653" s="1" t="s">
        <v>7342</v>
      </c>
      <c r="E3653" s="1" t="s">
        <v>7343</v>
      </c>
      <c r="F3653" s="1" t="s">
        <v>7344</v>
      </c>
      <c r="G3653" s="1">
        <v>23836.0</v>
      </c>
      <c r="H3653" s="1">
        <v>107.0</v>
      </c>
      <c r="I3653" s="1" t="s">
        <v>7276</v>
      </c>
      <c r="J3653" s="1">
        <v>1000000.0</v>
      </c>
      <c r="K3653" s="1">
        <v>2012.0</v>
      </c>
      <c r="L3653" s="1">
        <v>8.2</v>
      </c>
      <c r="O3653" s="3"/>
      <c r="S3653" s="4"/>
    </row>
    <row r="3654" ht="14.25" customHeight="1">
      <c r="A3654" s="1" t="s">
        <v>7345</v>
      </c>
      <c r="B3654" s="1">
        <v>53.0</v>
      </c>
      <c r="C3654" s="1">
        <v>274661.0</v>
      </c>
      <c r="D3654" s="1" t="s">
        <v>7346</v>
      </c>
      <c r="E3654" s="1" t="s">
        <v>7345</v>
      </c>
      <c r="F3654" s="1" t="s">
        <v>7347</v>
      </c>
      <c r="G3654" s="1">
        <v>10564.0</v>
      </c>
      <c r="H3654" s="1">
        <v>40.0</v>
      </c>
      <c r="I3654" s="1" t="s">
        <v>16</v>
      </c>
      <c r="J3654" s="1">
        <v>1000000.0</v>
      </c>
      <c r="K3654" s="1">
        <v>2007.0</v>
      </c>
      <c r="L3654" s="1">
        <v>7.7</v>
      </c>
      <c r="O3654" s="3"/>
      <c r="S3654" s="4"/>
    </row>
    <row r="3655" ht="14.25" customHeight="1">
      <c r="A3655" s="1" t="s">
        <v>7348</v>
      </c>
      <c r="B3655" s="1">
        <v>97.0</v>
      </c>
      <c r="C3655" s="1">
        <v>144431.0</v>
      </c>
      <c r="D3655" s="1" t="s">
        <v>7349</v>
      </c>
      <c r="E3655" s="1" t="s">
        <v>7350</v>
      </c>
      <c r="F3655" s="1" t="s">
        <v>7351</v>
      </c>
      <c r="G3655" s="1">
        <v>1290.0</v>
      </c>
      <c r="H3655" s="1">
        <v>13.0</v>
      </c>
      <c r="I3655" s="1" t="s">
        <v>16</v>
      </c>
      <c r="J3655" s="1">
        <v>1000000.0</v>
      </c>
      <c r="K3655" s="1">
        <v>2006.0</v>
      </c>
      <c r="L3655" s="1">
        <v>7.3</v>
      </c>
      <c r="O3655" s="3"/>
      <c r="S3655" s="4"/>
    </row>
    <row r="3656" ht="14.25" customHeight="1">
      <c r="A3656" s="1" t="s">
        <v>7352</v>
      </c>
      <c r="B3656" s="1">
        <v>91.0</v>
      </c>
      <c r="C3656" s="1">
        <v>287761.0</v>
      </c>
      <c r="D3656" s="1" t="s">
        <v>7353</v>
      </c>
      <c r="E3656" s="1" t="s">
        <v>7354</v>
      </c>
      <c r="F3656" s="1" t="s">
        <v>7355</v>
      </c>
      <c r="G3656" s="1">
        <v>2482.0</v>
      </c>
      <c r="H3656" s="1">
        <v>16.0</v>
      </c>
      <c r="I3656" s="1" t="s">
        <v>16</v>
      </c>
      <c r="J3656" s="1">
        <v>1000000.0</v>
      </c>
      <c r="K3656" s="1">
        <v>2013.0</v>
      </c>
      <c r="L3656" s="1">
        <v>7.6</v>
      </c>
      <c r="O3656" s="3"/>
      <c r="S3656" s="4"/>
    </row>
    <row r="3657" ht="14.25" customHeight="1">
      <c r="A3657" s="1" t="s">
        <v>7356</v>
      </c>
      <c r="B3657" s="1">
        <v>93.0</v>
      </c>
      <c r="C3657" s="1">
        <v>100240.0</v>
      </c>
      <c r="D3657" s="1" t="s">
        <v>3521</v>
      </c>
      <c r="E3657" s="1" t="s">
        <v>7357</v>
      </c>
      <c r="F3657" s="1" t="s">
        <v>7358</v>
      </c>
      <c r="G3657" s="1">
        <v>1220.0</v>
      </c>
      <c r="H3657" s="1">
        <v>11.0</v>
      </c>
      <c r="I3657" s="1" t="s">
        <v>16</v>
      </c>
      <c r="J3657" s="1">
        <v>1000000.0</v>
      </c>
      <c r="K3657" s="1">
        <v>2014.0</v>
      </c>
      <c r="L3657" s="1">
        <v>6.8</v>
      </c>
      <c r="O3657" s="3"/>
      <c r="S3657" s="4"/>
    </row>
    <row r="3658" ht="14.25" customHeight="1">
      <c r="A3658" s="1" t="s">
        <v>7359</v>
      </c>
      <c r="B3658" s="1">
        <v>112.0</v>
      </c>
      <c r="C3658" s="1">
        <v>96734.0</v>
      </c>
      <c r="D3658" s="1" t="s">
        <v>331</v>
      </c>
      <c r="E3658" s="1" t="s">
        <v>7360</v>
      </c>
      <c r="F3658" s="1" t="s">
        <v>7361</v>
      </c>
      <c r="G3658" s="1">
        <v>606.0</v>
      </c>
      <c r="H3658" s="1">
        <v>5.0</v>
      </c>
      <c r="I3658" s="1" t="s">
        <v>16</v>
      </c>
      <c r="J3658" s="1">
        <v>1000000.0</v>
      </c>
      <c r="K3658" s="1">
        <v>2012.0</v>
      </c>
      <c r="L3658" s="1">
        <v>5.6</v>
      </c>
      <c r="O3658" s="3"/>
      <c r="S3658" s="4"/>
    </row>
    <row r="3659" ht="14.25" customHeight="1">
      <c r="A3659" s="1" t="s">
        <v>7362</v>
      </c>
      <c r="B3659" s="1">
        <v>160.0</v>
      </c>
      <c r="C3659" s="1">
        <v>49000.0</v>
      </c>
      <c r="D3659" s="1" t="s">
        <v>2862</v>
      </c>
      <c r="E3659" s="1" t="s">
        <v>7363</v>
      </c>
      <c r="F3659" s="1" t="s">
        <v>7364</v>
      </c>
      <c r="G3659" s="1">
        <v>1524.0</v>
      </c>
      <c r="H3659" s="1">
        <v>30.0</v>
      </c>
      <c r="I3659" s="1" t="s">
        <v>5555</v>
      </c>
      <c r="J3659" s="1">
        <v>1500000.0</v>
      </c>
      <c r="K3659" s="1">
        <v>2005.0</v>
      </c>
      <c r="L3659" s="1">
        <v>4.8</v>
      </c>
      <c r="O3659" s="3"/>
      <c r="S3659" s="4"/>
    </row>
    <row r="3660" ht="14.25" customHeight="1">
      <c r="A3660" s="1" t="s">
        <v>7365</v>
      </c>
      <c r="B3660" s="1">
        <v>95.0</v>
      </c>
      <c r="C3660" s="1">
        <v>100659.0</v>
      </c>
      <c r="D3660" s="1" t="s">
        <v>2551</v>
      </c>
      <c r="E3660" s="1" t="s">
        <v>7366</v>
      </c>
      <c r="F3660" s="1" t="s">
        <v>7367</v>
      </c>
      <c r="G3660" s="1">
        <v>30160.0</v>
      </c>
      <c r="H3660" s="1">
        <v>193.0</v>
      </c>
      <c r="I3660" s="1" t="s">
        <v>16</v>
      </c>
      <c r="J3660" s="1">
        <v>900000.0</v>
      </c>
      <c r="K3660" s="1">
        <v>2009.0</v>
      </c>
      <c r="L3660" s="1">
        <v>6.4</v>
      </c>
      <c r="O3660" s="3"/>
      <c r="S3660" s="4"/>
    </row>
    <row r="3661" ht="14.25" customHeight="1">
      <c r="A3661" s="1" t="s">
        <v>7368</v>
      </c>
      <c r="B3661" s="1">
        <v>93.0</v>
      </c>
      <c r="C3661" s="1">
        <v>48430.0</v>
      </c>
      <c r="D3661" s="1" t="s">
        <v>2378</v>
      </c>
      <c r="E3661" s="1" t="s">
        <v>1382</v>
      </c>
      <c r="F3661" s="1" t="s">
        <v>7369</v>
      </c>
      <c r="G3661" s="1">
        <v>20176.0</v>
      </c>
      <c r="H3661" s="1">
        <v>73.0</v>
      </c>
      <c r="I3661" s="1" t="s">
        <v>16</v>
      </c>
      <c r="J3661" s="1">
        <v>500000.0</v>
      </c>
      <c r="K3661" s="1">
        <v>2010.0</v>
      </c>
      <c r="L3661" s="1">
        <v>6.8</v>
      </c>
      <c r="O3661" s="3"/>
      <c r="S3661" s="4"/>
    </row>
    <row r="3662" ht="14.25" customHeight="1">
      <c r="A3662" s="1" t="s">
        <v>2425</v>
      </c>
      <c r="B3662" s="1">
        <v>88.0</v>
      </c>
      <c r="C3662" s="1">
        <v>21210.0</v>
      </c>
      <c r="D3662" s="1" t="s">
        <v>427</v>
      </c>
      <c r="E3662" s="1" t="s">
        <v>7370</v>
      </c>
      <c r="F3662" s="1" t="s">
        <v>7371</v>
      </c>
      <c r="G3662" s="1">
        <v>2735.0</v>
      </c>
      <c r="H3662" s="1">
        <v>52.0</v>
      </c>
      <c r="I3662" s="1" t="s">
        <v>16</v>
      </c>
      <c r="J3662" s="1">
        <v>1000000.0</v>
      </c>
      <c r="K3662" s="1">
        <v>1998.0</v>
      </c>
      <c r="L3662" s="1">
        <v>6.1</v>
      </c>
      <c r="O3662" s="3"/>
      <c r="S3662" s="4"/>
    </row>
    <row r="3663" ht="14.25" customHeight="1">
      <c r="A3663" s="1" t="s">
        <v>3001</v>
      </c>
      <c r="B3663" s="1">
        <v>82.0</v>
      </c>
      <c r="C3663" s="1">
        <v>12996.0</v>
      </c>
      <c r="D3663" s="1" t="s">
        <v>412</v>
      </c>
      <c r="E3663" s="1" t="s">
        <v>260</v>
      </c>
      <c r="F3663" s="1" t="s">
        <v>7372</v>
      </c>
      <c r="G3663" s="1">
        <v>1938.0</v>
      </c>
      <c r="H3663" s="1">
        <v>54.0</v>
      </c>
      <c r="I3663" s="1" t="s">
        <v>16</v>
      </c>
      <c r="J3663" s="1">
        <v>1000000.0</v>
      </c>
      <c r="K3663" s="1">
        <v>2000.0</v>
      </c>
      <c r="L3663" s="1">
        <v>6.0</v>
      </c>
      <c r="O3663" s="3"/>
      <c r="S3663" s="4"/>
    </row>
    <row r="3664" ht="14.25" customHeight="1">
      <c r="A3664" s="1" t="s">
        <v>7373</v>
      </c>
      <c r="B3664" s="1">
        <v>78.0</v>
      </c>
      <c r="C3664" s="1">
        <v>10018.0</v>
      </c>
      <c r="D3664" s="1" t="s">
        <v>901</v>
      </c>
      <c r="E3664" s="1" t="s">
        <v>7374</v>
      </c>
      <c r="F3664" s="1" t="s">
        <v>7375</v>
      </c>
      <c r="G3664" s="1">
        <v>3228.0</v>
      </c>
      <c r="H3664" s="1">
        <v>31.0</v>
      </c>
      <c r="I3664" s="1" t="s">
        <v>16</v>
      </c>
      <c r="J3664" s="1">
        <v>1000000.0</v>
      </c>
      <c r="K3664" s="1">
        <v>2006.0</v>
      </c>
      <c r="L3664" s="1">
        <v>6.1</v>
      </c>
      <c r="O3664" s="3"/>
      <c r="S3664" s="4"/>
    </row>
    <row r="3665" ht="14.25" customHeight="1">
      <c r="A3665" s="1" t="s">
        <v>7376</v>
      </c>
      <c r="B3665" s="1">
        <v>97.0</v>
      </c>
      <c r="C3665" s="1">
        <v>62480.0</v>
      </c>
      <c r="D3665" s="1" t="s">
        <v>770</v>
      </c>
      <c r="E3665" s="1" t="s">
        <v>7377</v>
      </c>
      <c r="F3665" s="1" t="s">
        <v>7378</v>
      </c>
      <c r="G3665" s="1">
        <v>1048.0</v>
      </c>
      <c r="H3665" s="1">
        <v>7.0</v>
      </c>
      <c r="I3665" s="1" t="s">
        <v>16</v>
      </c>
      <c r="J3665" s="1">
        <v>1000000.0</v>
      </c>
      <c r="K3665" s="1">
        <v>2015.0</v>
      </c>
      <c r="L3665" s="1">
        <v>5.5</v>
      </c>
      <c r="O3665" s="3"/>
      <c r="S3665" s="4"/>
    </row>
    <row r="3666" ht="14.25" customHeight="1">
      <c r="A3666" s="1" t="s">
        <v>7379</v>
      </c>
      <c r="B3666" s="1">
        <v>81.0</v>
      </c>
      <c r="C3666" s="1">
        <v>6387.0</v>
      </c>
      <c r="D3666" s="1" t="s">
        <v>955</v>
      </c>
      <c r="E3666" s="1" t="s">
        <v>1544</v>
      </c>
      <c r="F3666" s="1" t="s">
        <v>7380</v>
      </c>
      <c r="G3666" s="1">
        <v>4862.0</v>
      </c>
      <c r="H3666" s="1">
        <v>37.0</v>
      </c>
      <c r="I3666" s="1" t="s">
        <v>16</v>
      </c>
      <c r="J3666" s="1">
        <v>1000000.0</v>
      </c>
      <c r="K3666" s="1">
        <v>2006.0</v>
      </c>
      <c r="L3666" s="1">
        <v>6.9</v>
      </c>
      <c r="O3666" s="3"/>
      <c r="S3666" s="4"/>
    </row>
    <row r="3667" ht="14.25" customHeight="1">
      <c r="A3667" s="1" t="s">
        <v>4051</v>
      </c>
      <c r="B3667" s="1">
        <v>88.0</v>
      </c>
      <c r="C3667" s="1">
        <v>721.0</v>
      </c>
      <c r="D3667" s="1" t="s">
        <v>331</v>
      </c>
      <c r="E3667" s="1" t="s">
        <v>5904</v>
      </c>
      <c r="F3667" s="1" t="s">
        <v>7381</v>
      </c>
      <c r="G3667" s="1">
        <v>783.0</v>
      </c>
      <c r="H3667" s="1">
        <v>12.0</v>
      </c>
      <c r="I3667" s="1" t="s">
        <v>16</v>
      </c>
      <c r="J3667" s="1">
        <v>1000000.0</v>
      </c>
      <c r="K3667" s="1">
        <v>2006.0</v>
      </c>
      <c r="L3667" s="1">
        <v>4.1</v>
      </c>
      <c r="O3667" s="3"/>
      <c r="S3667" s="4"/>
    </row>
    <row r="3668" ht="14.25" customHeight="1">
      <c r="A3668" s="1" t="s">
        <v>2986</v>
      </c>
      <c r="B3668" s="1">
        <v>96.0</v>
      </c>
      <c r="C3668" s="1">
        <v>703.0</v>
      </c>
      <c r="D3668" s="1" t="s">
        <v>1059</v>
      </c>
      <c r="E3668" s="1" t="s">
        <v>6157</v>
      </c>
      <c r="F3668" s="1" t="s">
        <v>7382</v>
      </c>
      <c r="G3668" s="1">
        <v>480.0</v>
      </c>
      <c r="H3668" s="1">
        <v>21.0</v>
      </c>
      <c r="I3668" s="1" t="s">
        <v>16</v>
      </c>
      <c r="J3668" s="1">
        <v>1500000.0</v>
      </c>
      <c r="K3668" s="1">
        <v>2001.0</v>
      </c>
      <c r="L3668" s="1">
        <v>5.4</v>
      </c>
      <c r="O3668" s="3"/>
      <c r="S3668" s="4"/>
    </row>
    <row r="3669" ht="14.25" customHeight="1">
      <c r="A3669" s="1" t="s">
        <v>7383</v>
      </c>
      <c r="B3669" s="1">
        <v>108.0</v>
      </c>
      <c r="C3669" s="1">
        <v>9600000.0</v>
      </c>
      <c r="D3669" s="1" t="s">
        <v>5447</v>
      </c>
      <c r="E3669" s="1" t="s">
        <v>1857</v>
      </c>
      <c r="F3669" s="1" t="s">
        <v>7384</v>
      </c>
      <c r="G3669" s="1">
        <v>100890.0</v>
      </c>
      <c r="H3669" s="1">
        <v>281.0</v>
      </c>
      <c r="I3669" s="1" t="s">
        <v>16</v>
      </c>
      <c r="J3669" s="1">
        <v>910000.0</v>
      </c>
      <c r="K3669" s="1">
        <v>1954.0</v>
      </c>
      <c r="L3669" s="1">
        <v>8.2</v>
      </c>
      <c r="O3669" s="3"/>
      <c r="S3669" s="4"/>
    </row>
    <row r="3670" ht="14.25" customHeight="1">
      <c r="A3670" s="1" t="s">
        <v>7385</v>
      </c>
      <c r="B3670" s="1">
        <v>100.0</v>
      </c>
      <c r="C3670" s="1">
        <v>20186.0</v>
      </c>
      <c r="D3670" s="1" t="s">
        <v>828</v>
      </c>
      <c r="E3670" s="1" t="s">
        <v>7386</v>
      </c>
      <c r="F3670" s="1" t="s">
        <v>7387</v>
      </c>
      <c r="G3670" s="1">
        <v>6025.0</v>
      </c>
      <c r="H3670" s="1">
        <v>15.0</v>
      </c>
      <c r="I3670" s="1" t="s">
        <v>16</v>
      </c>
      <c r="J3670" s="1">
        <v>930000.0</v>
      </c>
      <c r="K3670" s="1">
        <v>2011.0</v>
      </c>
      <c r="L3670" s="1">
        <v>5.7</v>
      </c>
      <c r="O3670" s="3"/>
      <c r="S3670" s="4"/>
    </row>
    <row r="3671" ht="14.25" customHeight="1">
      <c r="A3671" s="1" t="s">
        <v>7388</v>
      </c>
      <c r="B3671" s="1">
        <v>113.0</v>
      </c>
      <c r="C3671" s="1">
        <v>1185783.0</v>
      </c>
      <c r="D3671" s="1" t="s">
        <v>1391</v>
      </c>
      <c r="E3671" s="1" t="s">
        <v>7389</v>
      </c>
      <c r="F3671" s="1" t="s">
        <v>7390</v>
      </c>
      <c r="G3671" s="1">
        <v>44763.0</v>
      </c>
      <c r="H3671" s="1">
        <v>172.0</v>
      </c>
      <c r="I3671" s="1" t="s">
        <v>7391</v>
      </c>
      <c r="J3671" s="1">
        <v>590000.0</v>
      </c>
      <c r="K3671" s="1">
        <v>2007.0</v>
      </c>
      <c r="L3671" s="1">
        <v>7.9</v>
      </c>
      <c r="O3671" s="3"/>
      <c r="S3671" s="4"/>
    </row>
    <row r="3672" ht="14.25" customHeight="1">
      <c r="A3672" s="1" t="s">
        <v>1447</v>
      </c>
      <c r="B3672" s="1">
        <v>104.0</v>
      </c>
      <c r="C3672" s="1">
        <v>1007962.0</v>
      </c>
      <c r="D3672" s="1" t="s">
        <v>901</v>
      </c>
      <c r="E3672" s="1" t="s">
        <v>7392</v>
      </c>
      <c r="F3672" s="1" t="s">
        <v>7393</v>
      </c>
      <c r="G3672" s="1">
        <v>131969.0</v>
      </c>
      <c r="H3672" s="1">
        <v>651.0</v>
      </c>
      <c r="I3672" s="1" t="s">
        <v>16</v>
      </c>
      <c r="J3672" s="1">
        <v>950000.0</v>
      </c>
      <c r="K3672" s="1">
        <v>2005.0</v>
      </c>
      <c r="L3672" s="1">
        <v>7.1</v>
      </c>
      <c r="O3672" s="3"/>
      <c r="S3672" s="4"/>
    </row>
    <row r="3673" ht="14.25" customHeight="1">
      <c r="A3673" s="1" t="s">
        <v>7236</v>
      </c>
      <c r="B3673" s="1">
        <v>91.0</v>
      </c>
      <c r="C3673" s="1">
        <v>381186.0</v>
      </c>
      <c r="D3673" s="1" t="s">
        <v>1654</v>
      </c>
      <c r="E3673" s="1" t="s">
        <v>6546</v>
      </c>
      <c r="F3673" s="1" t="s">
        <v>7394</v>
      </c>
      <c r="G3673" s="1">
        <v>13485.0</v>
      </c>
      <c r="H3673" s="1">
        <v>90.0</v>
      </c>
      <c r="I3673" s="1" t="s">
        <v>16</v>
      </c>
      <c r="J3673" s="1">
        <v>900000.0</v>
      </c>
      <c r="K3673" s="1">
        <v>2005.0</v>
      </c>
      <c r="L3673" s="1">
        <v>6.4</v>
      </c>
      <c r="O3673" s="3"/>
      <c r="S3673" s="4"/>
    </row>
    <row r="3674" ht="14.25" customHeight="1">
      <c r="A3674" s="1" t="s">
        <v>2826</v>
      </c>
      <c r="B3674" s="1">
        <v>85.0</v>
      </c>
      <c r="C3674" s="1">
        <v>1.6097842E7</v>
      </c>
      <c r="D3674" s="1" t="s">
        <v>2521</v>
      </c>
      <c r="E3674" s="1" t="s">
        <v>7395</v>
      </c>
      <c r="F3674" s="1" t="s">
        <v>7396</v>
      </c>
      <c r="G3674" s="1">
        <v>53919.0</v>
      </c>
      <c r="H3674" s="1">
        <v>168.0</v>
      </c>
      <c r="I3674" s="1" t="s">
        <v>16</v>
      </c>
      <c r="J3674" s="1">
        <v>900000.0</v>
      </c>
      <c r="K3674" s="1">
        <v>2013.0</v>
      </c>
      <c r="L3674" s="1">
        <v>7.5</v>
      </c>
      <c r="O3674" s="3"/>
      <c r="S3674" s="4"/>
    </row>
    <row r="3675" ht="14.25" customHeight="1">
      <c r="A3675" s="1" t="s">
        <v>7397</v>
      </c>
      <c r="B3675" s="1">
        <v>101.0</v>
      </c>
      <c r="C3675" s="1">
        <v>6643.0</v>
      </c>
      <c r="D3675" s="1" t="s">
        <v>7398</v>
      </c>
      <c r="E3675" s="1" t="s">
        <v>268</v>
      </c>
      <c r="F3675" s="1" t="s">
        <v>7399</v>
      </c>
      <c r="G3675" s="1">
        <v>11965.0</v>
      </c>
      <c r="H3675" s="1">
        <v>39.0</v>
      </c>
      <c r="I3675" s="1" t="s">
        <v>16</v>
      </c>
      <c r="J3675" s="1">
        <v>900000.0</v>
      </c>
      <c r="K3675" s="1">
        <v>2012.0</v>
      </c>
      <c r="L3675" s="1">
        <v>6.4</v>
      </c>
      <c r="O3675" s="3"/>
      <c r="S3675" s="4"/>
    </row>
    <row r="3676" ht="14.25" customHeight="1">
      <c r="A3676" s="1" t="s">
        <v>3692</v>
      </c>
      <c r="B3676" s="1">
        <v>88.0</v>
      </c>
      <c r="C3676" s="1">
        <v>442638.0</v>
      </c>
      <c r="D3676" s="1" t="s">
        <v>1584</v>
      </c>
      <c r="E3676" s="1" t="s">
        <v>7400</v>
      </c>
      <c r="F3676" s="1" t="s">
        <v>7401</v>
      </c>
      <c r="G3676" s="1">
        <v>5489.0</v>
      </c>
      <c r="H3676" s="1">
        <v>23.0</v>
      </c>
      <c r="I3676" s="1" t="s">
        <v>16</v>
      </c>
      <c r="J3676" s="1">
        <v>850000.0</v>
      </c>
      <c r="K3676" s="1">
        <v>2007.0</v>
      </c>
      <c r="L3676" s="1">
        <v>7.3</v>
      </c>
      <c r="O3676" s="3"/>
      <c r="S3676" s="4"/>
    </row>
    <row r="3677" ht="14.25" customHeight="1">
      <c r="A3677" s="1" t="s">
        <v>4873</v>
      </c>
      <c r="B3677" s="1">
        <v>112.0</v>
      </c>
      <c r="C3677" s="1">
        <v>4.2919096E7</v>
      </c>
      <c r="D3677" s="1" t="s">
        <v>392</v>
      </c>
      <c r="E3677" s="1" t="s">
        <v>632</v>
      </c>
      <c r="F3677" s="1" t="s">
        <v>4874</v>
      </c>
      <c r="G3677" s="1">
        <v>64748.0</v>
      </c>
      <c r="H3677" s="1">
        <v>122.0</v>
      </c>
      <c r="I3677" s="1" t="s">
        <v>16</v>
      </c>
      <c r="J3677" s="1">
        <v>1.5E7</v>
      </c>
      <c r="K3677" s="1">
        <v>2013.0</v>
      </c>
      <c r="L3677" s="1">
        <v>6.5</v>
      </c>
      <c r="O3677" s="3"/>
      <c r="S3677" s="4"/>
    </row>
    <row r="3678" ht="14.25" customHeight="1">
      <c r="A3678" s="1" t="s">
        <v>7402</v>
      </c>
      <c r="B3678" s="1">
        <v>107.0</v>
      </c>
      <c r="C3678" s="1">
        <v>819939.0</v>
      </c>
      <c r="D3678" s="1" t="s">
        <v>593</v>
      </c>
      <c r="E3678" s="1" t="s">
        <v>232</v>
      </c>
      <c r="F3678" s="1" t="s">
        <v>7403</v>
      </c>
      <c r="G3678" s="1">
        <v>14580.0</v>
      </c>
      <c r="H3678" s="1">
        <v>252.0</v>
      </c>
      <c r="I3678" s="1" t="s">
        <v>16</v>
      </c>
      <c r="J3678" s="1">
        <v>850000.0</v>
      </c>
      <c r="K3678" s="1">
        <v>2003.0</v>
      </c>
      <c r="L3678" s="1">
        <v>7.2</v>
      </c>
      <c r="O3678" s="3"/>
      <c r="S3678" s="4"/>
    </row>
    <row r="3679" ht="14.25" customHeight="1">
      <c r="A3679" s="1" t="s">
        <v>7404</v>
      </c>
      <c r="B3679" s="1">
        <v>88.0</v>
      </c>
      <c r="C3679" s="1">
        <v>1243961.0</v>
      </c>
      <c r="D3679" s="1" t="s">
        <v>828</v>
      </c>
      <c r="E3679" s="1" t="s">
        <v>7405</v>
      </c>
      <c r="F3679" s="1" t="s">
        <v>7406</v>
      </c>
      <c r="G3679" s="1">
        <v>13421.0</v>
      </c>
      <c r="H3679" s="1">
        <v>34.0</v>
      </c>
      <c r="I3679" s="1" t="s">
        <v>16</v>
      </c>
      <c r="J3679" s="1">
        <v>850000.0</v>
      </c>
      <c r="K3679" s="1">
        <v>2012.0</v>
      </c>
      <c r="L3679" s="1">
        <v>6.0</v>
      </c>
      <c r="O3679" s="3"/>
      <c r="S3679" s="4"/>
    </row>
    <row r="3680" ht="14.25" customHeight="1">
      <c r="A3680" s="1" t="s">
        <v>7407</v>
      </c>
      <c r="B3680" s="1">
        <v>95.0</v>
      </c>
      <c r="C3680" s="1">
        <v>15278.0</v>
      </c>
      <c r="D3680" s="1" t="s">
        <v>7408</v>
      </c>
      <c r="E3680" s="1" t="s">
        <v>7409</v>
      </c>
      <c r="F3680" s="1" t="s">
        <v>7410</v>
      </c>
      <c r="G3680" s="1">
        <v>1742.0</v>
      </c>
      <c r="H3680" s="1">
        <v>158.0</v>
      </c>
      <c r="I3680" s="1" t="s">
        <v>16</v>
      </c>
      <c r="J3680" s="1">
        <v>825000.0</v>
      </c>
      <c r="K3680" s="1">
        <v>2002.0</v>
      </c>
      <c r="L3680" s="1">
        <v>5.6</v>
      </c>
      <c r="O3680" s="3"/>
      <c r="S3680" s="4"/>
    </row>
    <row r="3681" ht="14.25" customHeight="1">
      <c r="A3681" s="1" t="s">
        <v>7411</v>
      </c>
      <c r="B3681" s="1">
        <v>123.0</v>
      </c>
      <c r="C3681" s="1">
        <v>7098492.0</v>
      </c>
      <c r="D3681" s="1" t="s">
        <v>3192</v>
      </c>
      <c r="E3681" s="1" t="s">
        <v>7412</v>
      </c>
      <c r="F3681" s="1" t="s">
        <v>7413</v>
      </c>
      <c r="G3681" s="1">
        <v>151812.0</v>
      </c>
      <c r="H3681" s="1">
        <v>264.0</v>
      </c>
      <c r="I3681" s="1" t="s">
        <v>7414</v>
      </c>
      <c r="J3681" s="1">
        <v>500000.0</v>
      </c>
      <c r="K3681" s="1">
        <v>2011.0</v>
      </c>
      <c r="L3681" s="1">
        <v>8.4</v>
      </c>
      <c r="O3681" s="3"/>
      <c r="S3681" s="4"/>
    </row>
    <row r="3682" ht="14.25" customHeight="1">
      <c r="A3682" s="1" t="s">
        <v>6847</v>
      </c>
      <c r="B3682" s="1">
        <v>88.0</v>
      </c>
      <c r="C3682" s="1">
        <v>4771000.0</v>
      </c>
      <c r="D3682" s="1" t="s">
        <v>1059</v>
      </c>
      <c r="E3682" s="1" t="s">
        <v>5399</v>
      </c>
      <c r="F3682" s="1" t="s">
        <v>7415</v>
      </c>
      <c r="G3682" s="1">
        <v>26513.0</v>
      </c>
      <c r="H3682" s="1">
        <v>174.0</v>
      </c>
      <c r="I3682" s="1" t="s">
        <v>16</v>
      </c>
      <c r="J3682" s="1">
        <v>800000.0</v>
      </c>
      <c r="K3682" s="1">
        <v>1995.0</v>
      </c>
      <c r="L3682" s="1">
        <v>7.5</v>
      </c>
      <c r="O3682" s="3"/>
      <c r="S3682" s="4"/>
    </row>
    <row r="3683" ht="14.25" customHeight="1">
      <c r="A3683" s="1" t="s">
        <v>6903</v>
      </c>
      <c r="B3683" s="1">
        <v>114.0</v>
      </c>
      <c r="C3683" s="1">
        <v>1001437.0</v>
      </c>
      <c r="D3683" s="1" t="s">
        <v>92</v>
      </c>
      <c r="E3683" s="1" t="s">
        <v>7416</v>
      </c>
      <c r="F3683" s="1" t="s">
        <v>7417</v>
      </c>
      <c r="G3683" s="1">
        <v>2039.0</v>
      </c>
      <c r="H3683" s="1">
        <v>28.0</v>
      </c>
      <c r="I3683" s="1" t="s">
        <v>16</v>
      </c>
      <c r="J3683" s="1">
        <v>800000.0</v>
      </c>
      <c r="K3683" s="1">
        <v>1993.0</v>
      </c>
      <c r="L3683" s="1">
        <v>7.2</v>
      </c>
      <c r="O3683" s="3"/>
      <c r="S3683" s="4"/>
    </row>
    <row r="3684" ht="14.25" customHeight="1">
      <c r="A3684" s="1" t="s">
        <v>5616</v>
      </c>
      <c r="B3684" s="1">
        <v>88.0</v>
      </c>
      <c r="C3684" s="1">
        <v>2073984.0</v>
      </c>
      <c r="D3684" s="1" t="s">
        <v>92</v>
      </c>
      <c r="E3684" s="1" t="s">
        <v>7418</v>
      </c>
      <c r="F3684" s="1" t="s">
        <v>7419</v>
      </c>
      <c r="G3684" s="1">
        <v>4743.0</v>
      </c>
      <c r="H3684" s="1">
        <v>135.0</v>
      </c>
      <c r="I3684" s="1" t="s">
        <v>16</v>
      </c>
      <c r="J3684" s="1">
        <v>800000.0</v>
      </c>
      <c r="K3684" s="1">
        <v>2002.0</v>
      </c>
      <c r="L3684" s="1">
        <v>7.2</v>
      </c>
      <c r="O3684" s="3"/>
      <c r="S3684" s="4"/>
    </row>
    <row r="3685" ht="14.25" customHeight="1">
      <c r="A3685" s="1" t="s">
        <v>1773</v>
      </c>
      <c r="B3685" s="1">
        <v>104.0</v>
      </c>
      <c r="C3685" s="1">
        <v>144583.0</v>
      </c>
      <c r="D3685" s="1" t="s">
        <v>1654</v>
      </c>
      <c r="E3685" s="1" t="s">
        <v>6860</v>
      </c>
      <c r="F3685" s="1" t="s">
        <v>7420</v>
      </c>
      <c r="G3685" s="1">
        <v>2256.0</v>
      </c>
      <c r="H3685" s="1">
        <v>79.0</v>
      </c>
      <c r="I3685" s="1" t="s">
        <v>16</v>
      </c>
      <c r="J3685" s="1">
        <v>800000.0</v>
      </c>
      <c r="K3685" s="1">
        <v>1999.0</v>
      </c>
      <c r="L3685" s="1">
        <v>6.5</v>
      </c>
      <c r="O3685" s="3"/>
      <c r="S3685" s="4"/>
    </row>
    <row r="3686" ht="14.25" customHeight="1">
      <c r="A3686" s="1" t="s">
        <v>7421</v>
      </c>
      <c r="B3686" s="1">
        <v>93.0</v>
      </c>
      <c r="C3686" s="1">
        <v>35688.0</v>
      </c>
      <c r="D3686" s="1" t="s">
        <v>828</v>
      </c>
      <c r="E3686" s="1" t="s">
        <v>7421</v>
      </c>
      <c r="F3686" s="1" t="s">
        <v>7422</v>
      </c>
      <c r="G3686" s="1">
        <v>4167.0</v>
      </c>
      <c r="H3686" s="1">
        <v>72.0</v>
      </c>
      <c r="I3686" s="1" t="s">
        <v>16</v>
      </c>
      <c r="J3686" s="1">
        <v>600000.0</v>
      </c>
      <c r="K3686" s="1">
        <v>2014.0</v>
      </c>
      <c r="L3686" s="1">
        <v>5.1</v>
      </c>
      <c r="O3686" s="3"/>
      <c r="S3686" s="4"/>
    </row>
    <row r="3687" ht="14.25" customHeight="1">
      <c r="A3687" s="1" t="s">
        <v>2083</v>
      </c>
      <c r="B3687" s="1">
        <v>91.0</v>
      </c>
      <c r="C3687" s="1">
        <v>41709.0</v>
      </c>
      <c r="D3687" s="1" t="s">
        <v>3008</v>
      </c>
      <c r="E3687" s="1" t="s">
        <v>7423</v>
      </c>
      <c r="F3687" s="1" t="s">
        <v>7424</v>
      </c>
      <c r="G3687" s="1">
        <v>54601.0</v>
      </c>
      <c r="H3687" s="1">
        <v>200.0</v>
      </c>
      <c r="I3687" s="1" t="s">
        <v>6375</v>
      </c>
      <c r="J3687" s="1">
        <v>800000.0</v>
      </c>
      <c r="K3687" s="1">
        <v>2009.0</v>
      </c>
      <c r="L3687" s="1">
        <v>6.4</v>
      </c>
      <c r="O3687" s="3"/>
      <c r="S3687" s="4"/>
    </row>
    <row r="3688" ht="14.25" customHeight="1">
      <c r="A3688" s="1" t="s">
        <v>7425</v>
      </c>
      <c r="B3688" s="1">
        <v>90.0</v>
      </c>
      <c r="C3688" s="1">
        <v>1310270.0</v>
      </c>
      <c r="D3688" s="1" t="s">
        <v>7426</v>
      </c>
      <c r="E3688" s="1" t="s">
        <v>7427</v>
      </c>
      <c r="F3688" s="1" t="s">
        <v>7428</v>
      </c>
      <c r="G3688" s="1">
        <v>17725.0</v>
      </c>
      <c r="H3688" s="1">
        <v>157.0</v>
      </c>
      <c r="I3688" s="1" t="s">
        <v>16</v>
      </c>
      <c r="J3688" s="1">
        <v>780000.0</v>
      </c>
      <c r="K3688" s="1">
        <v>2003.0</v>
      </c>
      <c r="L3688" s="1">
        <v>6.8</v>
      </c>
      <c r="O3688" s="3"/>
      <c r="S3688" s="4"/>
    </row>
    <row r="3689" ht="14.25" customHeight="1">
      <c r="A3689" s="1" t="s">
        <v>602</v>
      </c>
      <c r="B3689" s="1">
        <v>112.0</v>
      </c>
      <c r="C3689" s="1">
        <v>1.15E8</v>
      </c>
      <c r="D3689" s="1" t="s">
        <v>3479</v>
      </c>
      <c r="E3689" s="1" t="s">
        <v>169</v>
      </c>
      <c r="F3689" s="1" t="s">
        <v>7429</v>
      </c>
      <c r="G3689" s="1">
        <v>63839.0</v>
      </c>
      <c r="H3689" s="1">
        <v>238.0</v>
      </c>
      <c r="I3689" s="1" t="s">
        <v>16</v>
      </c>
      <c r="J3689" s="1">
        <v>777000.0</v>
      </c>
      <c r="K3689" s="1">
        <v>1973.0</v>
      </c>
      <c r="L3689" s="1">
        <v>7.5</v>
      </c>
      <c r="O3689" s="3"/>
      <c r="S3689" s="4"/>
    </row>
    <row r="3690" ht="14.25" customHeight="1">
      <c r="A3690" s="1" t="s">
        <v>7430</v>
      </c>
      <c r="B3690" s="1">
        <v>86.0</v>
      </c>
      <c r="C3690" s="1">
        <v>5518918.0</v>
      </c>
      <c r="D3690" s="1" t="s">
        <v>7431</v>
      </c>
      <c r="E3690" s="1" t="s">
        <v>3259</v>
      </c>
      <c r="F3690" s="1" t="s">
        <v>7432</v>
      </c>
      <c r="G3690" s="1">
        <v>12160.0</v>
      </c>
      <c r="H3690" s="1">
        <v>73.0</v>
      </c>
      <c r="I3690" s="1" t="s">
        <v>16</v>
      </c>
      <c r="J3690" s="1">
        <v>750000.0</v>
      </c>
      <c r="K3690" s="1">
        <v>2007.0</v>
      </c>
      <c r="L3690" s="1">
        <v>6.9</v>
      </c>
      <c r="O3690" s="3"/>
      <c r="S3690" s="4"/>
    </row>
    <row r="3691" ht="14.25" customHeight="1">
      <c r="A3691" s="1" t="s">
        <v>102</v>
      </c>
      <c r="B3691" s="1">
        <v>86.0</v>
      </c>
      <c r="C3691" s="1">
        <v>4007792.0</v>
      </c>
      <c r="D3691" s="1" t="s">
        <v>593</v>
      </c>
      <c r="E3691" s="1" t="s">
        <v>3693</v>
      </c>
      <c r="F3691" s="1" t="s">
        <v>7433</v>
      </c>
      <c r="G3691" s="1">
        <v>101287.0</v>
      </c>
      <c r="H3691" s="1">
        <v>260.0</v>
      </c>
      <c r="I3691" s="1" t="s">
        <v>16</v>
      </c>
      <c r="J3691" s="1">
        <v>750000.0</v>
      </c>
      <c r="K3691" s="1">
        <v>2012.0</v>
      </c>
      <c r="L3691" s="1">
        <v>7.0</v>
      </c>
      <c r="O3691" s="3"/>
      <c r="S3691" s="4"/>
    </row>
    <row r="3692" ht="14.25" customHeight="1">
      <c r="A3692" s="1" t="s">
        <v>7434</v>
      </c>
      <c r="B3692" s="1">
        <v>95.0</v>
      </c>
      <c r="C3692" s="1">
        <v>26297.0</v>
      </c>
      <c r="D3692" s="1" t="s">
        <v>2707</v>
      </c>
      <c r="E3692" s="1" t="s">
        <v>6093</v>
      </c>
      <c r="F3692" s="1" t="s">
        <v>7435</v>
      </c>
      <c r="G3692" s="1">
        <v>25750.0</v>
      </c>
      <c r="H3692" s="1">
        <v>209.0</v>
      </c>
      <c r="I3692" s="1" t="s">
        <v>16</v>
      </c>
      <c r="J3692" s="1">
        <v>500000.0</v>
      </c>
      <c r="K3692" s="1">
        <v>2011.0</v>
      </c>
      <c r="L3692" s="1">
        <v>6.3</v>
      </c>
      <c r="O3692" s="3"/>
      <c r="S3692" s="4"/>
    </row>
    <row r="3693" ht="14.25" customHeight="1">
      <c r="A3693" s="1" t="s">
        <v>7365</v>
      </c>
      <c r="B3693" s="1">
        <v>101.0</v>
      </c>
      <c r="C3693" s="1">
        <v>77501.0</v>
      </c>
      <c r="D3693" s="1" t="s">
        <v>2551</v>
      </c>
      <c r="E3693" s="1" t="s">
        <v>7366</v>
      </c>
      <c r="F3693" s="1" t="s">
        <v>7436</v>
      </c>
      <c r="G3693" s="1">
        <v>27260.0</v>
      </c>
      <c r="H3693" s="1">
        <v>247.0</v>
      </c>
      <c r="I3693" s="1" t="s">
        <v>16</v>
      </c>
      <c r="J3693" s="1">
        <v>750000.0</v>
      </c>
      <c r="K3693" s="1">
        <v>2011.0</v>
      </c>
      <c r="L3693" s="1">
        <v>5.5</v>
      </c>
      <c r="O3693" s="3"/>
      <c r="S3693" s="4"/>
    </row>
    <row r="3694" ht="14.25" customHeight="1">
      <c r="A3694" s="1" t="s">
        <v>1526</v>
      </c>
      <c r="B3694" s="1">
        <v>89.0</v>
      </c>
      <c r="C3694" s="1">
        <v>4.2638165E7</v>
      </c>
      <c r="D3694" s="1" t="s">
        <v>886</v>
      </c>
      <c r="E3694" s="1" t="s">
        <v>249</v>
      </c>
      <c r="F3694" s="1" t="s">
        <v>4747</v>
      </c>
      <c r="G3694" s="1">
        <v>42183.0</v>
      </c>
      <c r="H3694" s="1">
        <v>230.0</v>
      </c>
      <c r="I3694" s="1" t="s">
        <v>16</v>
      </c>
      <c r="J3694" s="1">
        <v>1.6E7</v>
      </c>
      <c r="K3694" s="1">
        <v>2009.0</v>
      </c>
      <c r="L3694" s="1">
        <v>4.8</v>
      </c>
      <c r="O3694" s="3"/>
      <c r="S3694" s="4"/>
    </row>
    <row r="3695" ht="14.25" customHeight="1">
      <c r="A3695" s="1" t="s">
        <v>1006</v>
      </c>
      <c r="B3695" s="1">
        <v>88.0</v>
      </c>
      <c r="C3695" s="1">
        <v>47329.0</v>
      </c>
      <c r="D3695" s="1" t="s">
        <v>1391</v>
      </c>
      <c r="E3695" s="1" t="s">
        <v>7437</v>
      </c>
      <c r="F3695" s="1" t="s">
        <v>7438</v>
      </c>
      <c r="G3695" s="1">
        <v>1661.0</v>
      </c>
      <c r="H3695" s="1">
        <v>31.0</v>
      </c>
      <c r="I3695" s="1" t="s">
        <v>16</v>
      </c>
      <c r="J3695" s="1">
        <v>750000.0</v>
      </c>
      <c r="K3695" s="1">
        <v>2002.0</v>
      </c>
      <c r="L3695" s="1">
        <v>6.6</v>
      </c>
      <c r="O3695" s="3"/>
      <c r="S3695" s="4"/>
    </row>
    <row r="3696" ht="14.25" customHeight="1">
      <c r="A3696" s="1" t="s">
        <v>7439</v>
      </c>
      <c r="B3696" s="1">
        <v>99.0</v>
      </c>
      <c r="C3696" s="1">
        <v>18378.0</v>
      </c>
      <c r="D3696" s="1" t="s">
        <v>2646</v>
      </c>
      <c r="E3696" s="1" t="s">
        <v>5294</v>
      </c>
      <c r="F3696" s="1" t="s">
        <v>7440</v>
      </c>
      <c r="G3696" s="1">
        <v>9376.0</v>
      </c>
      <c r="H3696" s="1">
        <v>74.0</v>
      </c>
      <c r="I3696" s="1" t="s">
        <v>16</v>
      </c>
      <c r="J3696" s="1">
        <v>900000.0</v>
      </c>
      <c r="K3696" s="1">
        <v>2008.0</v>
      </c>
      <c r="L3696" s="1">
        <v>5.2</v>
      </c>
      <c r="O3696" s="3"/>
      <c r="S3696" s="4"/>
    </row>
    <row r="3697" ht="14.25" customHeight="1">
      <c r="A3697" s="1" t="s">
        <v>5991</v>
      </c>
      <c r="B3697" s="1">
        <v>170.0</v>
      </c>
      <c r="C3697" s="1">
        <v>7830611.0</v>
      </c>
      <c r="D3697" s="1" t="s">
        <v>7441</v>
      </c>
      <c r="E3697" s="1" t="s">
        <v>7442</v>
      </c>
      <c r="F3697" s="1" t="s">
        <v>7443</v>
      </c>
      <c r="G3697" s="1">
        <v>18980.0</v>
      </c>
      <c r="H3697" s="1">
        <v>74.0</v>
      </c>
      <c r="I3697" s="1" t="s">
        <v>16</v>
      </c>
      <c r="J3697" s="1">
        <v>700000.0</v>
      </c>
      <c r="K3697" s="1">
        <v>1994.0</v>
      </c>
      <c r="L3697" s="1">
        <v>8.3</v>
      </c>
      <c r="O3697" s="3"/>
      <c r="S3697" s="4"/>
    </row>
    <row r="3698" ht="14.25" customHeight="1">
      <c r="A3698" s="1" t="s">
        <v>6508</v>
      </c>
      <c r="B3698" s="1">
        <v>97.0</v>
      </c>
      <c r="C3698" s="1">
        <v>1141829.0</v>
      </c>
      <c r="D3698" s="1" t="s">
        <v>811</v>
      </c>
      <c r="E3698" s="1" t="s">
        <v>7444</v>
      </c>
      <c r="F3698" s="1" t="s">
        <v>7445</v>
      </c>
      <c r="G3698" s="1">
        <v>8509.0</v>
      </c>
      <c r="H3698" s="1">
        <v>109.0</v>
      </c>
      <c r="I3698" s="1" t="s">
        <v>16</v>
      </c>
      <c r="J3698" s="1">
        <v>700000.0</v>
      </c>
      <c r="K3698" s="1">
        <v>2001.0</v>
      </c>
      <c r="L3698" s="1">
        <v>7.2</v>
      </c>
      <c r="O3698" s="3"/>
      <c r="S3698" s="4"/>
    </row>
    <row r="3699" ht="14.25" customHeight="1">
      <c r="A3699" s="1" t="s">
        <v>73</v>
      </c>
      <c r="B3699" s="1">
        <v>201.0</v>
      </c>
      <c r="C3699" s="1">
        <v>2.1805126E8</v>
      </c>
      <c r="D3699" s="1" t="s">
        <v>89</v>
      </c>
      <c r="E3699" s="1" t="s">
        <v>90</v>
      </c>
      <c r="F3699" s="1" t="s">
        <v>91</v>
      </c>
      <c r="G3699" s="1">
        <v>316027.0</v>
      </c>
      <c r="H3699" s="1">
        <v>2618.0</v>
      </c>
      <c r="I3699" s="1" t="s">
        <v>16</v>
      </c>
      <c r="J3699" s="1">
        <v>2.07E8</v>
      </c>
      <c r="K3699" s="1">
        <v>2005.0</v>
      </c>
      <c r="L3699" s="1">
        <v>7.2</v>
      </c>
      <c r="O3699" s="3"/>
      <c r="S3699" s="4"/>
    </row>
    <row r="3700" ht="14.25" customHeight="1">
      <c r="A3700" s="1" t="s">
        <v>2066</v>
      </c>
      <c r="B3700" s="1">
        <v>108.0</v>
      </c>
      <c r="C3700" s="1">
        <v>3.2048809E7</v>
      </c>
      <c r="D3700" s="1" t="s">
        <v>2551</v>
      </c>
      <c r="E3700" s="1" t="s">
        <v>2965</v>
      </c>
      <c r="F3700" s="1" t="s">
        <v>2966</v>
      </c>
      <c r="G3700" s="1">
        <v>94463.0</v>
      </c>
      <c r="H3700" s="1">
        <v>576.0</v>
      </c>
      <c r="I3700" s="1" t="s">
        <v>16</v>
      </c>
      <c r="J3700" s="1">
        <v>3.0E7</v>
      </c>
      <c r="K3700" s="1">
        <v>2005.0</v>
      </c>
      <c r="L3700" s="1">
        <v>5.3</v>
      </c>
      <c r="O3700" s="3"/>
      <c r="S3700" s="4"/>
    </row>
    <row r="3701" ht="14.25" customHeight="1">
      <c r="A3701" s="1" t="s">
        <v>7446</v>
      </c>
      <c r="B3701" s="1">
        <v>106.0</v>
      </c>
      <c r="C3701" s="1">
        <v>2694973.0</v>
      </c>
      <c r="D3701" s="1" t="s">
        <v>1391</v>
      </c>
      <c r="E3701" s="1" t="s">
        <v>1717</v>
      </c>
      <c r="F3701" s="1" t="s">
        <v>7447</v>
      </c>
      <c r="G3701" s="1">
        <v>70885.0</v>
      </c>
      <c r="H3701" s="1">
        <v>189.0</v>
      </c>
      <c r="I3701" s="1" t="s">
        <v>16</v>
      </c>
      <c r="J3701" s="1">
        <v>700000.0</v>
      </c>
      <c r="K3701" s="1">
        <v>2006.0</v>
      </c>
      <c r="L3701" s="1">
        <v>7.2</v>
      </c>
      <c r="O3701" s="3"/>
      <c r="S3701" s="4"/>
    </row>
    <row r="3702" ht="14.25" customHeight="1">
      <c r="A3702" s="1" t="s">
        <v>7448</v>
      </c>
      <c r="B3702" s="1">
        <v>107.0</v>
      </c>
      <c r="C3702" s="1">
        <v>10508.0</v>
      </c>
      <c r="D3702" s="1" t="s">
        <v>1391</v>
      </c>
      <c r="E3702" s="1" t="s">
        <v>7449</v>
      </c>
      <c r="F3702" s="1" t="s">
        <v>7450</v>
      </c>
      <c r="G3702" s="1">
        <v>103.0</v>
      </c>
      <c r="H3702" s="1">
        <v>6.0</v>
      </c>
      <c r="I3702" s="1" t="s">
        <v>16</v>
      </c>
      <c r="J3702" s="1">
        <v>700000.0</v>
      </c>
      <c r="K3702" s="1">
        <v>1998.0</v>
      </c>
      <c r="L3702" s="1">
        <v>6.5</v>
      </c>
      <c r="O3702" s="3"/>
      <c r="S3702" s="4"/>
    </row>
    <row r="3703" ht="14.25" customHeight="1">
      <c r="A3703" s="1" t="s">
        <v>7451</v>
      </c>
      <c r="B3703" s="1">
        <v>84.0</v>
      </c>
      <c r="C3703" s="1">
        <v>2301777.0</v>
      </c>
      <c r="D3703" s="1" t="s">
        <v>828</v>
      </c>
      <c r="E3703" s="1" t="s">
        <v>7452</v>
      </c>
      <c r="F3703" s="1" t="s">
        <v>7453</v>
      </c>
      <c r="G3703" s="1">
        <v>819.0</v>
      </c>
      <c r="H3703" s="1">
        <v>36.0</v>
      </c>
      <c r="I3703" s="1" t="s">
        <v>16</v>
      </c>
      <c r="J3703" s="1">
        <v>650000.0</v>
      </c>
      <c r="K3703" s="1">
        <v>1997.0</v>
      </c>
      <c r="L3703" s="1">
        <v>6.5</v>
      </c>
      <c r="O3703" s="3"/>
      <c r="S3703" s="4"/>
    </row>
    <row r="3704" ht="14.25" customHeight="1">
      <c r="A3704" s="1" t="s">
        <v>7454</v>
      </c>
      <c r="B3704" s="1">
        <v>81.0</v>
      </c>
      <c r="C3704" s="1">
        <v>3000000.0</v>
      </c>
      <c r="D3704" s="1" t="s">
        <v>4350</v>
      </c>
      <c r="E3704" s="1" t="s">
        <v>7455</v>
      </c>
      <c r="F3704" s="1" t="s">
        <v>7456</v>
      </c>
      <c r="G3704" s="1">
        <v>13269.0</v>
      </c>
      <c r="H3704" s="1">
        <v>98.0</v>
      </c>
      <c r="I3704" s="1" t="s">
        <v>16</v>
      </c>
      <c r="J3704" s="1">
        <v>609000.0</v>
      </c>
      <c r="K3704" s="1">
        <v>1935.0</v>
      </c>
      <c r="L3704" s="1">
        <v>7.8</v>
      </c>
      <c r="O3704" s="3"/>
      <c r="S3704" s="4"/>
    </row>
    <row r="3705" ht="14.25" customHeight="1">
      <c r="A3705" s="1" t="s">
        <v>7457</v>
      </c>
      <c r="B3705" s="1">
        <v>81.0</v>
      </c>
      <c r="C3705" s="1">
        <v>1.40530114E8</v>
      </c>
      <c r="D3705" s="1" t="s">
        <v>2551</v>
      </c>
      <c r="E3705" s="1" t="s">
        <v>7458</v>
      </c>
      <c r="F3705" s="1" t="s">
        <v>7459</v>
      </c>
      <c r="G3705" s="1">
        <v>186786.0</v>
      </c>
      <c r="H3705" s="1">
        <v>3400.0</v>
      </c>
      <c r="I3705" s="1" t="s">
        <v>16</v>
      </c>
      <c r="J3705" s="1">
        <v>60000.0</v>
      </c>
      <c r="K3705" s="1">
        <v>1999.0</v>
      </c>
      <c r="L3705" s="1">
        <v>6.4</v>
      </c>
      <c r="O3705" s="3"/>
      <c r="S3705" s="4"/>
    </row>
    <row r="3706" ht="14.25" customHeight="1">
      <c r="A3706" s="1" t="s">
        <v>7460</v>
      </c>
      <c r="B3706" s="1">
        <v>215.0</v>
      </c>
      <c r="C3706" s="1">
        <v>1.33E7</v>
      </c>
      <c r="D3706" s="1" t="s">
        <v>7461</v>
      </c>
      <c r="E3706" s="1" t="s">
        <v>7462</v>
      </c>
      <c r="F3706" s="1" t="s">
        <v>7463</v>
      </c>
      <c r="G3706" s="1">
        <v>12631.0</v>
      </c>
      <c r="H3706" s="1">
        <v>63.0</v>
      </c>
      <c r="I3706" s="1" t="s">
        <v>16</v>
      </c>
      <c r="J3706" s="1">
        <v>600000.0</v>
      </c>
      <c r="K3706" s="1">
        <v>1970.0</v>
      </c>
      <c r="L3706" s="1">
        <v>8.1</v>
      </c>
      <c r="O3706" s="3"/>
      <c r="S3706" s="4"/>
    </row>
    <row r="3707" ht="14.25" customHeight="1">
      <c r="A3707" s="1" t="s">
        <v>6979</v>
      </c>
      <c r="B3707" s="1">
        <v>106.0</v>
      </c>
      <c r="C3707" s="1">
        <v>171988.0</v>
      </c>
      <c r="D3707" s="1" t="s">
        <v>5713</v>
      </c>
      <c r="E3707" s="1" t="s">
        <v>7464</v>
      </c>
      <c r="F3707" s="1" t="s">
        <v>7465</v>
      </c>
      <c r="G3707" s="1">
        <v>448.0</v>
      </c>
      <c r="H3707" s="1">
        <v>16.0</v>
      </c>
      <c r="I3707" s="1" t="s">
        <v>16</v>
      </c>
      <c r="J3707" s="1">
        <v>600000.0</v>
      </c>
      <c r="K3707" s="1">
        <v>2000.0</v>
      </c>
      <c r="L3707" s="1">
        <v>5.6</v>
      </c>
      <c r="O3707" s="3"/>
      <c r="S3707" s="4"/>
    </row>
    <row r="3708" ht="14.25" customHeight="1">
      <c r="A3708" s="1" t="s">
        <v>7466</v>
      </c>
      <c r="B3708" s="1">
        <v>90.0</v>
      </c>
      <c r="C3708" s="1">
        <v>13493.0</v>
      </c>
      <c r="D3708" s="1" t="s">
        <v>1391</v>
      </c>
      <c r="E3708" s="1" t="s">
        <v>964</v>
      </c>
      <c r="F3708" s="1" t="s">
        <v>7467</v>
      </c>
      <c r="G3708" s="1">
        <v>531.0</v>
      </c>
      <c r="H3708" s="1">
        <v>19.0</v>
      </c>
      <c r="I3708" s="1" t="s">
        <v>16</v>
      </c>
      <c r="J3708" s="1">
        <v>600000.0</v>
      </c>
      <c r="K3708" s="1">
        <v>1998.0</v>
      </c>
      <c r="L3708" s="1">
        <v>6.6</v>
      </c>
      <c r="O3708" s="3"/>
      <c r="S3708" s="4"/>
    </row>
    <row r="3709" ht="14.25" customHeight="1">
      <c r="A3709" s="1" t="s">
        <v>1962</v>
      </c>
      <c r="B3709" s="1">
        <v>87.0</v>
      </c>
      <c r="C3709" s="1">
        <v>515005.0</v>
      </c>
      <c r="D3709" s="1" t="s">
        <v>2363</v>
      </c>
      <c r="E3709" s="1" t="s">
        <v>7468</v>
      </c>
      <c r="F3709" s="1" t="s">
        <v>7469</v>
      </c>
      <c r="G3709" s="1">
        <v>31429.0</v>
      </c>
      <c r="H3709" s="1">
        <v>219.0</v>
      </c>
      <c r="I3709" s="1" t="s">
        <v>16</v>
      </c>
      <c r="J3709" s="1">
        <v>560000.0</v>
      </c>
      <c r="K3709" s="1">
        <v>1964.0</v>
      </c>
      <c r="L3709" s="1">
        <v>7.7</v>
      </c>
      <c r="O3709" s="3"/>
      <c r="S3709" s="4"/>
    </row>
    <row r="3710" ht="14.25" customHeight="1">
      <c r="A3710" s="1" t="s">
        <v>6570</v>
      </c>
      <c r="B3710" s="1">
        <v>122.0</v>
      </c>
      <c r="C3710" s="1">
        <v>3.3451479E7</v>
      </c>
      <c r="D3710" s="1" t="s">
        <v>92</v>
      </c>
      <c r="E3710" s="1" t="s">
        <v>7470</v>
      </c>
      <c r="F3710" s="1" t="s">
        <v>7471</v>
      </c>
      <c r="G3710" s="1">
        <v>17068.0</v>
      </c>
      <c r="H3710" s="1">
        <v>215.0</v>
      </c>
      <c r="I3710" s="1" t="s">
        <v>16</v>
      </c>
      <c r="J3710" s="1">
        <v>500000.0</v>
      </c>
      <c r="K3710" s="1">
        <v>2008.0</v>
      </c>
      <c r="L3710" s="1">
        <v>6.5</v>
      </c>
      <c r="O3710" s="3"/>
      <c r="S3710" s="4"/>
    </row>
    <row r="3711" ht="14.25" customHeight="1">
      <c r="A3711" s="1" t="s">
        <v>7472</v>
      </c>
      <c r="B3711" s="1">
        <v>86.0</v>
      </c>
      <c r="C3711" s="1">
        <v>3.95526E7</v>
      </c>
      <c r="D3711" s="1" t="s">
        <v>7473</v>
      </c>
      <c r="E3711" s="1" t="s">
        <v>7474</v>
      </c>
      <c r="F3711" s="1" t="s">
        <v>7475</v>
      </c>
      <c r="G3711" s="1">
        <v>3411.0</v>
      </c>
      <c r="H3711" s="1">
        <v>36.0</v>
      </c>
      <c r="I3711" s="1" t="s">
        <v>16</v>
      </c>
      <c r="J3711" s="1">
        <v>500000.0</v>
      </c>
      <c r="K3711" s="1">
        <v>1974.0</v>
      </c>
      <c r="L3711" s="1">
        <v>6.1</v>
      </c>
      <c r="O3711" s="3"/>
      <c r="S3711" s="4"/>
    </row>
    <row r="3712" ht="14.25" customHeight="1">
      <c r="A3712" s="1" t="s">
        <v>7006</v>
      </c>
      <c r="B3712" s="1">
        <v>79.0</v>
      </c>
      <c r="C3712" s="1">
        <v>3.0500882E7</v>
      </c>
      <c r="D3712" s="1" t="s">
        <v>7476</v>
      </c>
      <c r="E3712" s="1" t="s">
        <v>7477</v>
      </c>
      <c r="F3712" s="1" t="s">
        <v>7478</v>
      </c>
      <c r="G3712" s="1">
        <v>42256.0</v>
      </c>
      <c r="H3712" s="1">
        <v>916.0</v>
      </c>
      <c r="I3712" s="1" t="s">
        <v>16</v>
      </c>
      <c r="J3712" s="1">
        <v>500000.0</v>
      </c>
      <c r="K3712" s="1">
        <v>2003.0</v>
      </c>
      <c r="L3712" s="1">
        <v>5.7</v>
      </c>
      <c r="O3712" s="3"/>
      <c r="S3712" s="4"/>
    </row>
    <row r="3713" ht="14.25" customHeight="1">
      <c r="A3713" s="1" t="s">
        <v>7479</v>
      </c>
      <c r="B3713" s="1">
        <v>97.0</v>
      </c>
      <c r="C3713" s="1">
        <v>1.7E7</v>
      </c>
      <c r="D3713" s="1" t="s">
        <v>3966</v>
      </c>
      <c r="E3713" s="1" t="s">
        <v>7480</v>
      </c>
      <c r="F3713" s="1" t="s">
        <v>7481</v>
      </c>
      <c r="G3713" s="1">
        <v>3274.0</v>
      </c>
      <c r="H3713" s="1">
        <v>84.0</v>
      </c>
      <c r="I3713" s="1" t="s">
        <v>16</v>
      </c>
      <c r="J3713" s="1">
        <v>500000.0</v>
      </c>
      <c r="K3713" s="1">
        <v>1977.0</v>
      </c>
      <c r="L3713" s="1">
        <v>5.9</v>
      </c>
      <c r="O3713" s="3"/>
      <c r="S3713" s="4"/>
    </row>
    <row r="3714" ht="14.25" customHeight="1">
      <c r="A3714" s="1" t="s">
        <v>4183</v>
      </c>
      <c r="B3714" s="1">
        <v>89.0</v>
      </c>
      <c r="C3714" s="1">
        <v>5739376.0</v>
      </c>
      <c r="D3714" s="1" t="s">
        <v>1059</v>
      </c>
      <c r="E3714" s="1" t="s">
        <v>64</v>
      </c>
      <c r="F3714" s="1" t="s">
        <v>7482</v>
      </c>
      <c r="G3714" s="1">
        <v>58260.0</v>
      </c>
      <c r="H3714" s="1">
        <v>286.0</v>
      </c>
      <c r="I3714" s="1" t="s">
        <v>16</v>
      </c>
      <c r="J3714" s="1">
        <v>500000.0</v>
      </c>
      <c r="K3714" s="1">
        <v>2003.0</v>
      </c>
      <c r="L3714" s="1">
        <v>7.7</v>
      </c>
      <c r="O3714" s="3"/>
      <c r="S3714" s="4"/>
    </row>
    <row r="3715" ht="14.25" customHeight="1">
      <c r="A3715" s="1" t="s">
        <v>7483</v>
      </c>
      <c r="B3715" s="1">
        <v>120.0</v>
      </c>
      <c r="C3715" s="1">
        <v>3773863.0</v>
      </c>
      <c r="D3715" s="1" t="s">
        <v>1391</v>
      </c>
      <c r="E3715" s="1" t="s">
        <v>7484</v>
      </c>
      <c r="F3715" s="1" t="s">
        <v>7485</v>
      </c>
      <c r="G3715" s="1">
        <v>4583.0</v>
      </c>
      <c r="H3715" s="1">
        <v>55.0</v>
      </c>
      <c r="I3715" s="1" t="s">
        <v>16</v>
      </c>
      <c r="J3715" s="1">
        <v>1000000.0</v>
      </c>
      <c r="K3715" s="1">
        <v>2009.0</v>
      </c>
      <c r="L3715" s="1">
        <v>7.1</v>
      </c>
      <c r="O3715" s="3"/>
      <c r="S3715" s="4"/>
    </row>
    <row r="3716" ht="14.25" customHeight="1">
      <c r="A3716" s="1" t="s">
        <v>7486</v>
      </c>
      <c r="B3716" s="1">
        <v>108.0</v>
      </c>
      <c r="C3716" s="1">
        <v>2047570.0</v>
      </c>
      <c r="D3716" s="1" t="s">
        <v>7487</v>
      </c>
      <c r="E3716" s="1" t="s">
        <v>7488</v>
      </c>
      <c r="F3716" s="1" t="s">
        <v>7489</v>
      </c>
      <c r="G3716" s="1">
        <v>6790.0</v>
      </c>
      <c r="H3716" s="1">
        <v>80.0</v>
      </c>
      <c r="I3716" s="1" t="s">
        <v>16</v>
      </c>
      <c r="J3716" s="1">
        <v>500000.0</v>
      </c>
      <c r="K3716" s="1">
        <v>1999.0</v>
      </c>
      <c r="L3716" s="1">
        <v>7.6</v>
      </c>
      <c r="O3716" s="3"/>
      <c r="S3716" s="4"/>
    </row>
    <row r="3717" ht="14.25" customHeight="1">
      <c r="A3717" s="1" t="s">
        <v>7490</v>
      </c>
      <c r="B3717" s="1">
        <v>102.0</v>
      </c>
      <c r="C3717" s="1">
        <v>1250798.0</v>
      </c>
      <c r="D3717" s="1" t="s">
        <v>593</v>
      </c>
      <c r="E3717" s="1" t="s">
        <v>7491</v>
      </c>
      <c r="F3717" s="1" t="s">
        <v>7492</v>
      </c>
      <c r="G3717" s="1">
        <v>1099.0</v>
      </c>
      <c r="H3717" s="1">
        <v>53.0</v>
      </c>
      <c r="I3717" s="1" t="s">
        <v>16</v>
      </c>
      <c r="J3717" s="1">
        <v>500000.0</v>
      </c>
      <c r="K3717" s="1">
        <v>2002.0</v>
      </c>
      <c r="L3717" s="1">
        <v>6.4</v>
      </c>
      <c r="O3717" s="3"/>
      <c r="S3717" s="4"/>
    </row>
    <row r="3718" ht="14.25" customHeight="1">
      <c r="A3718" s="1" t="s">
        <v>7493</v>
      </c>
      <c r="B3718" s="1">
        <v>83.0</v>
      </c>
      <c r="C3718" s="1">
        <v>1127331.0</v>
      </c>
      <c r="D3718" s="1" t="s">
        <v>1391</v>
      </c>
      <c r="E3718" s="1" t="s">
        <v>7494</v>
      </c>
      <c r="F3718" s="1" t="s">
        <v>7495</v>
      </c>
      <c r="G3718" s="1">
        <v>7559.0</v>
      </c>
      <c r="H3718" s="1">
        <v>77.0</v>
      </c>
      <c r="I3718" s="1" t="s">
        <v>4300</v>
      </c>
      <c r="J3718" s="1">
        <v>46000.0</v>
      </c>
      <c r="K3718" s="1">
        <v>2003.0</v>
      </c>
      <c r="L3718" s="1">
        <v>7.4</v>
      </c>
      <c r="O3718" s="3"/>
      <c r="S3718" s="4"/>
    </row>
    <row r="3719" ht="14.25" customHeight="1">
      <c r="A3719" s="1" t="s">
        <v>7496</v>
      </c>
      <c r="B3719" s="1">
        <v>93.0</v>
      </c>
      <c r="C3719" s="1">
        <v>906666.0</v>
      </c>
      <c r="D3719" s="1" t="s">
        <v>3521</v>
      </c>
      <c r="E3719" s="1" t="s">
        <v>7497</v>
      </c>
      <c r="F3719" s="1" t="s">
        <v>7498</v>
      </c>
      <c r="G3719" s="1">
        <v>154.0</v>
      </c>
      <c r="H3719" s="1">
        <v>5.0</v>
      </c>
      <c r="I3719" s="1" t="s">
        <v>16</v>
      </c>
      <c r="J3719" s="1">
        <v>500000.0</v>
      </c>
      <c r="K3719" s="1">
        <v>2011.0</v>
      </c>
      <c r="L3719" s="1">
        <v>6.8</v>
      </c>
      <c r="O3719" s="3"/>
      <c r="S3719" s="4"/>
    </row>
    <row r="3720" ht="14.25" customHeight="1">
      <c r="A3720" s="1" t="s">
        <v>7499</v>
      </c>
      <c r="B3720" s="1">
        <v>86.0</v>
      </c>
      <c r="C3720" s="1">
        <v>1114943.0</v>
      </c>
      <c r="D3720" s="1" t="s">
        <v>2466</v>
      </c>
      <c r="E3720" s="1" t="s">
        <v>7500</v>
      </c>
      <c r="F3720" s="1" t="s">
        <v>7501</v>
      </c>
      <c r="G3720" s="1">
        <v>3562.0</v>
      </c>
      <c r="H3720" s="1">
        <v>74.0</v>
      </c>
      <c r="I3720" s="1" t="s">
        <v>16</v>
      </c>
      <c r="J3720" s="1">
        <v>500000.0</v>
      </c>
      <c r="K3720" s="1">
        <v>2000.0</v>
      </c>
      <c r="L3720" s="1">
        <v>6.5</v>
      </c>
      <c r="O3720" s="3"/>
      <c r="S3720" s="4"/>
    </row>
    <row r="3721" ht="14.25" customHeight="1">
      <c r="A3721" s="1" t="s">
        <v>7490</v>
      </c>
      <c r="B3721" s="1">
        <v>101.0</v>
      </c>
      <c r="C3721" s="1">
        <v>1111615.0</v>
      </c>
      <c r="D3721" s="1" t="s">
        <v>5390</v>
      </c>
      <c r="E3721" s="1" t="s">
        <v>7491</v>
      </c>
      <c r="F3721" s="1" t="s">
        <v>7502</v>
      </c>
      <c r="G3721" s="1">
        <v>651.0</v>
      </c>
      <c r="H3721" s="1">
        <v>34.0</v>
      </c>
      <c r="I3721" s="1" t="s">
        <v>16</v>
      </c>
      <c r="J3721" s="1">
        <v>500000.0</v>
      </c>
      <c r="K3721" s="1">
        <v>2003.0</v>
      </c>
      <c r="L3721" s="1">
        <v>6.0</v>
      </c>
      <c r="O3721" s="3"/>
      <c r="S3721" s="4"/>
    </row>
    <row r="3722" ht="14.25" customHeight="1">
      <c r="A3722" s="1" t="s">
        <v>5230</v>
      </c>
      <c r="B3722" s="1">
        <v>111.0</v>
      </c>
      <c r="C3722" s="1">
        <v>985341.0</v>
      </c>
      <c r="D3722" s="1" t="s">
        <v>1391</v>
      </c>
      <c r="E3722" s="1" t="s">
        <v>7503</v>
      </c>
      <c r="F3722" s="1" t="s">
        <v>7504</v>
      </c>
      <c r="G3722" s="1">
        <v>3479.0</v>
      </c>
      <c r="H3722" s="1">
        <v>87.0</v>
      </c>
      <c r="I3722" s="1" t="s">
        <v>16</v>
      </c>
      <c r="J3722" s="1">
        <v>500000.0</v>
      </c>
      <c r="K3722" s="1">
        <v>1999.0</v>
      </c>
      <c r="L3722" s="1">
        <v>7.3</v>
      </c>
      <c r="O3722" s="3"/>
      <c r="S3722" s="4"/>
    </row>
    <row r="3723" ht="14.25" customHeight="1">
      <c r="A3723" s="1" t="s">
        <v>7505</v>
      </c>
      <c r="B3723" s="1">
        <v>90.0</v>
      </c>
      <c r="C3723" s="1">
        <v>603943.0</v>
      </c>
      <c r="D3723" s="1" t="s">
        <v>811</v>
      </c>
      <c r="E3723" s="1" t="s">
        <v>1343</v>
      </c>
      <c r="F3723" s="1" t="s">
        <v>7506</v>
      </c>
      <c r="G3723" s="1">
        <v>26407.0</v>
      </c>
      <c r="H3723" s="1">
        <v>154.0</v>
      </c>
      <c r="I3723" s="1" t="s">
        <v>16</v>
      </c>
      <c r="J3723" s="1">
        <v>500000.0</v>
      </c>
      <c r="K3723" s="1">
        <v>2004.0</v>
      </c>
      <c r="L3723" s="1">
        <v>7.3</v>
      </c>
      <c r="O3723" s="3"/>
      <c r="S3723" s="4"/>
    </row>
    <row r="3724" ht="14.25" customHeight="1">
      <c r="A3724" s="1" t="s">
        <v>6524</v>
      </c>
      <c r="B3724" s="1">
        <v>86.0</v>
      </c>
      <c r="C3724" s="1">
        <v>334041.0</v>
      </c>
      <c r="D3724" s="1" t="s">
        <v>5447</v>
      </c>
      <c r="E3724" s="1" t="s">
        <v>7507</v>
      </c>
      <c r="F3724" s="1" t="s">
        <v>7508</v>
      </c>
      <c r="G3724" s="1">
        <v>1038.0</v>
      </c>
      <c r="H3724" s="1">
        <v>21.0</v>
      </c>
      <c r="I3724" s="1" t="s">
        <v>16</v>
      </c>
      <c r="J3724" s="1">
        <v>500000.0</v>
      </c>
      <c r="K3724" s="1">
        <v>1997.0</v>
      </c>
      <c r="L3724" s="1">
        <v>6.5</v>
      </c>
      <c r="O3724" s="3"/>
      <c r="S3724" s="4"/>
    </row>
    <row r="3725" ht="14.25" customHeight="1">
      <c r="A3725" s="1" t="s">
        <v>7509</v>
      </c>
      <c r="B3725" s="1">
        <v>98.0</v>
      </c>
      <c r="C3725" s="1">
        <v>295468.0</v>
      </c>
      <c r="D3725" s="1" t="s">
        <v>699</v>
      </c>
      <c r="E3725" s="1" t="s">
        <v>64</v>
      </c>
      <c r="F3725" s="1" t="s">
        <v>7510</v>
      </c>
      <c r="G3725" s="1">
        <v>709.0</v>
      </c>
      <c r="H3725" s="1">
        <v>34.0</v>
      </c>
      <c r="I3725" s="1" t="s">
        <v>16</v>
      </c>
      <c r="J3725" s="1">
        <v>500000.0</v>
      </c>
      <c r="K3725" s="1">
        <v>2001.0</v>
      </c>
      <c r="L3725" s="1">
        <v>6.0</v>
      </c>
      <c r="O3725" s="3"/>
      <c r="S3725" s="4"/>
    </row>
    <row r="3726" ht="14.25" customHeight="1">
      <c r="A3726" s="1" t="s">
        <v>7511</v>
      </c>
      <c r="B3726" s="1">
        <v>91.0</v>
      </c>
      <c r="C3726" s="1">
        <v>243347.0</v>
      </c>
      <c r="D3726" s="1" t="s">
        <v>901</v>
      </c>
      <c r="E3726" s="1" t="s">
        <v>7512</v>
      </c>
      <c r="F3726" s="1" t="s">
        <v>7513</v>
      </c>
      <c r="G3726" s="1">
        <v>553.0</v>
      </c>
      <c r="H3726" s="1">
        <v>24.0</v>
      </c>
      <c r="I3726" s="1" t="s">
        <v>16</v>
      </c>
      <c r="J3726" s="1">
        <v>500000.0</v>
      </c>
      <c r="K3726" s="1">
        <v>2002.0</v>
      </c>
      <c r="L3726" s="1">
        <v>5.3</v>
      </c>
      <c r="O3726" s="3"/>
      <c r="S3726" s="4"/>
    </row>
    <row r="3727" ht="14.25" customHeight="1">
      <c r="A3727" s="1" t="s">
        <v>119</v>
      </c>
      <c r="B3727" s="1">
        <v>91.0</v>
      </c>
      <c r="C3727" s="1">
        <v>154077.0</v>
      </c>
      <c r="D3727" s="1" t="s">
        <v>1059</v>
      </c>
      <c r="E3727" s="1" t="s">
        <v>7314</v>
      </c>
      <c r="F3727" s="1" t="s">
        <v>7514</v>
      </c>
      <c r="G3727" s="1">
        <v>6884.0</v>
      </c>
      <c r="H3727" s="1">
        <v>53.0</v>
      </c>
      <c r="I3727" s="1" t="s">
        <v>16</v>
      </c>
      <c r="J3727" s="1">
        <v>500000.0</v>
      </c>
      <c r="K3727" s="1">
        <v>2005.0</v>
      </c>
      <c r="L3727" s="1">
        <v>6.6</v>
      </c>
      <c r="O3727" s="3"/>
      <c r="S3727" s="4"/>
    </row>
    <row r="3728" ht="14.25" customHeight="1">
      <c r="A3728" s="1" t="s">
        <v>7515</v>
      </c>
      <c r="B3728" s="1">
        <v>88.0</v>
      </c>
      <c r="C3728" s="1">
        <v>151389.0</v>
      </c>
      <c r="D3728" s="1" t="s">
        <v>3521</v>
      </c>
      <c r="E3728" s="1" t="s">
        <v>805</v>
      </c>
      <c r="F3728" s="1" t="s">
        <v>7516</v>
      </c>
      <c r="G3728" s="1">
        <v>774.0</v>
      </c>
      <c r="H3728" s="1">
        <v>7.0</v>
      </c>
      <c r="I3728" s="1" t="s">
        <v>16</v>
      </c>
      <c r="J3728" s="1">
        <v>500000.0</v>
      </c>
      <c r="K3728" s="1">
        <v>2012.0</v>
      </c>
      <c r="L3728" s="1">
        <v>7.1</v>
      </c>
      <c r="O3728" s="3"/>
      <c r="S3728" s="4"/>
    </row>
    <row r="3729" ht="14.25" customHeight="1">
      <c r="A3729" s="1" t="s">
        <v>5480</v>
      </c>
      <c r="B3729" s="1">
        <v>202.0</v>
      </c>
      <c r="C3729" s="1">
        <v>269061.0</v>
      </c>
      <c r="D3729" s="1" t="s">
        <v>433</v>
      </c>
      <c r="E3729" s="1" t="s">
        <v>7517</v>
      </c>
      <c r="F3729" s="1" t="s">
        <v>7518</v>
      </c>
      <c r="G3729" s="1">
        <v>229012.0</v>
      </c>
      <c r="H3729" s="1">
        <v>596.0</v>
      </c>
      <c r="I3729" s="1" t="s">
        <v>3076</v>
      </c>
      <c r="J3729" s="1">
        <v>2000000.0</v>
      </c>
      <c r="K3729" s="1">
        <v>1954.0</v>
      </c>
      <c r="L3729" s="1">
        <v>8.7</v>
      </c>
      <c r="O3729" s="3"/>
      <c r="S3729" s="4"/>
    </row>
    <row r="3730" ht="14.25" customHeight="1">
      <c r="A3730" s="1" t="s">
        <v>7519</v>
      </c>
      <c r="B3730" s="1">
        <v>89.0</v>
      </c>
      <c r="C3730" s="1">
        <v>133778.0</v>
      </c>
      <c r="D3730" s="1" t="s">
        <v>7349</v>
      </c>
      <c r="E3730" s="1" t="s">
        <v>7520</v>
      </c>
      <c r="F3730" s="1" t="s">
        <v>7521</v>
      </c>
      <c r="G3730" s="1">
        <v>3086.0</v>
      </c>
      <c r="H3730" s="1">
        <v>9.0</v>
      </c>
      <c r="I3730" s="1" t="s">
        <v>16</v>
      </c>
      <c r="J3730" s="1">
        <v>500000.0</v>
      </c>
      <c r="K3730" s="1">
        <v>2012.0</v>
      </c>
      <c r="L3730" s="1">
        <v>8.4</v>
      </c>
      <c r="O3730" s="3"/>
      <c r="S3730" s="4"/>
    </row>
    <row r="3731" ht="14.25" customHeight="1">
      <c r="A3731" s="1" t="s">
        <v>174</v>
      </c>
      <c r="B3731" s="1">
        <v>84.0</v>
      </c>
      <c r="C3731" s="1">
        <v>52850.0</v>
      </c>
      <c r="D3731" s="1" t="s">
        <v>828</v>
      </c>
      <c r="E3731" s="1" t="s">
        <v>7522</v>
      </c>
      <c r="F3731" s="1" t="s">
        <v>7523</v>
      </c>
      <c r="G3731" s="1">
        <v>1656.0</v>
      </c>
      <c r="H3731" s="1">
        <v>12.0</v>
      </c>
      <c r="I3731" s="1" t="s">
        <v>16</v>
      </c>
      <c r="J3731" s="1">
        <v>500000.0</v>
      </c>
      <c r="K3731" s="1">
        <v>2007.0</v>
      </c>
      <c r="L3731" s="1">
        <v>6.2</v>
      </c>
      <c r="O3731" s="3"/>
      <c r="S3731" s="4"/>
    </row>
    <row r="3732" ht="14.25" customHeight="1">
      <c r="A3732" s="1" t="s">
        <v>7524</v>
      </c>
      <c r="B3732" s="1">
        <v>82.0</v>
      </c>
      <c r="C3732" s="1">
        <v>98017.0</v>
      </c>
      <c r="D3732" s="1" t="s">
        <v>375</v>
      </c>
      <c r="E3732" s="1" t="s">
        <v>7525</v>
      </c>
      <c r="F3732" s="1" t="s">
        <v>7526</v>
      </c>
      <c r="G3732" s="1">
        <v>26185.0</v>
      </c>
      <c r="H3732" s="1">
        <v>170.0</v>
      </c>
      <c r="I3732" s="1" t="s">
        <v>16</v>
      </c>
      <c r="J3732" s="1">
        <v>500000.0</v>
      </c>
      <c r="K3732" s="1">
        <v>2010.0</v>
      </c>
      <c r="L3732" s="1">
        <v>5.8</v>
      </c>
      <c r="O3732" s="3"/>
      <c r="S3732" s="4"/>
    </row>
    <row r="3733" ht="14.25" customHeight="1">
      <c r="A3733" s="1" t="s">
        <v>494</v>
      </c>
      <c r="B3733" s="1">
        <v>94.0</v>
      </c>
      <c r="C3733" s="1">
        <v>1.77343675E8</v>
      </c>
      <c r="D3733" s="1" t="s">
        <v>495</v>
      </c>
      <c r="E3733" s="1" t="s">
        <v>496</v>
      </c>
      <c r="F3733" s="1" t="s">
        <v>497</v>
      </c>
      <c r="G3733" s="1">
        <v>70136.0</v>
      </c>
      <c r="H3733" s="1">
        <v>214.0</v>
      </c>
      <c r="I3733" s="1" t="s">
        <v>16</v>
      </c>
      <c r="J3733" s="1">
        <v>1.35E8</v>
      </c>
      <c r="K3733" s="1">
        <v>2015.0</v>
      </c>
      <c r="L3733" s="1">
        <v>6.7</v>
      </c>
      <c r="O3733" s="3"/>
      <c r="S3733" s="4"/>
    </row>
    <row r="3734" ht="14.25" customHeight="1">
      <c r="A3734" s="1" t="s">
        <v>7402</v>
      </c>
      <c r="B3734" s="1">
        <v>100.0</v>
      </c>
      <c r="C3734" s="1">
        <v>31937.0</v>
      </c>
      <c r="D3734" s="1" t="s">
        <v>699</v>
      </c>
      <c r="E3734" s="1" t="s">
        <v>7527</v>
      </c>
      <c r="F3734" s="1" t="s">
        <v>7528</v>
      </c>
      <c r="G3734" s="1">
        <v>1358.0</v>
      </c>
      <c r="H3734" s="1">
        <v>10.0</v>
      </c>
      <c r="I3734" s="1" t="s">
        <v>16</v>
      </c>
      <c r="J3734" s="1">
        <v>500000.0</v>
      </c>
      <c r="K3734" s="1">
        <v>2007.0</v>
      </c>
      <c r="L3734" s="1">
        <v>5.7</v>
      </c>
      <c r="O3734" s="3"/>
      <c r="S3734" s="4"/>
    </row>
    <row r="3735" ht="14.25" customHeight="1">
      <c r="A3735" s="1" t="s">
        <v>7529</v>
      </c>
      <c r="B3735" s="1">
        <v>112.0</v>
      </c>
      <c r="C3735" s="1">
        <v>13134.0</v>
      </c>
      <c r="D3735" s="1" t="s">
        <v>1540</v>
      </c>
      <c r="E3735" s="1" t="s">
        <v>1717</v>
      </c>
      <c r="F3735" s="1" t="s">
        <v>7530</v>
      </c>
      <c r="G3735" s="1">
        <v>2004.0</v>
      </c>
      <c r="H3735" s="1">
        <v>32.0</v>
      </c>
      <c r="I3735" s="1" t="s">
        <v>16</v>
      </c>
      <c r="J3735" s="1">
        <v>500000.0</v>
      </c>
      <c r="K3735" s="1">
        <v>2002.0</v>
      </c>
      <c r="L3735" s="1">
        <v>6.1</v>
      </c>
      <c r="O3735" s="3"/>
      <c r="S3735" s="4"/>
    </row>
    <row r="3736" ht="14.25" customHeight="1">
      <c r="A3736" s="1" t="s">
        <v>7531</v>
      </c>
      <c r="B3736" s="1">
        <v>94.0</v>
      </c>
      <c r="C3736" s="1">
        <v>237301.0</v>
      </c>
      <c r="D3736" s="1" t="s">
        <v>1112</v>
      </c>
      <c r="E3736" s="1" t="s">
        <v>2079</v>
      </c>
      <c r="F3736" s="1" t="s">
        <v>7532</v>
      </c>
      <c r="G3736" s="1">
        <v>75669.0</v>
      </c>
      <c r="H3736" s="1">
        <v>451.0</v>
      </c>
      <c r="I3736" s="1" t="s">
        <v>16</v>
      </c>
      <c r="J3736" s="1">
        <v>500000.0</v>
      </c>
      <c r="K3736" s="1">
        <v>2010.0</v>
      </c>
      <c r="L3736" s="1">
        <v>6.4</v>
      </c>
      <c r="O3736" s="3"/>
      <c r="S3736" s="4"/>
    </row>
    <row r="3737" ht="14.25" customHeight="1">
      <c r="A3737" s="1" t="s">
        <v>7533</v>
      </c>
      <c r="B3737" s="1">
        <v>91.0</v>
      </c>
      <c r="C3737" s="1">
        <v>12055.0</v>
      </c>
      <c r="D3737" s="1" t="s">
        <v>828</v>
      </c>
      <c r="E3737" s="1" t="s">
        <v>3012</v>
      </c>
      <c r="F3737" s="1" t="s">
        <v>7534</v>
      </c>
      <c r="G3737" s="1">
        <v>739.0</v>
      </c>
      <c r="H3737" s="1">
        <v>10.0</v>
      </c>
      <c r="I3737" s="1" t="s">
        <v>16</v>
      </c>
      <c r="J3737" s="1">
        <v>500000.0</v>
      </c>
      <c r="K3737" s="1">
        <v>2007.0</v>
      </c>
      <c r="L3737" s="1">
        <v>6.5</v>
      </c>
      <c r="O3737" s="3"/>
      <c r="S3737" s="4"/>
    </row>
    <row r="3738" ht="14.25" customHeight="1">
      <c r="A3738" s="1" t="s">
        <v>7535</v>
      </c>
      <c r="B3738" s="1">
        <v>87.0</v>
      </c>
      <c r="C3738" s="1">
        <v>1332.0</v>
      </c>
      <c r="D3738" s="1" t="s">
        <v>3008</v>
      </c>
      <c r="E3738" s="1" t="s">
        <v>5251</v>
      </c>
      <c r="F3738" s="1" t="s">
        <v>7536</v>
      </c>
      <c r="G3738" s="1">
        <v>2038.0</v>
      </c>
      <c r="H3738" s="1">
        <v>20.0</v>
      </c>
      <c r="I3738" s="1" t="s">
        <v>16</v>
      </c>
      <c r="J3738" s="1">
        <v>500000.0</v>
      </c>
      <c r="K3738" s="1">
        <v>2012.0</v>
      </c>
      <c r="L3738" s="1">
        <v>4.6</v>
      </c>
      <c r="O3738" s="3"/>
      <c r="S3738" s="4"/>
    </row>
    <row r="3739" ht="14.25" customHeight="1">
      <c r="A3739" s="1" t="s">
        <v>7537</v>
      </c>
      <c r="B3739" s="1">
        <v>82.0</v>
      </c>
      <c r="C3739" s="1">
        <v>21199.0</v>
      </c>
      <c r="D3739" s="1" t="s">
        <v>7538</v>
      </c>
      <c r="E3739" s="1" t="s">
        <v>7539</v>
      </c>
      <c r="F3739" s="1" t="s">
        <v>7540</v>
      </c>
      <c r="G3739" s="1">
        <v>40.0</v>
      </c>
      <c r="H3739" s="1">
        <v>10.0</v>
      </c>
      <c r="I3739" s="1" t="s">
        <v>16</v>
      </c>
      <c r="J3739" s="1">
        <v>500000.0</v>
      </c>
      <c r="K3739" s="1">
        <v>2014.0</v>
      </c>
      <c r="L3739" s="1">
        <v>6.8</v>
      </c>
      <c r="O3739" s="3"/>
      <c r="S3739" s="4"/>
    </row>
    <row r="3740" ht="14.25" customHeight="1">
      <c r="A3740" s="1" t="s">
        <v>33</v>
      </c>
      <c r="B3740" s="1">
        <v>130.0</v>
      </c>
      <c r="C3740" s="1">
        <v>2.34903076E8</v>
      </c>
      <c r="D3740" s="1" t="s">
        <v>86</v>
      </c>
      <c r="E3740" s="1" t="s">
        <v>126</v>
      </c>
      <c r="F3740" s="1" t="s">
        <v>127</v>
      </c>
      <c r="G3740" s="1">
        <v>175413.0</v>
      </c>
      <c r="H3740" s="1">
        <v>511.0</v>
      </c>
      <c r="I3740" s="1" t="s">
        <v>16</v>
      </c>
      <c r="J3740" s="1">
        <v>2.15E8</v>
      </c>
      <c r="K3740" s="1">
        <v>2013.0</v>
      </c>
      <c r="L3740" s="1">
        <v>6.4</v>
      </c>
      <c r="O3740" s="3"/>
      <c r="S3740" s="4"/>
    </row>
    <row r="3741" ht="14.25" customHeight="1">
      <c r="A3741" s="1" t="s">
        <v>7541</v>
      </c>
      <c r="B3741" s="1">
        <v>91.0</v>
      </c>
      <c r="C3741" s="1">
        <v>2712293.0</v>
      </c>
      <c r="D3741" s="1" t="s">
        <v>811</v>
      </c>
      <c r="E3741" s="1" t="s">
        <v>7542</v>
      </c>
      <c r="F3741" s="1" t="s">
        <v>7543</v>
      </c>
      <c r="G3741" s="1">
        <v>475.0</v>
      </c>
      <c r="H3741" s="1">
        <v>11.0</v>
      </c>
      <c r="I3741" s="1" t="s">
        <v>16</v>
      </c>
      <c r="J3741" s="1">
        <v>450000.0</v>
      </c>
      <c r="K3741" s="1">
        <v>1991.0</v>
      </c>
      <c r="L3741" s="1">
        <v>5.9</v>
      </c>
      <c r="O3741" s="3"/>
      <c r="S3741" s="4"/>
    </row>
    <row r="3742" ht="14.25" customHeight="1">
      <c r="A3742" s="1" t="s">
        <v>484</v>
      </c>
      <c r="B3742" s="1">
        <v>107.0</v>
      </c>
      <c r="C3742" s="1">
        <v>768045.0</v>
      </c>
      <c r="D3742" s="1" t="s">
        <v>824</v>
      </c>
      <c r="E3742" s="1" t="s">
        <v>6319</v>
      </c>
      <c r="F3742" s="1" t="s">
        <v>7544</v>
      </c>
      <c r="G3742" s="1">
        <v>19732.0</v>
      </c>
      <c r="H3742" s="1">
        <v>120.0</v>
      </c>
      <c r="I3742" s="1" t="s">
        <v>16</v>
      </c>
      <c r="J3742" s="1">
        <v>2000000.0</v>
      </c>
      <c r="K3742" s="1">
        <v>2002.0</v>
      </c>
      <c r="L3742" s="1">
        <v>7.7</v>
      </c>
      <c r="O3742" s="3"/>
      <c r="S3742" s="4"/>
    </row>
    <row r="3743" ht="14.25" customHeight="1">
      <c r="A3743" s="1" t="s">
        <v>7545</v>
      </c>
      <c r="B3743" s="1">
        <v>84.0</v>
      </c>
      <c r="C3743" s="1">
        <v>379122.0</v>
      </c>
      <c r="D3743" s="1" t="s">
        <v>593</v>
      </c>
      <c r="E3743" s="1" t="s">
        <v>1721</v>
      </c>
      <c r="F3743" s="1" t="s">
        <v>7546</v>
      </c>
      <c r="G3743" s="1">
        <v>10143.0</v>
      </c>
      <c r="H3743" s="1">
        <v>54.0</v>
      </c>
      <c r="I3743" s="1" t="s">
        <v>16</v>
      </c>
      <c r="J3743" s="1">
        <v>450000.0</v>
      </c>
      <c r="K3743" s="1">
        <v>2005.0</v>
      </c>
      <c r="L3743" s="1">
        <v>7.1</v>
      </c>
      <c r="O3743" s="3"/>
      <c r="S3743" s="4"/>
    </row>
    <row r="3744" ht="14.25" customHeight="1">
      <c r="A3744" s="1" t="s">
        <v>7547</v>
      </c>
      <c r="B3744" s="1">
        <v>103.0</v>
      </c>
      <c r="C3744" s="1">
        <v>23000.0</v>
      </c>
      <c r="D3744" s="1" t="s">
        <v>7267</v>
      </c>
      <c r="E3744" s="1" t="s">
        <v>7548</v>
      </c>
      <c r="F3744" s="1" t="s">
        <v>7549</v>
      </c>
      <c r="G3744" s="1">
        <v>5931.0</v>
      </c>
      <c r="H3744" s="1">
        <v>58.0</v>
      </c>
      <c r="I3744" s="1" t="s">
        <v>16</v>
      </c>
      <c r="J3744" s="1">
        <v>500000.0</v>
      </c>
      <c r="K3744" s="1">
        <v>2006.0</v>
      </c>
      <c r="L3744" s="1">
        <v>6.2</v>
      </c>
      <c r="O3744" s="3"/>
      <c r="S3744" s="4"/>
    </row>
    <row r="3745" ht="14.25" customHeight="1">
      <c r="A3745" s="1" t="s">
        <v>7550</v>
      </c>
      <c r="B3745" s="1">
        <v>89.0</v>
      </c>
      <c r="C3745" s="1">
        <v>2300000.0</v>
      </c>
      <c r="D3745" s="1" t="s">
        <v>4350</v>
      </c>
      <c r="E3745" s="1" t="s">
        <v>7455</v>
      </c>
      <c r="F3745" s="1" t="s">
        <v>7551</v>
      </c>
      <c r="G3745" s="1">
        <v>7921.0</v>
      </c>
      <c r="H3745" s="1">
        <v>97.0</v>
      </c>
      <c r="I3745" s="1" t="s">
        <v>16</v>
      </c>
      <c r="J3745" s="1">
        <v>439000.0</v>
      </c>
      <c r="K3745" s="1">
        <v>1933.0</v>
      </c>
      <c r="L3745" s="1">
        <v>7.7</v>
      </c>
      <c r="O3745" s="3"/>
      <c r="S3745" s="4"/>
    </row>
    <row r="3746" ht="14.25" customHeight="1">
      <c r="A3746" s="1" t="s">
        <v>7552</v>
      </c>
      <c r="B3746" s="1">
        <v>98.0</v>
      </c>
      <c r="C3746" s="1">
        <v>2938208.0</v>
      </c>
      <c r="D3746" s="1" t="s">
        <v>593</v>
      </c>
      <c r="E3746" s="1" t="s">
        <v>7553</v>
      </c>
      <c r="F3746" s="1" t="s">
        <v>7554</v>
      </c>
      <c r="G3746" s="1">
        <v>7143.0</v>
      </c>
      <c r="H3746" s="1">
        <v>52.0</v>
      </c>
      <c r="I3746" s="1" t="s">
        <v>16</v>
      </c>
      <c r="J3746" s="1">
        <v>225000.0</v>
      </c>
      <c r="K3746" s="1">
        <v>1990.0</v>
      </c>
      <c r="L3746" s="1">
        <v>7.5</v>
      </c>
      <c r="O3746" s="3"/>
      <c r="S3746" s="4"/>
    </row>
    <row r="3747" ht="14.25" customHeight="1">
      <c r="A3747" s="1" t="s">
        <v>7555</v>
      </c>
      <c r="B3747" s="1">
        <v>133.0</v>
      </c>
      <c r="C3747" s="1">
        <v>9910.0</v>
      </c>
      <c r="D3747" s="1" t="s">
        <v>2304</v>
      </c>
      <c r="E3747" s="1" t="s">
        <v>7556</v>
      </c>
      <c r="F3747" s="1" t="s">
        <v>7557</v>
      </c>
      <c r="G3747" s="1">
        <v>13543.0</v>
      </c>
      <c r="H3747" s="1">
        <v>94.0</v>
      </c>
      <c r="I3747" s="1" t="s">
        <v>7558</v>
      </c>
      <c r="J3747" s="1">
        <v>2.5E7</v>
      </c>
      <c r="K3747" s="1">
        <v>2004.0</v>
      </c>
      <c r="L3747" s="1">
        <v>7.6</v>
      </c>
      <c r="O3747" s="3"/>
      <c r="S3747" s="4"/>
    </row>
    <row r="3748" ht="14.25" customHeight="1">
      <c r="A3748" s="1" t="s">
        <v>3128</v>
      </c>
      <c r="B3748" s="1">
        <v>92.0</v>
      </c>
      <c r="C3748" s="1">
        <v>4.4540956E7</v>
      </c>
      <c r="D3748" s="1" t="s">
        <v>828</v>
      </c>
      <c r="E3748" s="1" t="s">
        <v>1817</v>
      </c>
      <c r="F3748" s="1" t="s">
        <v>7559</v>
      </c>
      <c r="G3748" s="1">
        <v>161448.0</v>
      </c>
      <c r="H3748" s="1">
        <v>1473.0</v>
      </c>
      <c r="I3748" s="1" t="s">
        <v>16</v>
      </c>
      <c r="J3748" s="1">
        <v>400000.0</v>
      </c>
      <c r="K3748" s="1">
        <v>2004.0</v>
      </c>
      <c r="L3748" s="1">
        <v>6.9</v>
      </c>
      <c r="O3748" s="3"/>
      <c r="S3748" s="4"/>
    </row>
    <row r="3749" ht="14.25" customHeight="1">
      <c r="A3749" s="1" t="s">
        <v>6514</v>
      </c>
      <c r="B3749" s="1">
        <v>90.0</v>
      </c>
      <c r="C3749" s="1">
        <v>258113.0</v>
      </c>
      <c r="D3749" s="1" t="s">
        <v>901</v>
      </c>
      <c r="E3749" s="1" t="s">
        <v>5386</v>
      </c>
      <c r="F3749" s="1" t="s">
        <v>7560</v>
      </c>
      <c r="G3749" s="1">
        <v>42678.0</v>
      </c>
      <c r="H3749" s="1">
        <v>135.0</v>
      </c>
      <c r="I3749" s="1" t="s">
        <v>16</v>
      </c>
      <c r="J3749" s="1">
        <v>1066167.0</v>
      </c>
      <c r="K3749" s="1">
        <v>2013.0</v>
      </c>
      <c r="L3749" s="1">
        <v>7.1</v>
      </c>
      <c r="O3749" s="3"/>
      <c r="S3749" s="4"/>
    </row>
    <row r="3750" ht="14.25" customHeight="1">
      <c r="A3750" s="1" t="s">
        <v>7561</v>
      </c>
      <c r="B3750" s="1">
        <v>84.0</v>
      </c>
      <c r="C3750" s="1">
        <v>1.07917283E8</v>
      </c>
      <c r="D3750" s="1" t="s">
        <v>2551</v>
      </c>
      <c r="E3750" s="1" t="s">
        <v>7562</v>
      </c>
      <c r="F3750" s="1" t="s">
        <v>7563</v>
      </c>
      <c r="G3750" s="1">
        <v>184824.0</v>
      </c>
      <c r="H3750" s="1">
        <v>1189.0</v>
      </c>
      <c r="I3750" s="1" t="s">
        <v>16</v>
      </c>
      <c r="J3750" s="1">
        <v>15000.0</v>
      </c>
      <c r="K3750" s="1">
        <v>2007.0</v>
      </c>
      <c r="L3750" s="1">
        <v>6.3</v>
      </c>
      <c r="O3750" s="3"/>
      <c r="S3750" s="4"/>
    </row>
    <row r="3751" ht="14.25" customHeight="1">
      <c r="A3751" s="1" t="s">
        <v>1150</v>
      </c>
      <c r="B3751" s="1">
        <v>91.0</v>
      </c>
      <c r="C3751" s="1">
        <v>1229197.0</v>
      </c>
      <c r="D3751" s="1" t="s">
        <v>2177</v>
      </c>
      <c r="E3751" s="1" t="s">
        <v>1870</v>
      </c>
      <c r="F3751" s="1" t="s">
        <v>7564</v>
      </c>
      <c r="G3751" s="1">
        <v>382240.0</v>
      </c>
      <c r="H3751" s="1">
        <v>660.0</v>
      </c>
      <c r="I3751" s="1" t="s">
        <v>16</v>
      </c>
      <c r="J3751" s="1">
        <v>229575.0</v>
      </c>
      <c r="K3751" s="1">
        <v>1975.0</v>
      </c>
      <c r="L3751" s="1">
        <v>8.3</v>
      </c>
      <c r="O3751" s="3"/>
      <c r="S3751" s="4"/>
    </row>
    <row r="3752" ht="14.25" customHeight="1">
      <c r="A3752" s="1" t="s">
        <v>6433</v>
      </c>
      <c r="B3752" s="1">
        <v>90.0</v>
      </c>
      <c r="C3752" s="1">
        <v>1689999.0</v>
      </c>
      <c r="D3752" s="1" t="s">
        <v>1391</v>
      </c>
      <c r="E3752" s="1" t="s">
        <v>7565</v>
      </c>
      <c r="F3752" s="1" t="s">
        <v>7566</v>
      </c>
      <c r="G3752" s="1">
        <v>3675.0</v>
      </c>
      <c r="H3752" s="1">
        <v>48.0</v>
      </c>
      <c r="I3752" s="1" t="s">
        <v>1144</v>
      </c>
      <c r="J3752" s="1">
        <v>400000.0</v>
      </c>
      <c r="K3752" s="1">
        <v>2006.0</v>
      </c>
      <c r="L3752" s="1">
        <v>7.1</v>
      </c>
      <c r="O3752" s="3"/>
      <c r="S3752" s="4"/>
    </row>
    <row r="3753" ht="14.25" customHeight="1">
      <c r="A3753" s="1" t="s">
        <v>7567</v>
      </c>
      <c r="B3753" s="1">
        <v>96.0</v>
      </c>
      <c r="C3753" s="1">
        <v>11798.0</v>
      </c>
      <c r="D3753" s="1" t="s">
        <v>7568</v>
      </c>
      <c r="E3753" s="1" t="s">
        <v>7569</v>
      </c>
      <c r="F3753" s="1" t="s">
        <v>7570</v>
      </c>
      <c r="G3753" s="1">
        <v>179.0</v>
      </c>
      <c r="H3753" s="1">
        <v>18.0</v>
      </c>
      <c r="I3753" s="1" t="s">
        <v>16</v>
      </c>
      <c r="J3753" s="1">
        <v>100000.0</v>
      </c>
      <c r="K3753" s="1">
        <v>2003.0</v>
      </c>
      <c r="L3753" s="1">
        <v>4.7</v>
      </c>
      <c r="O3753" s="3"/>
      <c r="S3753" s="4"/>
    </row>
    <row r="3754" ht="14.25" customHeight="1">
      <c r="A3754" s="1" t="s">
        <v>7571</v>
      </c>
      <c r="B3754" s="1">
        <v>88.0</v>
      </c>
      <c r="C3754" s="1">
        <v>592014.0</v>
      </c>
      <c r="D3754" s="1" t="s">
        <v>7572</v>
      </c>
      <c r="E3754" s="1" t="s">
        <v>7573</v>
      </c>
      <c r="F3754" s="1" t="s">
        <v>7574</v>
      </c>
      <c r="G3754" s="1">
        <v>5709.0</v>
      </c>
      <c r="H3754" s="1">
        <v>114.0</v>
      </c>
      <c r="I3754" s="1" t="s">
        <v>16</v>
      </c>
      <c r="J3754" s="1">
        <v>218.0</v>
      </c>
      <c r="K3754" s="1">
        <v>2003.0</v>
      </c>
      <c r="L3754" s="1">
        <v>7.2</v>
      </c>
      <c r="O3754" s="3"/>
      <c r="S3754" s="4"/>
    </row>
    <row r="3755" ht="14.25" customHeight="1">
      <c r="A3755" s="1" t="s">
        <v>7575</v>
      </c>
      <c r="B3755" s="1">
        <v>92.0</v>
      </c>
      <c r="C3755" s="1">
        <v>425899.0</v>
      </c>
      <c r="D3755" s="1" t="s">
        <v>3521</v>
      </c>
      <c r="E3755" s="1" t="s">
        <v>7576</v>
      </c>
      <c r="F3755" s="1" t="s">
        <v>7577</v>
      </c>
      <c r="G3755" s="1">
        <v>1123.0</v>
      </c>
      <c r="H3755" s="1">
        <v>31.0</v>
      </c>
      <c r="I3755" s="1" t="s">
        <v>16</v>
      </c>
      <c r="J3755" s="1">
        <v>400000.0</v>
      </c>
      <c r="K3755" s="1">
        <v>2010.0</v>
      </c>
      <c r="L3755" s="1">
        <v>5.1</v>
      </c>
      <c r="O3755" s="3"/>
      <c r="S3755" s="4"/>
    </row>
    <row r="3756" ht="14.25" customHeight="1">
      <c r="A3756" s="1" t="s">
        <v>7578</v>
      </c>
      <c r="B3756" s="1">
        <v>82.0</v>
      </c>
      <c r="C3756" s="1">
        <v>126387.0</v>
      </c>
      <c r="D3756" s="1" t="s">
        <v>2551</v>
      </c>
      <c r="E3756" s="1" t="s">
        <v>7579</v>
      </c>
      <c r="F3756" s="1" t="s">
        <v>7580</v>
      </c>
      <c r="G3756" s="1">
        <v>14985.0</v>
      </c>
      <c r="H3756" s="1">
        <v>253.0</v>
      </c>
      <c r="I3756" s="1" t="s">
        <v>3818</v>
      </c>
      <c r="J3756" s="1">
        <v>400000.0</v>
      </c>
      <c r="K3756" s="1">
        <v>1981.0</v>
      </c>
      <c r="L3756" s="1">
        <v>6.9</v>
      </c>
      <c r="O3756" s="3"/>
      <c r="S3756" s="4"/>
    </row>
    <row r="3757" ht="14.25" customHeight="1">
      <c r="A3757" s="1" t="s">
        <v>3210</v>
      </c>
      <c r="B3757" s="1">
        <v>101.0</v>
      </c>
      <c r="C3757" s="1">
        <v>8.0276912E7</v>
      </c>
      <c r="D3757" s="1" t="s">
        <v>699</v>
      </c>
      <c r="E3757" s="1" t="s">
        <v>7581</v>
      </c>
      <c r="F3757" s="1" t="s">
        <v>7582</v>
      </c>
      <c r="G3757" s="1">
        <v>140740.0</v>
      </c>
      <c r="H3757" s="1">
        <v>151.0</v>
      </c>
      <c r="I3757" s="1" t="s">
        <v>16</v>
      </c>
      <c r="J3757" s="1">
        <v>3.5E7</v>
      </c>
      <c r="K3757" s="1">
        <v>2008.0</v>
      </c>
      <c r="L3757" s="1">
        <v>6.1</v>
      </c>
      <c r="O3757" s="3"/>
      <c r="S3757" s="4"/>
    </row>
    <row r="3758" ht="14.25" customHeight="1">
      <c r="A3758" s="1" t="s">
        <v>7583</v>
      </c>
      <c r="B3758" s="1">
        <v>86.0</v>
      </c>
      <c r="C3758" s="1">
        <v>617172.0</v>
      </c>
      <c r="D3758" s="1" t="s">
        <v>3521</v>
      </c>
      <c r="E3758" s="1" t="s">
        <v>7584</v>
      </c>
      <c r="F3758" s="1" t="s">
        <v>7585</v>
      </c>
      <c r="G3758" s="1">
        <v>4407.0</v>
      </c>
      <c r="H3758" s="1">
        <v>75.0</v>
      </c>
      <c r="I3758" s="1" t="s">
        <v>16</v>
      </c>
      <c r="J3758" s="1">
        <v>375000.0</v>
      </c>
      <c r="K3758" s="1">
        <v>1997.0</v>
      </c>
      <c r="L3758" s="1">
        <v>7.0</v>
      </c>
      <c r="O3758" s="3"/>
      <c r="S3758" s="4"/>
    </row>
    <row r="3759" ht="14.25" customHeight="1">
      <c r="A3759" s="1" t="s">
        <v>7586</v>
      </c>
      <c r="B3759" s="1">
        <v>100.0</v>
      </c>
      <c r="C3759" s="1">
        <v>2808000.0</v>
      </c>
      <c r="D3759" s="1" t="s">
        <v>6226</v>
      </c>
      <c r="E3759" s="1" t="s">
        <v>7587</v>
      </c>
      <c r="F3759" s="1" t="s">
        <v>7588</v>
      </c>
      <c r="G3759" s="1">
        <v>4546.0</v>
      </c>
      <c r="H3759" s="1">
        <v>71.0</v>
      </c>
      <c r="I3759" s="1" t="s">
        <v>16</v>
      </c>
      <c r="J3759" s="1">
        <v>379000.0</v>
      </c>
      <c r="K3759" s="1">
        <v>1929.0</v>
      </c>
      <c r="L3759" s="1">
        <v>6.3</v>
      </c>
      <c r="O3759" s="3"/>
      <c r="S3759" s="4"/>
    </row>
    <row r="3760" ht="14.25" customHeight="1">
      <c r="A3760" s="1" t="s">
        <v>7589</v>
      </c>
      <c r="B3760" s="1">
        <v>89.0</v>
      </c>
      <c r="C3760" s="1">
        <v>12843.0</v>
      </c>
      <c r="D3760" s="1" t="s">
        <v>2657</v>
      </c>
      <c r="E3760" s="1" t="s">
        <v>7590</v>
      </c>
      <c r="F3760" s="1" t="s">
        <v>7591</v>
      </c>
      <c r="G3760" s="1">
        <v>27297.0</v>
      </c>
      <c r="H3760" s="1">
        <v>131.0</v>
      </c>
      <c r="I3760" s="1" t="s">
        <v>16</v>
      </c>
      <c r="J3760" s="1">
        <v>6000000.0</v>
      </c>
      <c r="K3760" s="1">
        <v>2012.0</v>
      </c>
      <c r="L3760" s="1">
        <v>6.1</v>
      </c>
      <c r="O3760" s="3"/>
      <c r="S3760" s="4"/>
    </row>
    <row r="3761" ht="14.25" customHeight="1">
      <c r="A3761" s="1" t="s">
        <v>7592</v>
      </c>
      <c r="B3761" s="1">
        <v>84.0</v>
      </c>
      <c r="C3761" s="1">
        <v>34151.0</v>
      </c>
      <c r="D3761" s="1" t="s">
        <v>7052</v>
      </c>
      <c r="E3761" s="1" t="s">
        <v>7593</v>
      </c>
      <c r="F3761" s="1" t="s">
        <v>7594</v>
      </c>
      <c r="G3761" s="1">
        <v>186.0</v>
      </c>
      <c r="H3761" s="1">
        <v>3.0</v>
      </c>
      <c r="I3761" s="1" t="s">
        <v>7043</v>
      </c>
      <c r="J3761" s="1">
        <v>450000.0</v>
      </c>
      <c r="K3761" s="1">
        <v>2015.0</v>
      </c>
      <c r="L3761" s="1">
        <v>7.2</v>
      </c>
      <c r="O3761" s="3"/>
      <c r="S3761" s="4"/>
    </row>
    <row r="3762" ht="14.25" customHeight="1">
      <c r="A3762" s="1" t="s">
        <v>7595</v>
      </c>
      <c r="B3762" s="1">
        <v>88.0</v>
      </c>
      <c r="C3762" s="1">
        <v>1523883.0</v>
      </c>
      <c r="D3762" s="1" t="s">
        <v>7349</v>
      </c>
      <c r="E3762" s="1" t="s">
        <v>7596</v>
      </c>
      <c r="F3762" s="1" t="s">
        <v>7597</v>
      </c>
      <c r="G3762" s="1">
        <v>9037.0</v>
      </c>
      <c r="H3762" s="1">
        <v>70.0</v>
      </c>
      <c r="I3762" s="1" t="s">
        <v>16</v>
      </c>
      <c r="J3762" s="1">
        <v>1750211.0</v>
      </c>
      <c r="K3762" s="1">
        <v>2005.0</v>
      </c>
      <c r="L3762" s="1">
        <v>7.8</v>
      </c>
      <c r="O3762" s="3"/>
      <c r="S3762" s="4"/>
    </row>
    <row r="3763" ht="14.25" customHeight="1">
      <c r="A3763" s="1" t="s">
        <v>7598</v>
      </c>
      <c r="B3763" s="1">
        <v>90.0</v>
      </c>
      <c r="C3763" s="1">
        <v>4000000.0</v>
      </c>
      <c r="D3763" s="1" t="s">
        <v>331</v>
      </c>
      <c r="E3763" s="1" t="s">
        <v>7599</v>
      </c>
      <c r="F3763" s="1" t="s">
        <v>7600</v>
      </c>
      <c r="G3763" s="1">
        <v>6046.0</v>
      </c>
      <c r="H3763" s="1">
        <v>46.0</v>
      </c>
      <c r="I3763" s="1" t="s">
        <v>16</v>
      </c>
      <c r="J3763" s="1">
        <v>350000.0</v>
      </c>
      <c r="K3763" s="1">
        <v>1987.0</v>
      </c>
      <c r="L3763" s="1">
        <v>4.7</v>
      </c>
      <c r="O3763" s="3"/>
      <c r="S3763" s="4"/>
    </row>
    <row r="3764" ht="14.25" customHeight="1">
      <c r="A3764" s="1" t="s">
        <v>2158</v>
      </c>
      <c r="B3764" s="1">
        <v>101.0</v>
      </c>
      <c r="C3764" s="1">
        <v>4.7E7</v>
      </c>
      <c r="D3764" s="1" t="s">
        <v>2657</v>
      </c>
      <c r="E3764" s="1" t="s">
        <v>720</v>
      </c>
      <c r="F3764" s="1" t="s">
        <v>4663</v>
      </c>
      <c r="G3764" s="1">
        <v>157863.0</v>
      </c>
      <c r="H3764" s="1">
        <v>1191.0</v>
      </c>
      <c r="I3764" s="1" t="s">
        <v>16</v>
      </c>
      <c r="J3764" s="1">
        <v>300000.0</v>
      </c>
      <c r="K3764" s="1">
        <v>1978.0</v>
      </c>
      <c r="L3764" s="1">
        <v>7.9</v>
      </c>
      <c r="O3764" s="3"/>
      <c r="S3764" s="4"/>
    </row>
    <row r="3765" ht="14.25" customHeight="1">
      <c r="A3765" s="1" t="s">
        <v>3385</v>
      </c>
      <c r="B3765" s="1">
        <v>102.0</v>
      </c>
      <c r="C3765" s="1">
        <v>1281176.0</v>
      </c>
      <c r="D3765" s="1" t="s">
        <v>1059</v>
      </c>
      <c r="E3765" s="1" t="s">
        <v>7601</v>
      </c>
      <c r="F3765" s="1" t="s">
        <v>7602</v>
      </c>
      <c r="G3765" s="1">
        <v>2932.0</v>
      </c>
      <c r="H3765" s="1">
        <v>73.0</v>
      </c>
      <c r="I3765" s="1" t="s">
        <v>16</v>
      </c>
      <c r="J3765" s="1">
        <v>312000.0</v>
      </c>
      <c r="K3765" s="1">
        <v>1999.0</v>
      </c>
      <c r="L3765" s="1">
        <v>6.7</v>
      </c>
      <c r="O3765" s="3"/>
      <c r="S3765" s="4"/>
    </row>
    <row r="3766" ht="14.25" customHeight="1">
      <c r="A3766" s="1" t="s">
        <v>7603</v>
      </c>
      <c r="B3766" s="1">
        <v>98.0</v>
      </c>
      <c r="C3766" s="1">
        <v>1.6115878E7</v>
      </c>
      <c r="D3766" s="1" t="s">
        <v>7604</v>
      </c>
      <c r="E3766" s="1" t="s">
        <v>2098</v>
      </c>
      <c r="F3766" s="1" t="s">
        <v>7605</v>
      </c>
      <c r="G3766" s="1">
        <v>24438.0</v>
      </c>
      <c r="H3766" s="1">
        <v>194.0</v>
      </c>
      <c r="I3766" s="1" t="s">
        <v>16</v>
      </c>
      <c r="J3766" s="1">
        <v>8000000.0</v>
      </c>
      <c r="K3766" s="1">
        <v>1995.0</v>
      </c>
      <c r="L3766" s="1">
        <v>6.6</v>
      </c>
      <c r="O3766" s="3"/>
      <c r="S3766" s="4"/>
    </row>
    <row r="3767" ht="14.25" customHeight="1">
      <c r="A3767" s="1" t="s">
        <v>6324</v>
      </c>
      <c r="B3767" s="1">
        <v>91.0</v>
      </c>
      <c r="C3767" s="1">
        <v>1652472.0</v>
      </c>
      <c r="D3767" s="1" t="s">
        <v>699</v>
      </c>
      <c r="E3767" s="1" t="s">
        <v>7606</v>
      </c>
      <c r="F3767" s="1" t="s">
        <v>7607</v>
      </c>
      <c r="G3767" s="1">
        <v>2843.0</v>
      </c>
      <c r="H3767" s="1">
        <v>25.0</v>
      </c>
      <c r="I3767" s="1" t="s">
        <v>1189</v>
      </c>
      <c r="J3767" s="1">
        <v>300000.0</v>
      </c>
      <c r="K3767" s="1">
        <v>1996.0</v>
      </c>
      <c r="L3767" s="1">
        <v>6.9</v>
      </c>
      <c r="O3767" s="3"/>
      <c r="S3767" s="4"/>
    </row>
    <row r="3768" ht="14.25" customHeight="1">
      <c r="A3768" s="1" t="s">
        <v>2586</v>
      </c>
      <c r="B3768" s="1">
        <v>80.0</v>
      </c>
      <c r="C3768" s="1">
        <v>2360184.0</v>
      </c>
      <c r="D3768" s="1" t="s">
        <v>1059</v>
      </c>
      <c r="E3768" s="1" t="s">
        <v>184</v>
      </c>
      <c r="F3768" s="1" t="s">
        <v>7608</v>
      </c>
      <c r="G3768" s="1">
        <v>18035.0</v>
      </c>
      <c r="H3768" s="1">
        <v>177.0</v>
      </c>
      <c r="I3768" s="1" t="s">
        <v>16</v>
      </c>
      <c r="J3768" s="1">
        <v>300000.0</v>
      </c>
      <c r="K3768" s="1">
        <v>2003.0</v>
      </c>
      <c r="L3768" s="1">
        <v>7.1</v>
      </c>
      <c r="O3768" s="3"/>
      <c r="S3768" s="4"/>
    </row>
    <row r="3769" ht="14.25" customHeight="1">
      <c r="A3769" s="1" t="s">
        <v>7609</v>
      </c>
      <c r="B3769" s="1">
        <v>76.0</v>
      </c>
      <c r="C3769" s="1">
        <v>255352.0</v>
      </c>
      <c r="D3769" s="1" t="s">
        <v>1391</v>
      </c>
      <c r="E3769" s="1" t="s">
        <v>7610</v>
      </c>
      <c r="F3769" s="1" t="s">
        <v>7611</v>
      </c>
      <c r="G3769" s="1">
        <v>4423.0</v>
      </c>
      <c r="H3769" s="1">
        <v>57.0</v>
      </c>
      <c r="I3769" s="1" t="s">
        <v>16</v>
      </c>
      <c r="J3769" s="1">
        <v>300000.0</v>
      </c>
      <c r="K3769" s="1">
        <v>2006.0</v>
      </c>
      <c r="L3769" s="1">
        <v>6.7</v>
      </c>
      <c r="O3769" s="3"/>
      <c r="S3769" s="4"/>
    </row>
    <row r="3770" ht="14.25" customHeight="1">
      <c r="A3770" s="1" t="s">
        <v>7609</v>
      </c>
      <c r="B3770" s="1">
        <v>80.0</v>
      </c>
      <c r="C3770" s="1">
        <v>856942.0</v>
      </c>
      <c r="D3770" s="1" t="s">
        <v>1391</v>
      </c>
      <c r="E3770" s="1" t="s">
        <v>7612</v>
      </c>
      <c r="F3770" s="1" t="s">
        <v>7613</v>
      </c>
      <c r="G3770" s="1">
        <v>12241.0</v>
      </c>
      <c r="H3770" s="1">
        <v>112.0</v>
      </c>
      <c r="I3770" s="1" t="s">
        <v>16</v>
      </c>
      <c r="J3770" s="1">
        <v>200000.0</v>
      </c>
      <c r="K3770" s="1">
        <v>2008.0</v>
      </c>
      <c r="L3770" s="1">
        <v>7.1</v>
      </c>
      <c r="O3770" s="3"/>
      <c r="S3770" s="4"/>
    </row>
    <row r="3771" ht="14.25" customHeight="1">
      <c r="A3771" s="1" t="s">
        <v>7614</v>
      </c>
      <c r="B3771" s="1">
        <v>95.0</v>
      </c>
      <c r="C3771" s="1">
        <v>12438.0</v>
      </c>
      <c r="D3771" s="1" t="s">
        <v>92</v>
      </c>
      <c r="E3771" s="1" t="s">
        <v>3317</v>
      </c>
      <c r="F3771" s="1" t="s">
        <v>7615</v>
      </c>
      <c r="G3771" s="1">
        <v>891.0</v>
      </c>
      <c r="H3771" s="1">
        <v>26.0</v>
      </c>
      <c r="I3771" s="1" t="s">
        <v>16</v>
      </c>
      <c r="J3771" s="1">
        <v>160000.0</v>
      </c>
      <c r="K3771" s="1">
        <v>1964.0</v>
      </c>
      <c r="L3771" s="1">
        <v>8.1</v>
      </c>
      <c r="O3771" s="3"/>
      <c r="S3771" s="4"/>
    </row>
    <row r="3772" ht="14.25" customHeight="1">
      <c r="A3772" s="1" t="s">
        <v>6425</v>
      </c>
      <c r="B3772" s="1">
        <v>94.0</v>
      </c>
      <c r="C3772" s="1">
        <v>40542.0</v>
      </c>
      <c r="D3772" s="1" t="s">
        <v>92</v>
      </c>
      <c r="E3772" s="1" t="s">
        <v>7616</v>
      </c>
      <c r="F3772" s="1" t="s">
        <v>7617</v>
      </c>
      <c r="G3772" s="1">
        <v>294.0</v>
      </c>
      <c r="H3772" s="1">
        <v>16.0</v>
      </c>
      <c r="I3772" s="1" t="s">
        <v>16</v>
      </c>
      <c r="J3772" s="1">
        <v>300000.0</v>
      </c>
      <c r="K3772" s="1">
        <v>1997.0</v>
      </c>
      <c r="L3772" s="1">
        <v>5.5</v>
      </c>
      <c r="O3772" s="3"/>
      <c r="S3772" s="4"/>
    </row>
    <row r="3773" ht="14.25" customHeight="1">
      <c r="A3773" s="1" t="s">
        <v>7618</v>
      </c>
      <c r="B3773" s="1">
        <v>109.0</v>
      </c>
      <c r="C3773" s="1">
        <v>5199.0</v>
      </c>
      <c r="D3773" s="1" t="s">
        <v>1540</v>
      </c>
      <c r="E3773" s="1" t="s">
        <v>7619</v>
      </c>
      <c r="F3773" s="1" t="s">
        <v>7620</v>
      </c>
      <c r="G3773" s="1">
        <v>720.0</v>
      </c>
      <c r="H3773" s="1">
        <v>23.0</v>
      </c>
      <c r="I3773" s="1" t="s">
        <v>16</v>
      </c>
      <c r="J3773" s="1">
        <v>200000.0</v>
      </c>
      <c r="K3773" s="1">
        <v>2004.0</v>
      </c>
      <c r="L3773" s="1">
        <v>6.6</v>
      </c>
      <c r="O3773" s="3"/>
      <c r="S3773" s="4"/>
    </row>
    <row r="3774" ht="14.25" customHeight="1">
      <c r="A3774" s="1" t="s">
        <v>2342</v>
      </c>
      <c r="B3774" s="1">
        <v>133.0</v>
      </c>
      <c r="C3774" s="1">
        <v>2.4343673E7</v>
      </c>
      <c r="D3774" s="1" t="s">
        <v>2343</v>
      </c>
      <c r="E3774" s="1" t="s">
        <v>2344</v>
      </c>
      <c r="F3774" s="1" t="s">
        <v>2345</v>
      </c>
      <c r="G3774" s="1">
        <v>91863.0</v>
      </c>
      <c r="H3774" s="1">
        <v>524.0</v>
      </c>
      <c r="I3774" s="1" t="s">
        <v>16</v>
      </c>
      <c r="J3774" s="1">
        <v>4.5E7</v>
      </c>
      <c r="K3774" s="1">
        <v>2007.0</v>
      </c>
      <c r="L3774" s="1">
        <v>7.4</v>
      </c>
      <c r="O3774" s="3"/>
      <c r="S3774" s="4"/>
    </row>
    <row r="3775" ht="14.25" customHeight="1">
      <c r="A3775" s="1" t="s">
        <v>7621</v>
      </c>
      <c r="B3775" s="1">
        <v>95.0</v>
      </c>
      <c r="C3775" s="1">
        <v>2468.0</v>
      </c>
      <c r="D3775" s="1" t="s">
        <v>2862</v>
      </c>
      <c r="E3775" s="1" t="s">
        <v>7622</v>
      </c>
      <c r="F3775" s="1" t="s">
        <v>7623</v>
      </c>
      <c r="G3775" s="1">
        <v>241.0</v>
      </c>
      <c r="H3775" s="1">
        <v>5.0</v>
      </c>
      <c r="I3775" s="1" t="s">
        <v>16</v>
      </c>
      <c r="J3775" s="1">
        <v>300000.0</v>
      </c>
      <c r="K3775" s="1">
        <v>2014.0</v>
      </c>
      <c r="L3775" s="1">
        <v>4.8</v>
      </c>
      <c r="O3775" s="3"/>
      <c r="S3775" s="4"/>
    </row>
    <row r="3776" ht="14.25" customHeight="1">
      <c r="A3776" s="1" t="s">
        <v>7624</v>
      </c>
      <c r="B3776" s="1">
        <v>90.0</v>
      </c>
      <c r="C3776" s="1">
        <v>318622.0</v>
      </c>
      <c r="D3776" s="1" t="s">
        <v>2265</v>
      </c>
      <c r="E3776" s="1" t="s">
        <v>7625</v>
      </c>
      <c r="F3776" s="1" t="s">
        <v>7626</v>
      </c>
      <c r="G3776" s="1">
        <v>24668.0</v>
      </c>
      <c r="H3776" s="1">
        <v>175.0</v>
      </c>
      <c r="I3776" s="1" t="s">
        <v>16</v>
      </c>
      <c r="J3776" s="1">
        <v>270000.0</v>
      </c>
      <c r="K3776" s="1">
        <v>2012.0</v>
      </c>
      <c r="L3776" s="1">
        <v>6.4</v>
      </c>
      <c r="O3776" s="3"/>
      <c r="S3776" s="4"/>
    </row>
    <row r="3777" ht="14.25" customHeight="1">
      <c r="A3777" s="1" t="s">
        <v>2839</v>
      </c>
      <c r="B3777" s="1">
        <v>113.0</v>
      </c>
      <c r="C3777" s="1">
        <v>1.2006514E7</v>
      </c>
      <c r="D3777" s="1" t="s">
        <v>593</v>
      </c>
      <c r="E3777" s="1" t="s">
        <v>486</v>
      </c>
      <c r="F3777" s="1" t="s">
        <v>7627</v>
      </c>
      <c r="G3777" s="1">
        <v>114070.0</v>
      </c>
      <c r="H3777" s="1">
        <v>500.0</v>
      </c>
      <c r="I3777" s="1" t="s">
        <v>16</v>
      </c>
      <c r="J3777" s="1">
        <v>250000.0</v>
      </c>
      <c r="K3777" s="1">
        <v>1997.0</v>
      </c>
      <c r="L3777" s="1">
        <v>7.3</v>
      </c>
      <c r="O3777" s="3"/>
      <c r="S3777" s="4"/>
    </row>
    <row r="3778" ht="14.25" customHeight="1">
      <c r="A3778" s="1" t="s">
        <v>5967</v>
      </c>
      <c r="B3778" s="1">
        <v>91.0</v>
      </c>
      <c r="C3778" s="1">
        <v>4186931.0</v>
      </c>
      <c r="D3778" s="1" t="s">
        <v>593</v>
      </c>
      <c r="E3778" s="1" t="s">
        <v>7628</v>
      </c>
      <c r="F3778" s="1" t="s">
        <v>7629</v>
      </c>
      <c r="G3778" s="1">
        <v>6041.0</v>
      </c>
      <c r="H3778" s="1">
        <v>85.0</v>
      </c>
      <c r="I3778" s="1" t="s">
        <v>16</v>
      </c>
      <c r="J3778" s="1">
        <v>250000.0</v>
      </c>
      <c r="K3778" s="1">
        <v>2001.0</v>
      </c>
      <c r="L3778" s="1">
        <v>6.9</v>
      </c>
      <c r="O3778" s="3"/>
      <c r="S3778" s="4"/>
    </row>
    <row r="3779" ht="14.25" customHeight="1">
      <c r="A3779" s="1" t="s">
        <v>174</v>
      </c>
      <c r="B3779" s="1">
        <v>98.0</v>
      </c>
      <c r="C3779" s="1">
        <v>3799339.0</v>
      </c>
      <c r="D3779" s="1" t="s">
        <v>5447</v>
      </c>
      <c r="E3779" s="1" t="s">
        <v>7630</v>
      </c>
      <c r="F3779" s="1" t="s">
        <v>7631</v>
      </c>
      <c r="G3779" s="1">
        <v>8000.0</v>
      </c>
      <c r="H3779" s="1">
        <v>138.0</v>
      </c>
      <c r="I3779" s="1" t="s">
        <v>16</v>
      </c>
      <c r="J3779" s="1">
        <v>250000.0</v>
      </c>
      <c r="K3779" s="1">
        <v>2002.0</v>
      </c>
      <c r="L3779" s="1">
        <v>7.2</v>
      </c>
      <c r="O3779" s="3"/>
      <c r="S3779" s="4"/>
    </row>
    <row r="3780" ht="14.25" customHeight="1">
      <c r="A3780" s="1" t="s">
        <v>7632</v>
      </c>
      <c r="B3780" s="1">
        <v>94.0</v>
      </c>
      <c r="C3780" s="1">
        <v>1977544.0</v>
      </c>
      <c r="D3780" s="1" t="s">
        <v>593</v>
      </c>
      <c r="E3780" s="1" t="s">
        <v>7633</v>
      </c>
      <c r="F3780" s="1" t="s">
        <v>7634</v>
      </c>
      <c r="G3780" s="1">
        <v>3513.0</v>
      </c>
      <c r="H3780" s="1">
        <v>36.0</v>
      </c>
      <c r="I3780" s="1" t="s">
        <v>16</v>
      </c>
      <c r="J3780" s="1">
        <v>250000.0</v>
      </c>
      <c r="K3780" s="1">
        <v>1995.0</v>
      </c>
      <c r="L3780" s="1">
        <v>6.5</v>
      </c>
      <c r="O3780" s="3"/>
      <c r="S3780" s="4"/>
    </row>
    <row r="3781" ht="14.25" customHeight="1">
      <c r="A3781" s="1" t="s">
        <v>3508</v>
      </c>
      <c r="B3781" s="1">
        <v>96.0</v>
      </c>
      <c r="C3781" s="1">
        <v>1050600.0</v>
      </c>
      <c r="D3781" s="1" t="s">
        <v>1059</v>
      </c>
      <c r="E3781" s="1" t="s">
        <v>2026</v>
      </c>
      <c r="F3781" s="1" t="s">
        <v>7635</v>
      </c>
      <c r="G3781" s="1">
        <v>4662.0</v>
      </c>
      <c r="H3781" s="1">
        <v>136.0</v>
      </c>
      <c r="I3781" s="1" t="s">
        <v>16</v>
      </c>
      <c r="J3781" s="1">
        <v>250000.0</v>
      </c>
      <c r="K3781" s="1">
        <v>2000.0</v>
      </c>
      <c r="L3781" s="1">
        <v>6.6</v>
      </c>
      <c r="O3781" s="3"/>
      <c r="S3781" s="4"/>
    </row>
    <row r="3782" ht="14.25" customHeight="1">
      <c r="A3782" s="1" t="s">
        <v>7636</v>
      </c>
      <c r="B3782" s="1">
        <v>100.0</v>
      </c>
      <c r="C3782" s="1">
        <v>902835.0</v>
      </c>
      <c r="D3782" s="1" t="s">
        <v>593</v>
      </c>
      <c r="E3782" s="1" t="s">
        <v>7637</v>
      </c>
      <c r="F3782" s="1" t="s">
        <v>7638</v>
      </c>
      <c r="G3782" s="1">
        <v>1489.0</v>
      </c>
      <c r="H3782" s="1">
        <v>40.0</v>
      </c>
      <c r="I3782" s="1" t="s">
        <v>16</v>
      </c>
      <c r="J3782" s="1">
        <v>250000.0</v>
      </c>
      <c r="K3782" s="1">
        <v>2001.0</v>
      </c>
      <c r="L3782" s="1">
        <v>6.7</v>
      </c>
      <c r="O3782" s="3"/>
      <c r="S3782" s="4"/>
    </row>
    <row r="3783" ht="14.25" customHeight="1">
      <c r="A3783" s="1" t="s">
        <v>3380</v>
      </c>
      <c r="B3783" s="1">
        <v>90.0</v>
      </c>
      <c r="C3783" s="1">
        <v>489220.0</v>
      </c>
      <c r="D3783" s="1" t="s">
        <v>2032</v>
      </c>
      <c r="E3783" s="1" t="s">
        <v>7639</v>
      </c>
      <c r="F3783" s="1" t="s">
        <v>7640</v>
      </c>
      <c r="G3783" s="1">
        <v>160511.0</v>
      </c>
      <c r="H3783" s="1">
        <v>696.0</v>
      </c>
      <c r="I3783" s="1" t="s">
        <v>16</v>
      </c>
      <c r="J3783" s="1">
        <v>365000.0</v>
      </c>
      <c r="K3783" s="1">
        <v>1997.0</v>
      </c>
      <c r="L3783" s="1">
        <v>7.3</v>
      </c>
      <c r="O3783" s="3"/>
      <c r="S3783" s="4"/>
    </row>
    <row r="3784" ht="14.25" customHeight="1">
      <c r="A3784" s="1" t="s">
        <v>7641</v>
      </c>
      <c r="B3784" s="1">
        <v>76.0</v>
      </c>
      <c r="C3784" s="1">
        <v>212285.0</v>
      </c>
      <c r="D3784" s="1" t="s">
        <v>699</v>
      </c>
      <c r="E3784" s="1" t="s">
        <v>2104</v>
      </c>
      <c r="F3784" s="1" t="s">
        <v>7642</v>
      </c>
      <c r="G3784" s="1">
        <v>1727.0</v>
      </c>
      <c r="H3784" s="1">
        <v>21.0</v>
      </c>
      <c r="I3784" s="1" t="s">
        <v>16</v>
      </c>
      <c r="J3784" s="1">
        <v>250000.0</v>
      </c>
      <c r="K3784" s="1">
        <v>1996.0</v>
      </c>
      <c r="L3784" s="1">
        <v>6.4</v>
      </c>
      <c r="O3784" s="3"/>
      <c r="S3784" s="4"/>
    </row>
    <row r="3785" ht="14.25" customHeight="1">
      <c r="A3785" s="1" t="s">
        <v>7643</v>
      </c>
      <c r="B3785" s="1">
        <v>75.0</v>
      </c>
      <c r="C3785" s="1">
        <v>203134.0</v>
      </c>
      <c r="D3785" s="1" t="s">
        <v>7644</v>
      </c>
      <c r="E3785" s="1" t="s">
        <v>7645</v>
      </c>
      <c r="F3785" s="1" t="s">
        <v>7646</v>
      </c>
      <c r="G3785" s="1">
        <v>1428.0</v>
      </c>
      <c r="H3785" s="1">
        <v>21.0</v>
      </c>
      <c r="I3785" s="1" t="s">
        <v>16</v>
      </c>
      <c r="J3785" s="1">
        <v>250000.0</v>
      </c>
      <c r="K3785" s="1">
        <v>1997.0</v>
      </c>
      <c r="L3785" s="1">
        <v>7.0</v>
      </c>
      <c r="O3785" s="3"/>
      <c r="S3785" s="4"/>
    </row>
    <row r="3786" ht="14.25" customHeight="1">
      <c r="A3786" s="1" t="s">
        <v>7499</v>
      </c>
      <c r="B3786" s="1">
        <v>78.0</v>
      </c>
      <c r="C3786" s="1">
        <v>191309.0</v>
      </c>
      <c r="D3786" s="1" t="s">
        <v>806</v>
      </c>
      <c r="E3786" s="1" t="s">
        <v>7647</v>
      </c>
      <c r="F3786" s="1" t="s">
        <v>7648</v>
      </c>
      <c r="G3786" s="1">
        <v>2787.0</v>
      </c>
      <c r="H3786" s="1">
        <v>64.0</v>
      </c>
      <c r="I3786" s="1" t="s">
        <v>16</v>
      </c>
      <c r="J3786" s="1">
        <v>150000.0</v>
      </c>
      <c r="K3786" s="1">
        <v>2004.0</v>
      </c>
      <c r="L3786" s="1">
        <v>5.5</v>
      </c>
      <c r="O3786" s="3"/>
      <c r="S3786" s="4"/>
    </row>
    <row r="3787" ht="14.25" customHeight="1">
      <c r="A3787" s="1" t="s">
        <v>7649</v>
      </c>
      <c r="B3787" s="1">
        <v>90.0</v>
      </c>
      <c r="C3787" s="1">
        <v>3388210.0</v>
      </c>
      <c r="D3787" s="1" t="s">
        <v>92</v>
      </c>
      <c r="E3787" s="1" t="s">
        <v>152</v>
      </c>
      <c r="F3787" s="1" t="s">
        <v>7650</v>
      </c>
      <c r="G3787" s="1">
        <v>46813.0</v>
      </c>
      <c r="H3787" s="1">
        <v>150.0</v>
      </c>
      <c r="I3787" s="1" t="s">
        <v>16</v>
      </c>
      <c r="J3787" s="1">
        <v>250000.0</v>
      </c>
      <c r="K3787" s="1">
        <v>2011.0</v>
      </c>
      <c r="L3787" s="1">
        <v>6.7</v>
      </c>
      <c r="O3787" s="3"/>
      <c r="S3787" s="4"/>
    </row>
    <row r="3788" ht="14.25" customHeight="1">
      <c r="A3788" s="1" t="s">
        <v>6639</v>
      </c>
      <c r="B3788" s="1">
        <v>92.0</v>
      </c>
      <c r="C3788" s="1">
        <v>177840.0</v>
      </c>
      <c r="D3788" s="1" t="s">
        <v>3022</v>
      </c>
      <c r="E3788" s="1" t="s">
        <v>7651</v>
      </c>
      <c r="F3788" s="1" t="s">
        <v>7652</v>
      </c>
      <c r="G3788" s="1">
        <v>708.0</v>
      </c>
      <c r="H3788" s="1">
        <v>22.0</v>
      </c>
      <c r="I3788" s="1" t="s">
        <v>16</v>
      </c>
      <c r="J3788" s="1">
        <v>250000.0</v>
      </c>
      <c r="K3788" s="1">
        <v>1999.0</v>
      </c>
      <c r="L3788" s="1">
        <v>6.1</v>
      </c>
      <c r="O3788" s="3"/>
      <c r="S3788" s="4"/>
    </row>
    <row r="3789" ht="14.25" customHeight="1">
      <c r="A3789" s="1" t="s">
        <v>6134</v>
      </c>
      <c r="B3789" s="1">
        <v>99.0</v>
      </c>
      <c r="C3789" s="1">
        <v>49494.0</v>
      </c>
      <c r="D3789" s="1" t="s">
        <v>1654</v>
      </c>
      <c r="E3789" s="1" t="s">
        <v>7653</v>
      </c>
      <c r="F3789" s="1" t="s">
        <v>7654</v>
      </c>
      <c r="G3789" s="1">
        <v>8511.0</v>
      </c>
      <c r="H3789" s="1">
        <v>87.0</v>
      </c>
      <c r="I3789" s="1" t="s">
        <v>16</v>
      </c>
      <c r="J3789" s="1">
        <v>250000.0</v>
      </c>
      <c r="K3789" s="1">
        <v>2013.0</v>
      </c>
      <c r="L3789" s="1">
        <v>3.9</v>
      </c>
      <c r="O3789" s="3"/>
      <c r="S3789" s="4"/>
    </row>
    <row r="3790" ht="14.25" customHeight="1">
      <c r="A3790" s="1" t="s">
        <v>7655</v>
      </c>
      <c r="B3790" s="1">
        <v>81.0</v>
      </c>
      <c r="C3790" s="1">
        <v>18195.0</v>
      </c>
      <c r="D3790" s="1" t="s">
        <v>7656</v>
      </c>
      <c r="E3790" s="1" t="s">
        <v>7657</v>
      </c>
      <c r="F3790" s="1" t="s">
        <v>7658</v>
      </c>
      <c r="G3790" s="1">
        <v>336.0</v>
      </c>
      <c r="H3790" s="1">
        <v>7.0</v>
      </c>
      <c r="I3790" s="1" t="s">
        <v>16</v>
      </c>
      <c r="J3790" s="1">
        <v>250000.0</v>
      </c>
      <c r="K3790" s="1">
        <v>1997.0</v>
      </c>
      <c r="L3790" s="1">
        <v>6.3</v>
      </c>
      <c r="O3790" s="3"/>
      <c r="S3790" s="4"/>
    </row>
    <row r="3791" ht="14.25" customHeight="1">
      <c r="A3791" s="1" t="s">
        <v>7659</v>
      </c>
      <c r="B3791" s="1">
        <v>86.0</v>
      </c>
      <c r="C3791" s="1">
        <v>111300.0</v>
      </c>
      <c r="D3791" s="1" t="s">
        <v>3521</v>
      </c>
      <c r="E3791" s="1" t="s">
        <v>7660</v>
      </c>
      <c r="F3791" s="1" t="s">
        <v>7661</v>
      </c>
      <c r="G3791" s="1">
        <v>575.0</v>
      </c>
      <c r="H3791" s="1">
        <v>6.0</v>
      </c>
      <c r="I3791" s="1" t="s">
        <v>16</v>
      </c>
      <c r="J3791" s="1">
        <v>225000.0</v>
      </c>
      <c r="K3791" s="1">
        <v>2012.0</v>
      </c>
      <c r="L3791" s="1">
        <v>7.5</v>
      </c>
      <c r="O3791" s="3"/>
      <c r="S3791" s="4"/>
    </row>
    <row r="3792" ht="14.25" customHeight="1">
      <c r="A3792" s="1" t="s">
        <v>7662</v>
      </c>
      <c r="B3792" s="1">
        <v>106.0</v>
      </c>
      <c r="C3792" s="1">
        <v>1027119.0</v>
      </c>
      <c r="D3792" s="1" t="s">
        <v>1391</v>
      </c>
      <c r="E3792" s="1" t="s">
        <v>7663</v>
      </c>
      <c r="F3792" s="1" t="s">
        <v>7664</v>
      </c>
      <c r="G3792" s="1">
        <v>2742.0</v>
      </c>
      <c r="H3792" s="1">
        <v>73.0</v>
      </c>
      <c r="I3792" s="1" t="s">
        <v>16</v>
      </c>
      <c r="J3792" s="1">
        <v>225000.0</v>
      </c>
      <c r="K3792" s="1">
        <v>2000.0</v>
      </c>
      <c r="L3792" s="1">
        <v>7.0</v>
      </c>
      <c r="O3792" s="3"/>
      <c r="S3792" s="4"/>
    </row>
    <row r="3793" ht="14.25" customHeight="1">
      <c r="A3793" s="1" t="s">
        <v>7665</v>
      </c>
      <c r="B3793" s="1">
        <v>80.0</v>
      </c>
      <c r="C3793" s="1">
        <v>5000000.0</v>
      </c>
      <c r="D3793" s="1" t="s">
        <v>7666</v>
      </c>
      <c r="E3793" s="1" t="s">
        <v>7667</v>
      </c>
      <c r="F3793" s="1" t="s">
        <v>7668</v>
      </c>
      <c r="G3793" s="1">
        <v>4812.0</v>
      </c>
      <c r="H3793" s="1">
        <v>88.0</v>
      </c>
      <c r="I3793" s="1" t="s">
        <v>16</v>
      </c>
      <c r="J3793" s="1">
        <v>210000.0</v>
      </c>
      <c r="K3793" s="1">
        <v>1953.0</v>
      </c>
      <c r="L3793" s="1">
        <v>6.7</v>
      </c>
      <c r="O3793" s="3"/>
      <c r="S3793" s="4"/>
    </row>
    <row r="3794" ht="14.25" customHeight="1">
      <c r="A3794" s="1" t="s">
        <v>225</v>
      </c>
      <c r="B3794" s="1">
        <v>96.0</v>
      </c>
      <c r="C3794" s="1">
        <v>4505922.0</v>
      </c>
      <c r="D3794" s="1" t="s">
        <v>1059</v>
      </c>
      <c r="E3794" s="1" t="s">
        <v>206</v>
      </c>
      <c r="F3794" s="1" t="s">
        <v>7669</v>
      </c>
      <c r="G3794" s="1">
        <v>63951.0</v>
      </c>
      <c r="H3794" s="1">
        <v>252.0</v>
      </c>
      <c r="I3794" s="1" t="s">
        <v>16</v>
      </c>
      <c r="J3794" s="1">
        <v>200000.0</v>
      </c>
      <c r="K3794" s="1">
        <v>1996.0</v>
      </c>
      <c r="L3794" s="1">
        <v>7.4</v>
      </c>
      <c r="O3794" s="3"/>
      <c r="S3794" s="4"/>
    </row>
    <row r="3795" ht="14.25" customHeight="1">
      <c r="A3795" s="1" t="s">
        <v>3421</v>
      </c>
      <c r="B3795" s="1">
        <v>99.0</v>
      </c>
      <c r="C3795" s="1">
        <v>3500000.0</v>
      </c>
      <c r="D3795" s="1" t="s">
        <v>3912</v>
      </c>
      <c r="E3795" s="1" t="s">
        <v>1506</v>
      </c>
      <c r="F3795" s="1" t="s">
        <v>7670</v>
      </c>
      <c r="G3795" s="1">
        <v>147566.0</v>
      </c>
      <c r="H3795" s="1">
        <v>235.0</v>
      </c>
      <c r="I3795" s="1" t="s">
        <v>3818</v>
      </c>
      <c r="J3795" s="1">
        <v>200000.0</v>
      </c>
      <c r="K3795" s="1">
        <v>1964.0</v>
      </c>
      <c r="L3795" s="1">
        <v>8.0</v>
      </c>
      <c r="O3795" s="3"/>
      <c r="S3795" s="4"/>
    </row>
    <row r="3796" ht="14.25" customHeight="1">
      <c r="A3796" s="1" t="s">
        <v>7671</v>
      </c>
      <c r="B3796" s="1">
        <v>85.0</v>
      </c>
      <c r="C3796" s="1">
        <v>381225.0</v>
      </c>
      <c r="D3796" s="1" t="s">
        <v>3521</v>
      </c>
      <c r="E3796" s="1" t="s">
        <v>7672</v>
      </c>
      <c r="F3796" s="1" t="s">
        <v>7673</v>
      </c>
      <c r="G3796" s="1">
        <v>131.0</v>
      </c>
      <c r="H3796" s="1">
        <v>13.0</v>
      </c>
      <c r="I3796" s="1" t="s">
        <v>16</v>
      </c>
      <c r="J3796" s="1">
        <v>200000.0</v>
      </c>
      <c r="K3796" s="1">
        <v>2004.0</v>
      </c>
      <c r="L3796" s="1">
        <v>7.2</v>
      </c>
      <c r="O3796" s="3"/>
      <c r="S3796" s="4"/>
    </row>
    <row r="3797" ht="14.25" customHeight="1">
      <c r="A3797" s="1" t="s">
        <v>7674</v>
      </c>
      <c r="B3797" s="1">
        <v>101.0</v>
      </c>
      <c r="C3797" s="1">
        <v>2428241.0</v>
      </c>
      <c r="D3797" s="1" t="s">
        <v>1391</v>
      </c>
      <c r="E3797" s="1" t="s">
        <v>7675</v>
      </c>
      <c r="F3797" s="1" t="s">
        <v>7676</v>
      </c>
      <c r="G3797" s="1">
        <v>2099.0</v>
      </c>
      <c r="H3797" s="1">
        <v>26.0</v>
      </c>
      <c r="I3797" s="1" t="s">
        <v>16</v>
      </c>
      <c r="J3797" s="1">
        <v>200000.0</v>
      </c>
      <c r="K3797" s="1">
        <v>2010.0</v>
      </c>
      <c r="L3797" s="1">
        <v>6.4</v>
      </c>
      <c r="O3797" s="3"/>
      <c r="S3797" s="4"/>
    </row>
    <row r="3798" ht="14.25" customHeight="1">
      <c r="A3798" s="1" t="s">
        <v>4168</v>
      </c>
      <c r="B3798" s="1">
        <v>97.0</v>
      </c>
      <c r="C3798" s="1">
        <v>78030.0</v>
      </c>
      <c r="D3798" s="1" t="s">
        <v>1391</v>
      </c>
      <c r="E3798" s="1" t="s">
        <v>5637</v>
      </c>
      <c r="F3798" s="1" t="s">
        <v>7677</v>
      </c>
      <c r="G3798" s="1">
        <v>1034.0</v>
      </c>
      <c r="H3798" s="1">
        <v>10.0</v>
      </c>
      <c r="I3798" s="1" t="s">
        <v>16</v>
      </c>
      <c r="J3798" s="1">
        <v>200000.0</v>
      </c>
      <c r="K3798" s="1">
        <v>2012.0</v>
      </c>
      <c r="L3798" s="1">
        <v>6.5</v>
      </c>
      <c r="O3798" s="3"/>
      <c r="S3798" s="4"/>
    </row>
    <row r="3799" ht="14.25" customHeight="1">
      <c r="A3799" s="1" t="s">
        <v>7678</v>
      </c>
      <c r="B3799" s="1">
        <v>103.0</v>
      </c>
      <c r="C3799" s="1">
        <v>174682.0</v>
      </c>
      <c r="D3799" s="1" t="s">
        <v>2466</v>
      </c>
      <c r="E3799" s="1" t="s">
        <v>7679</v>
      </c>
      <c r="F3799" s="1" t="s">
        <v>7680</v>
      </c>
      <c r="G3799" s="1">
        <v>460.0</v>
      </c>
      <c r="H3799" s="1">
        <v>14.0</v>
      </c>
      <c r="I3799" s="1" t="s">
        <v>16</v>
      </c>
      <c r="J3799" s="1">
        <v>200000.0</v>
      </c>
      <c r="K3799" s="1">
        <v>2002.0</v>
      </c>
      <c r="L3799" s="1">
        <v>6.9</v>
      </c>
      <c r="O3799" s="3"/>
      <c r="S3799" s="4"/>
    </row>
    <row r="3800" ht="14.25" customHeight="1">
      <c r="A3800" s="1" t="s">
        <v>7681</v>
      </c>
      <c r="B3800" s="1">
        <v>86.0</v>
      </c>
      <c r="C3800" s="1">
        <v>215185.0</v>
      </c>
      <c r="D3800" s="1" t="s">
        <v>7461</v>
      </c>
      <c r="E3800" s="1" t="s">
        <v>7682</v>
      </c>
      <c r="F3800" s="1" t="s">
        <v>7683</v>
      </c>
      <c r="G3800" s="1">
        <v>48.0</v>
      </c>
      <c r="H3800" s="1">
        <v>2.0</v>
      </c>
      <c r="I3800" s="1" t="s">
        <v>16</v>
      </c>
      <c r="J3800" s="1">
        <v>200000.0</v>
      </c>
      <c r="K3800" s="1">
        <v>2008.0</v>
      </c>
      <c r="L3800" s="1">
        <v>7.5</v>
      </c>
      <c r="O3800" s="3"/>
      <c r="S3800" s="4"/>
    </row>
    <row r="3801" ht="14.25" customHeight="1">
      <c r="A3801" s="1" t="s">
        <v>639</v>
      </c>
      <c r="B3801" s="1">
        <v>106.0</v>
      </c>
      <c r="C3801" s="1">
        <v>3.215441E7</v>
      </c>
      <c r="D3801" s="1" t="s">
        <v>901</v>
      </c>
      <c r="E3801" s="1" t="s">
        <v>191</v>
      </c>
      <c r="F3801" s="1" t="s">
        <v>3338</v>
      </c>
      <c r="G3801" s="1">
        <v>148334.0</v>
      </c>
      <c r="H3801" s="1">
        <v>274.0</v>
      </c>
      <c r="I3801" s="1" t="s">
        <v>16</v>
      </c>
      <c r="J3801" s="1">
        <v>3.0E7</v>
      </c>
      <c r="K3801" s="1">
        <v>2013.0</v>
      </c>
      <c r="L3801" s="1">
        <v>7.1</v>
      </c>
      <c r="O3801" s="3"/>
      <c r="S3801" s="4"/>
    </row>
    <row r="3802" ht="14.25" customHeight="1">
      <c r="A3802" s="1" t="s">
        <v>7684</v>
      </c>
      <c r="B3802" s="1">
        <v>106.0</v>
      </c>
      <c r="C3802" s="1">
        <v>1111.0</v>
      </c>
      <c r="D3802" s="1" t="s">
        <v>7685</v>
      </c>
      <c r="E3802" s="1" t="s">
        <v>7686</v>
      </c>
      <c r="F3802" s="1" t="s">
        <v>7687</v>
      </c>
      <c r="G3802" s="1">
        <v>771.0</v>
      </c>
      <c r="H3802" s="1">
        <v>10.0</v>
      </c>
      <c r="I3802" s="1" t="s">
        <v>16</v>
      </c>
      <c r="J3802" s="1">
        <v>200000.0</v>
      </c>
      <c r="K3802" s="1">
        <v>2006.0</v>
      </c>
      <c r="L3802" s="1">
        <v>7.7</v>
      </c>
      <c r="O3802" s="3"/>
      <c r="S3802" s="4"/>
    </row>
    <row r="3803" ht="14.25" customHeight="1">
      <c r="A3803" s="1" t="s">
        <v>7688</v>
      </c>
      <c r="B3803" s="1">
        <v>89.0</v>
      </c>
      <c r="C3803" s="1">
        <v>925402.0</v>
      </c>
      <c r="D3803" s="1" t="s">
        <v>2844</v>
      </c>
      <c r="E3803" s="1" t="s">
        <v>7689</v>
      </c>
      <c r="F3803" s="1" t="s">
        <v>7690</v>
      </c>
      <c r="G3803" s="1">
        <v>27882.0</v>
      </c>
      <c r="H3803" s="1">
        <v>130.0</v>
      </c>
      <c r="I3803" s="1" t="s">
        <v>7414</v>
      </c>
      <c r="J3803" s="1">
        <v>180000.0</v>
      </c>
      <c r="K3803" s="1">
        <v>1997.0</v>
      </c>
      <c r="L3803" s="1">
        <v>8.5</v>
      </c>
      <c r="O3803" s="3"/>
      <c r="S3803" s="4"/>
    </row>
    <row r="3804" ht="14.25" customHeight="1">
      <c r="A3804" s="1" t="s">
        <v>7691</v>
      </c>
      <c r="B3804" s="1">
        <v>97.0</v>
      </c>
      <c r="C3804" s="1">
        <v>469947.0</v>
      </c>
      <c r="D3804" s="1" t="s">
        <v>92</v>
      </c>
      <c r="E3804" s="1" t="s">
        <v>6696</v>
      </c>
      <c r="F3804" s="1" t="s">
        <v>7692</v>
      </c>
      <c r="G3804" s="1">
        <v>19846.0</v>
      </c>
      <c r="H3804" s="1">
        <v>68.0</v>
      </c>
      <c r="I3804" s="1" t="s">
        <v>16</v>
      </c>
      <c r="J3804" s="1">
        <v>120000.0</v>
      </c>
      <c r="K3804" s="1">
        <v>2011.0</v>
      </c>
      <c r="L3804" s="1">
        <v>7.7</v>
      </c>
      <c r="O3804" s="3"/>
      <c r="S3804" s="4"/>
    </row>
    <row r="3805" ht="14.25" customHeight="1">
      <c r="A3805" s="1" t="s">
        <v>2048</v>
      </c>
      <c r="B3805" s="1">
        <v>88.0</v>
      </c>
      <c r="C3805" s="1">
        <v>7137502.0</v>
      </c>
      <c r="D3805" s="1" t="s">
        <v>699</v>
      </c>
      <c r="E3805" s="1" t="s">
        <v>7693</v>
      </c>
      <c r="F3805" s="1" t="s">
        <v>7694</v>
      </c>
      <c r="G3805" s="1">
        <v>4769.0</v>
      </c>
      <c r="H3805" s="1">
        <v>26.0</v>
      </c>
      <c r="I3805" s="1" t="s">
        <v>16</v>
      </c>
      <c r="J3805" s="1">
        <v>175000.0</v>
      </c>
      <c r="K3805" s="1">
        <v>1986.0</v>
      </c>
      <c r="L3805" s="1">
        <v>6.5</v>
      </c>
      <c r="O3805" s="3"/>
      <c r="S3805" s="4"/>
    </row>
    <row r="3806" ht="14.25" customHeight="1">
      <c r="A3806" s="1" t="s">
        <v>7695</v>
      </c>
      <c r="B3806" s="1">
        <v>92.0</v>
      </c>
      <c r="C3806" s="1">
        <v>1316074.0</v>
      </c>
      <c r="D3806" s="1" t="s">
        <v>3742</v>
      </c>
      <c r="E3806" s="1" t="s">
        <v>7696</v>
      </c>
      <c r="F3806" s="1" t="s">
        <v>7697</v>
      </c>
      <c r="G3806" s="1">
        <v>71387.0</v>
      </c>
      <c r="H3806" s="1">
        <v>228.0</v>
      </c>
      <c r="I3806" s="1" t="s">
        <v>16</v>
      </c>
      <c r="J3806" s="1">
        <v>100000.0</v>
      </c>
      <c r="K3806" s="1">
        <v>2011.0</v>
      </c>
      <c r="L3806" s="1">
        <v>7.0</v>
      </c>
      <c r="O3806" s="3"/>
      <c r="S3806" s="4"/>
    </row>
    <row r="3807" ht="14.25" customHeight="1">
      <c r="A3807" s="1" t="s">
        <v>7698</v>
      </c>
      <c r="B3807" s="1">
        <v>97.0</v>
      </c>
      <c r="C3807" s="1">
        <v>1.518E7</v>
      </c>
      <c r="D3807" s="1" t="s">
        <v>901</v>
      </c>
      <c r="E3807" s="1" t="s">
        <v>4160</v>
      </c>
      <c r="F3807" s="1" t="s">
        <v>7699</v>
      </c>
      <c r="G3807" s="1">
        <v>3340.0</v>
      </c>
      <c r="H3807" s="1">
        <v>50.0</v>
      </c>
      <c r="I3807" s="1" t="s">
        <v>16</v>
      </c>
      <c r="J3807" s="1">
        <v>500000.0</v>
      </c>
      <c r="K3807" s="1">
        <v>1971.0</v>
      </c>
      <c r="L3807" s="1">
        <v>5.5</v>
      </c>
      <c r="O3807" s="3"/>
      <c r="S3807" s="4"/>
    </row>
    <row r="3808" ht="14.25" customHeight="1">
      <c r="A3808" s="1" t="s">
        <v>3263</v>
      </c>
      <c r="B3808" s="1">
        <v>78.0</v>
      </c>
      <c r="C3808" s="1">
        <v>2882062.0</v>
      </c>
      <c r="D3808" s="1" t="s">
        <v>593</v>
      </c>
      <c r="E3808" s="1" t="s">
        <v>7700</v>
      </c>
      <c r="F3808" s="1" t="s">
        <v>7701</v>
      </c>
      <c r="G3808" s="1">
        <v>5178.0</v>
      </c>
      <c r="H3808" s="1">
        <v>101.0</v>
      </c>
      <c r="I3808" s="1" t="s">
        <v>16</v>
      </c>
      <c r="J3808" s="1">
        <v>150000.0</v>
      </c>
      <c r="K3808" s="1">
        <v>2000.0</v>
      </c>
      <c r="L3808" s="1">
        <v>6.3</v>
      </c>
      <c r="O3808" s="3"/>
      <c r="S3808" s="4"/>
    </row>
    <row r="3809" ht="14.25" customHeight="1">
      <c r="A3809" s="1" t="s">
        <v>5996</v>
      </c>
      <c r="B3809" s="1">
        <v>85.0</v>
      </c>
      <c r="C3809" s="1">
        <v>9437933.0</v>
      </c>
      <c r="D3809" s="1" t="s">
        <v>3098</v>
      </c>
      <c r="E3809" s="1" t="s">
        <v>7702</v>
      </c>
      <c r="F3809" s="1" t="s">
        <v>7703</v>
      </c>
      <c r="G3809" s="1">
        <v>90827.0</v>
      </c>
      <c r="H3809" s="1">
        <v>329.0</v>
      </c>
      <c r="I3809" s="1" t="s">
        <v>16</v>
      </c>
      <c r="J3809" s="1">
        <v>180000.0</v>
      </c>
      <c r="K3809" s="1">
        <v>2007.0</v>
      </c>
      <c r="L3809" s="1">
        <v>7.9</v>
      </c>
      <c r="O3809" s="3"/>
      <c r="S3809" s="4"/>
    </row>
    <row r="3810" ht="14.25" customHeight="1">
      <c r="A3810" s="1" t="s">
        <v>7704</v>
      </c>
      <c r="B3810" s="1">
        <v>88.0</v>
      </c>
      <c r="C3810" s="1">
        <v>110720.0</v>
      </c>
      <c r="D3810" s="1" t="s">
        <v>828</v>
      </c>
      <c r="E3810" s="1" t="s">
        <v>7705</v>
      </c>
      <c r="F3810" s="1" t="s">
        <v>7706</v>
      </c>
      <c r="G3810" s="1">
        <v>524.0</v>
      </c>
      <c r="H3810" s="1">
        <v>22.0</v>
      </c>
      <c r="I3810" s="1" t="s">
        <v>16</v>
      </c>
      <c r="J3810" s="1">
        <v>1200000.0</v>
      </c>
      <c r="K3810" s="1">
        <v>1999.0</v>
      </c>
      <c r="L3810" s="1">
        <v>7.3</v>
      </c>
      <c r="O3810" s="3"/>
      <c r="S3810" s="4"/>
    </row>
    <row r="3811" ht="14.25" customHeight="1">
      <c r="A3811" s="1" t="s">
        <v>7707</v>
      </c>
      <c r="B3811" s="1">
        <v>93.0</v>
      </c>
      <c r="C3811" s="1">
        <v>155984.0</v>
      </c>
      <c r="D3811" s="1" t="s">
        <v>3521</v>
      </c>
      <c r="E3811" s="1" t="s">
        <v>7708</v>
      </c>
      <c r="F3811" s="1" t="s">
        <v>7709</v>
      </c>
      <c r="G3811" s="1">
        <v>586.0</v>
      </c>
      <c r="H3811" s="1">
        <v>9.0</v>
      </c>
      <c r="I3811" s="1" t="s">
        <v>16</v>
      </c>
      <c r="J3811" s="1">
        <v>160000.0</v>
      </c>
      <c r="K3811" s="1">
        <v>2009.0</v>
      </c>
      <c r="L3811" s="1">
        <v>7.4</v>
      </c>
      <c r="O3811" s="3"/>
      <c r="S3811" s="4"/>
    </row>
    <row r="3812" ht="14.25" customHeight="1">
      <c r="A3812" s="1" t="s">
        <v>2944</v>
      </c>
      <c r="B3812" s="1">
        <v>88.0</v>
      </c>
      <c r="C3812" s="1">
        <v>3.0859E7</v>
      </c>
      <c r="D3812" s="1" t="s">
        <v>2657</v>
      </c>
      <c r="E3812" s="1" t="s">
        <v>4209</v>
      </c>
      <c r="F3812" s="1" t="s">
        <v>5844</v>
      </c>
      <c r="G3812" s="1">
        <v>96411.0</v>
      </c>
      <c r="H3812" s="1">
        <v>826.0</v>
      </c>
      <c r="I3812" s="1" t="s">
        <v>16</v>
      </c>
      <c r="J3812" s="1">
        <v>83532.0</v>
      </c>
      <c r="K3812" s="1">
        <v>1974.0</v>
      </c>
      <c r="L3812" s="1">
        <v>7.5</v>
      </c>
      <c r="O3812" s="3"/>
      <c r="S3812" s="4"/>
    </row>
    <row r="3813" ht="14.25" customHeight="1">
      <c r="A3813" s="1" t="s">
        <v>7710</v>
      </c>
      <c r="B3813" s="1">
        <v>72.0</v>
      </c>
      <c r="C3813" s="1">
        <v>4914.0</v>
      </c>
      <c r="D3813" s="1" t="s">
        <v>7711</v>
      </c>
      <c r="E3813" s="1" t="s">
        <v>7712</v>
      </c>
      <c r="F3813" s="1" t="s">
        <v>7713</v>
      </c>
      <c r="G3813" s="1">
        <v>123.0</v>
      </c>
      <c r="H3813" s="1">
        <v>2.0</v>
      </c>
      <c r="I3813" s="1" t="s">
        <v>16</v>
      </c>
      <c r="J3813" s="1">
        <v>150000.0</v>
      </c>
      <c r="K3813" s="1">
        <v>2015.0</v>
      </c>
      <c r="L3813" s="1">
        <v>7.0</v>
      </c>
      <c r="O3813" s="3"/>
      <c r="S3813" s="4"/>
    </row>
    <row r="3814" ht="14.25" customHeight="1">
      <c r="A3814" s="1" t="s">
        <v>7714</v>
      </c>
      <c r="B3814" s="1">
        <v>80.0</v>
      </c>
      <c r="C3814" s="1">
        <v>5858.0</v>
      </c>
      <c r="D3814" s="1" t="s">
        <v>3521</v>
      </c>
      <c r="E3814" s="1" t="s">
        <v>7715</v>
      </c>
      <c r="F3814" s="1" t="s">
        <v>7716</v>
      </c>
      <c r="G3814" s="1">
        <v>260.0</v>
      </c>
      <c r="H3814" s="1">
        <v>2.0</v>
      </c>
      <c r="I3814" s="1" t="s">
        <v>16</v>
      </c>
      <c r="J3814" s="1">
        <v>150000.0</v>
      </c>
      <c r="K3814" s="1">
        <v>2014.0</v>
      </c>
      <c r="L3814" s="1">
        <v>7.1</v>
      </c>
      <c r="O3814" s="3"/>
      <c r="S3814" s="4"/>
    </row>
    <row r="3815" ht="14.25" customHeight="1">
      <c r="A3815" s="1" t="s">
        <v>5855</v>
      </c>
      <c r="B3815" s="1">
        <v>91.0</v>
      </c>
      <c r="C3815" s="1">
        <v>6706368.0</v>
      </c>
      <c r="D3815" s="1" t="s">
        <v>3521</v>
      </c>
      <c r="E3815" s="1" t="s">
        <v>5855</v>
      </c>
      <c r="F3815" s="1" t="s">
        <v>7717</v>
      </c>
      <c r="G3815" s="1">
        <v>22800.0</v>
      </c>
      <c r="H3815" s="1">
        <v>133.0</v>
      </c>
      <c r="I3815" s="1" t="s">
        <v>16</v>
      </c>
      <c r="J3815" s="1">
        <v>160000.0</v>
      </c>
      <c r="K3815" s="1">
        <v>1989.0</v>
      </c>
      <c r="L3815" s="1">
        <v>7.5</v>
      </c>
      <c r="O3815" s="3"/>
      <c r="S3815" s="4"/>
    </row>
    <row r="3816" ht="14.25" customHeight="1">
      <c r="A3816" s="1" t="s">
        <v>7718</v>
      </c>
      <c r="B3816" s="1">
        <v>90.0</v>
      </c>
      <c r="C3816" s="1">
        <v>1573712.0</v>
      </c>
      <c r="D3816" s="1" t="s">
        <v>1059</v>
      </c>
      <c r="E3816" s="1" t="s">
        <v>7719</v>
      </c>
      <c r="F3816" s="1" t="s">
        <v>7720</v>
      </c>
      <c r="G3816" s="1">
        <v>21618.0</v>
      </c>
      <c r="H3816" s="1">
        <v>62.0</v>
      </c>
      <c r="I3816" s="1" t="s">
        <v>16</v>
      </c>
      <c r="J3816" s="1">
        <v>125000.0</v>
      </c>
      <c r="K3816" s="1">
        <v>2011.0</v>
      </c>
      <c r="L3816" s="1">
        <v>6.7</v>
      </c>
      <c r="O3816" s="3"/>
      <c r="S3816" s="4"/>
    </row>
    <row r="3817" ht="14.25" customHeight="1">
      <c r="A3817" s="1" t="s">
        <v>6570</v>
      </c>
      <c r="B3817" s="1">
        <v>111.0</v>
      </c>
      <c r="C3817" s="1">
        <v>1.0174663E7</v>
      </c>
      <c r="D3817" s="1" t="s">
        <v>1540</v>
      </c>
      <c r="E3817" s="1" t="s">
        <v>6570</v>
      </c>
      <c r="F3817" s="1" t="s">
        <v>7721</v>
      </c>
      <c r="G3817" s="1">
        <v>12399.0</v>
      </c>
      <c r="H3817" s="1">
        <v>382.0</v>
      </c>
      <c r="I3817" s="1" t="s">
        <v>16</v>
      </c>
      <c r="J3817" s="1">
        <v>100000.0</v>
      </c>
      <c r="K3817" s="1">
        <v>2006.0</v>
      </c>
      <c r="L3817" s="1">
        <v>6.7</v>
      </c>
      <c r="O3817" s="3"/>
      <c r="S3817" s="4"/>
    </row>
    <row r="3818" ht="14.25" customHeight="1">
      <c r="A3818" s="1" t="s">
        <v>7722</v>
      </c>
      <c r="B3818" s="1">
        <v>81.0</v>
      </c>
      <c r="C3818" s="1">
        <v>2.2757819E7</v>
      </c>
      <c r="D3818" s="1" t="s">
        <v>2657</v>
      </c>
      <c r="E3818" s="1" t="s">
        <v>7723</v>
      </c>
      <c r="F3818" s="1" t="s">
        <v>7724</v>
      </c>
      <c r="G3818" s="1">
        <v>13521.0</v>
      </c>
      <c r="H3818" s="1">
        <v>150.0</v>
      </c>
      <c r="I3818" s="1" t="s">
        <v>16</v>
      </c>
      <c r="J3818" s="1">
        <v>100000.0</v>
      </c>
      <c r="K3818" s="1">
        <v>2015.0</v>
      </c>
      <c r="L3818" s="1">
        <v>4.2</v>
      </c>
      <c r="O3818" s="3"/>
      <c r="S3818" s="4"/>
    </row>
    <row r="3819" ht="14.25" customHeight="1">
      <c r="A3819" s="1" t="s">
        <v>7725</v>
      </c>
      <c r="B3819" s="1">
        <v>81.0</v>
      </c>
      <c r="C3819" s="1">
        <v>5228617.0</v>
      </c>
      <c r="D3819" s="1" t="s">
        <v>828</v>
      </c>
      <c r="E3819" s="1" t="s">
        <v>7725</v>
      </c>
      <c r="F3819" s="1" t="s">
        <v>7726</v>
      </c>
      <c r="G3819" s="1">
        <v>2770.0</v>
      </c>
      <c r="H3819" s="1">
        <v>32.0</v>
      </c>
      <c r="I3819" s="1" t="s">
        <v>16</v>
      </c>
      <c r="J3819" s="1">
        <v>100000.0</v>
      </c>
      <c r="K3819" s="1">
        <v>1987.0</v>
      </c>
      <c r="L3819" s="1">
        <v>7.0</v>
      </c>
      <c r="O3819" s="3"/>
      <c r="S3819" s="4"/>
    </row>
    <row r="3820" ht="14.25" customHeight="1">
      <c r="A3820" s="1" t="s">
        <v>7727</v>
      </c>
      <c r="B3820" s="1">
        <v>90.0</v>
      </c>
      <c r="C3820" s="1">
        <v>110536.0</v>
      </c>
      <c r="D3820" s="1" t="s">
        <v>4830</v>
      </c>
      <c r="E3820" s="1" t="s">
        <v>7728</v>
      </c>
      <c r="F3820" s="1" t="s">
        <v>7729</v>
      </c>
      <c r="G3820" s="1">
        <v>4117.0</v>
      </c>
      <c r="H3820" s="1">
        <v>118.0</v>
      </c>
      <c r="I3820" s="1" t="s">
        <v>16</v>
      </c>
      <c r="J3820" s="1">
        <v>40000.0</v>
      </c>
      <c r="K3820" s="1">
        <v>2001.0</v>
      </c>
      <c r="L3820" s="1">
        <v>7.0</v>
      </c>
      <c r="O3820" s="3"/>
      <c r="S3820" s="4"/>
    </row>
    <row r="3821" ht="14.25" customHeight="1">
      <c r="A3821" s="1" t="s">
        <v>7730</v>
      </c>
      <c r="B3821" s="1">
        <v>88.0</v>
      </c>
      <c r="C3821" s="1">
        <v>59379.0</v>
      </c>
      <c r="D3821" s="1" t="s">
        <v>7731</v>
      </c>
      <c r="E3821" s="1" t="s">
        <v>7732</v>
      </c>
      <c r="F3821" s="1" t="s">
        <v>7733</v>
      </c>
      <c r="G3821" s="1">
        <v>12796.0</v>
      </c>
      <c r="H3821" s="1">
        <v>52.0</v>
      </c>
      <c r="I3821" s="1" t="s">
        <v>16</v>
      </c>
      <c r="J3821" s="1">
        <v>200000.0</v>
      </c>
      <c r="K3821" s="1">
        <v>2013.0</v>
      </c>
      <c r="L3821" s="1">
        <v>6.8</v>
      </c>
      <c r="O3821" s="3"/>
      <c r="S3821" s="4"/>
    </row>
    <row r="3822" ht="14.25" customHeight="1">
      <c r="A3822" s="1" t="s">
        <v>4894</v>
      </c>
      <c r="B3822" s="1">
        <v>114.0</v>
      </c>
      <c r="C3822" s="1">
        <v>3.2721635E7</v>
      </c>
      <c r="D3822" s="1" t="s">
        <v>2707</v>
      </c>
      <c r="E3822" s="1" t="s">
        <v>3968</v>
      </c>
      <c r="F3822" s="1" t="s">
        <v>4895</v>
      </c>
      <c r="G3822" s="1">
        <v>67824.0</v>
      </c>
      <c r="H3822" s="1">
        <v>279.0</v>
      </c>
      <c r="I3822" s="1" t="s">
        <v>16</v>
      </c>
      <c r="J3822" s="1">
        <v>1.5E7</v>
      </c>
      <c r="K3822" s="1">
        <v>2009.0</v>
      </c>
      <c r="L3822" s="1">
        <v>6.6</v>
      </c>
      <c r="O3822" s="3"/>
      <c r="S3822" s="4"/>
    </row>
    <row r="3823" ht="14.25" customHeight="1">
      <c r="A3823" s="1" t="s">
        <v>505</v>
      </c>
      <c r="B3823" s="1">
        <v>84.0</v>
      </c>
      <c r="C3823" s="1">
        <v>3216970.0</v>
      </c>
      <c r="D3823" s="1" t="s">
        <v>806</v>
      </c>
      <c r="E3823" s="1" t="s">
        <v>2244</v>
      </c>
      <c r="F3823" s="1" t="s">
        <v>7734</v>
      </c>
      <c r="G3823" s="1">
        <v>142619.0</v>
      </c>
      <c r="H3823" s="1">
        <v>586.0</v>
      </c>
      <c r="I3823" s="1" t="s">
        <v>16</v>
      </c>
      <c r="J3823" s="1">
        <v>60000.0</v>
      </c>
      <c r="K3823" s="1">
        <v>1998.0</v>
      </c>
      <c r="L3823" s="1">
        <v>7.5</v>
      </c>
      <c r="O3823" s="3"/>
      <c r="S3823" s="4"/>
    </row>
    <row r="3824" ht="14.25" customHeight="1">
      <c r="A3824" s="1" t="s">
        <v>7735</v>
      </c>
      <c r="B3824" s="1">
        <v>87.0</v>
      </c>
      <c r="C3824" s="1">
        <v>536767.0</v>
      </c>
      <c r="D3824" s="1" t="s">
        <v>2872</v>
      </c>
      <c r="E3824" s="1" t="s">
        <v>1070</v>
      </c>
      <c r="F3824" s="1" t="s">
        <v>7736</v>
      </c>
      <c r="G3824" s="1">
        <v>1622.0</v>
      </c>
      <c r="H3824" s="1">
        <v>83.0</v>
      </c>
      <c r="I3824" s="1" t="s">
        <v>16</v>
      </c>
      <c r="J3824" s="1">
        <v>60000.0</v>
      </c>
      <c r="K3824" s="1">
        <v>1998.0</v>
      </c>
      <c r="L3824" s="1">
        <v>5.3</v>
      </c>
      <c r="O3824" s="3"/>
      <c r="S3824" s="4"/>
    </row>
    <row r="3825" ht="14.25" customHeight="1">
      <c r="A3825" s="1" t="s">
        <v>5666</v>
      </c>
      <c r="B3825" s="1">
        <v>100.0</v>
      </c>
      <c r="C3825" s="1">
        <v>1.1529368E7</v>
      </c>
      <c r="D3825" s="1" t="s">
        <v>7737</v>
      </c>
      <c r="E3825" s="1" t="s">
        <v>7738</v>
      </c>
      <c r="F3825" s="1" t="s">
        <v>7739</v>
      </c>
      <c r="G3825" s="1">
        <v>85028.0</v>
      </c>
      <c r="H3825" s="1">
        <v>404.0</v>
      </c>
      <c r="I3825" s="1" t="s">
        <v>16</v>
      </c>
      <c r="J3825" s="1">
        <v>65000.0</v>
      </c>
      <c r="K3825" s="1">
        <v>2004.0</v>
      </c>
      <c r="L3825" s="1">
        <v>7.3</v>
      </c>
      <c r="O3825" s="3"/>
      <c r="S3825" s="4"/>
    </row>
    <row r="3826" ht="14.25" customHeight="1">
      <c r="A3826" s="1" t="s">
        <v>7740</v>
      </c>
      <c r="B3826" s="1">
        <v>82.0</v>
      </c>
      <c r="C3826" s="1">
        <v>40557.0</v>
      </c>
      <c r="D3826" s="1" t="s">
        <v>828</v>
      </c>
      <c r="E3826" s="1" t="s">
        <v>1774</v>
      </c>
      <c r="F3826" s="1" t="s">
        <v>7741</v>
      </c>
      <c r="G3826" s="1">
        <v>1389.0</v>
      </c>
      <c r="H3826" s="1">
        <v>22.0</v>
      </c>
      <c r="I3826" s="1" t="s">
        <v>16</v>
      </c>
      <c r="J3826" s="1">
        <v>60000.0</v>
      </c>
      <c r="K3826" s="1">
        <v>2011.0</v>
      </c>
      <c r="L3826" s="1">
        <v>5.6</v>
      </c>
      <c r="O3826" s="3"/>
      <c r="S3826" s="4"/>
    </row>
    <row r="3827" ht="14.25" customHeight="1">
      <c r="A3827" s="1" t="s">
        <v>7742</v>
      </c>
      <c r="B3827" s="1">
        <v>82.0</v>
      </c>
      <c r="C3827" s="1">
        <v>30084.0</v>
      </c>
      <c r="D3827" s="1" t="s">
        <v>1059</v>
      </c>
      <c r="E3827" s="1" t="s">
        <v>1032</v>
      </c>
      <c r="F3827" s="1" t="s">
        <v>7743</v>
      </c>
      <c r="G3827" s="1">
        <v>5507.0</v>
      </c>
      <c r="H3827" s="1">
        <v>23.0</v>
      </c>
      <c r="I3827" s="1" t="s">
        <v>16</v>
      </c>
      <c r="J3827" s="1">
        <v>70000.0</v>
      </c>
      <c r="K3827" s="1">
        <v>2014.0</v>
      </c>
      <c r="L3827" s="1">
        <v>5.6</v>
      </c>
      <c r="O3827" s="3"/>
      <c r="S3827" s="4"/>
    </row>
    <row r="3828" ht="14.25" customHeight="1">
      <c r="A3828" s="1" t="s">
        <v>6728</v>
      </c>
      <c r="B3828" s="1">
        <v>98.0</v>
      </c>
      <c r="C3828" s="1">
        <v>1.02466E7</v>
      </c>
      <c r="D3828" s="1" t="s">
        <v>593</v>
      </c>
      <c r="E3828" s="1" t="s">
        <v>7744</v>
      </c>
      <c r="F3828" s="1" t="s">
        <v>7745</v>
      </c>
      <c r="G3828" s="1">
        <v>6375.0</v>
      </c>
      <c r="H3828" s="1">
        <v>36.0</v>
      </c>
      <c r="I3828" s="1" t="s">
        <v>16</v>
      </c>
      <c r="J3828" s="1">
        <v>25000.0</v>
      </c>
      <c r="K3828" s="1">
        <v>1995.0</v>
      </c>
      <c r="L3828" s="1">
        <v>6.6</v>
      </c>
      <c r="O3828" s="3"/>
      <c r="S3828" s="4"/>
    </row>
    <row r="3829" ht="14.25" customHeight="1">
      <c r="A3829" s="1" t="s">
        <v>7366</v>
      </c>
      <c r="B3829" s="1">
        <v>98.0</v>
      </c>
      <c r="C3829" s="1">
        <v>389804.0</v>
      </c>
      <c r="D3829" s="1" t="s">
        <v>593</v>
      </c>
      <c r="E3829" s="1" t="s">
        <v>7366</v>
      </c>
      <c r="F3829" s="1" t="s">
        <v>7746</v>
      </c>
      <c r="G3829" s="1">
        <v>11816.0</v>
      </c>
      <c r="H3829" s="1">
        <v>35.0</v>
      </c>
      <c r="I3829" s="1" t="s">
        <v>16</v>
      </c>
      <c r="J3829" s="1">
        <v>65000.0</v>
      </c>
      <c r="K3829" s="1">
        <v>2010.0</v>
      </c>
      <c r="L3829" s="1">
        <v>6.3</v>
      </c>
      <c r="O3829" s="3"/>
      <c r="S3829" s="4"/>
    </row>
    <row r="3830" ht="14.25" customHeight="1">
      <c r="A3830" s="1" t="s">
        <v>2176</v>
      </c>
      <c r="B3830" s="1">
        <v>90.0</v>
      </c>
      <c r="C3830" s="1">
        <v>241816.0</v>
      </c>
      <c r="D3830" s="1" t="s">
        <v>1391</v>
      </c>
      <c r="E3830" s="1" t="s">
        <v>7747</v>
      </c>
      <c r="F3830" s="1" t="s">
        <v>7748</v>
      </c>
      <c r="G3830" s="1">
        <v>6246.0</v>
      </c>
      <c r="H3830" s="1">
        <v>76.0</v>
      </c>
      <c r="I3830" s="1" t="s">
        <v>16</v>
      </c>
      <c r="J3830" s="1">
        <v>42000.0</v>
      </c>
      <c r="K3830" s="1">
        <v>2000.0</v>
      </c>
      <c r="L3830" s="1">
        <v>7.5</v>
      </c>
      <c r="O3830" s="3"/>
      <c r="S3830" s="4"/>
    </row>
    <row r="3831" ht="14.25" customHeight="1">
      <c r="A3831" s="1" t="s">
        <v>7749</v>
      </c>
      <c r="B3831" s="1">
        <v>90.0</v>
      </c>
      <c r="C3831" s="1">
        <v>277233.0</v>
      </c>
      <c r="D3831" s="1" t="s">
        <v>699</v>
      </c>
      <c r="E3831" s="1" t="s">
        <v>7750</v>
      </c>
      <c r="F3831" s="1" t="s">
        <v>7751</v>
      </c>
      <c r="G3831" s="1">
        <v>2631.0</v>
      </c>
      <c r="H3831" s="1">
        <v>26.0</v>
      </c>
      <c r="I3831" s="1" t="s">
        <v>16</v>
      </c>
      <c r="J3831" s="1">
        <v>40000.0</v>
      </c>
      <c r="K3831" s="1">
        <v>1999.0</v>
      </c>
      <c r="L3831" s="1">
        <v>7.6</v>
      </c>
      <c r="O3831" s="3"/>
      <c r="S3831" s="4"/>
    </row>
    <row r="3832" ht="14.25" customHeight="1">
      <c r="A3832" s="1" t="s">
        <v>7752</v>
      </c>
      <c r="B3832" s="1">
        <v>78.0</v>
      </c>
      <c r="C3832" s="1">
        <v>243768.0</v>
      </c>
      <c r="D3832" s="1" t="s">
        <v>6162</v>
      </c>
      <c r="E3832" s="1" t="s">
        <v>7753</v>
      </c>
      <c r="F3832" s="1" t="s">
        <v>7754</v>
      </c>
      <c r="G3832" s="1">
        <v>143.0</v>
      </c>
      <c r="H3832" s="1">
        <v>9.0</v>
      </c>
      <c r="I3832" s="1" t="s">
        <v>16</v>
      </c>
      <c r="J3832" s="1">
        <v>30000.0</v>
      </c>
      <c r="K3832" s="1">
        <v>2007.0</v>
      </c>
      <c r="L3832" s="1">
        <v>4.1</v>
      </c>
      <c r="O3832" s="3"/>
      <c r="S3832" s="4"/>
    </row>
    <row r="3833" ht="14.25" customHeight="1">
      <c r="A3833" s="1" t="s">
        <v>2839</v>
      </c>
      <c r="B3833" s="1">
        <v>102.0</v>
      </c>
      <c r="C3833" s="1">
        <v>3151130.0</v>
      </c>
      <c r="D3833" s="1" t="s">
        <v>828</v>
      </c>
      <c r="E3833" s="1" t="s">
        <v>5173</v>
      </c>
      <c r="F3833" s="1" t="s">
        <v>7755</v>
      </c>
      <c r="G3833" s="1">
        <v>181749.0</v>
      </c>
      <c r="H3833" s="1">
        <v>615.0</v>
      </c>
      <c r="I3833" s="1" t="s">
        <v>16</v>
      </c>
      <c r="J3833" s="1">
        <v>230000.0</v>
      </c>
      <c r="K3833" s="1">
        <v>1994.0</v>
      </c>
      <c r="L3833" s="1">
        <v>7.8</v>
      </c>
      <c r="O3833" s="3"/>
      <c r="S3833" s="4"/>
    </row>
    <row r="3834" ht="14.25" customHeight="1">
      <c r="A3834" s="1" t="s">
        <v>7756</v>
      </c>
      <c r="B3834" s="1">
        <v>65.0</v>
      </c>
      <c r="C3834" s="1">
        <v>8231.0</v>
      </c>
      <c r="D3834" s="1" t="s">
        <v>2143</v>
      </c>
      <c r="E3834" s="1" t="s">
        <v>7757</v>
      </c>
      <c r="F3834" s="1" t="s">
        <v>7758</v>
      </c>
      <c r="G3834" s="1">
        <v>803.0</v>
      </c>
      <c r="H3834" s="1">
        <v>16.0</v>
      </c>
      <c r="I3834" s="1" t="s">
        <v>16</v>
      </c>
      <c r="J3834" s="1">
        <v>27000.0</v>
      </c>
      <c r="K3834" s="1">
        <v>1971.0</v>
      </c>
      <c r="L3834" s="1">
        <v>6.7</v>
      </c>
      <c r="O3834" s="3"/>
      <c r="S3834" s="4"/>
    </row>
    <row r="3835" ht="14.25" customHeight="1">
      <c r="A3835" s="1" t="s">
        <v>3926</v>
      </c>
      <c r="B3835" s="1">
        <v>97.0</v>
      </c>
      <c r="C3835" s="1">
        <v>2856622.0</v>
      </c>
      <c r="D3835" s="1" t="s">
        <v>1059</v>
      </c>
      <c r="E3835" s="1" t="s">
        <v>7759</v>
      </c>
      <c r="F3835" s="1" t="s">
        <v>7760</v>
      </c>
      <c r="G3835" s="1">
        <v>11550.0</v>
      </c>
      <c r="H3835" s="1">
        <v>197.0</v>
      </c>
      <c r="I3835" s="1" t="s">
        <v>16</v>
      </c>
      <c r="J3835" s="1">
        <v>25000.0</v>
      </c>
      <c r="K3835" s="1">
        <v>1997.0</v>
      </c>
      <c r="L3835" s="1">
        <v>7.3</v>
      </c>
      <c r="O3835" s="3"/>
      <c r="S3835" s="4"/>
    </row>
    <row r="3836" ht="14.25" customHeight="1">
      <c r="A3836" s="1" t="s">
        <v>218</v>
      </c>
      <c r="B3836" s="1">
        <v>109.0</v>
      </c>
      <c r="C3836" s="1">
        <v>1.0499968E7</v>
      </c>
      <c r="D3836" s="1" t="s">
        <v>197</v>
      </c>
      <c r="E3836" s="1" t="s">
        <v>3038</v>
      </c>
      <c r="F3836" s="1" t="s">
        <v>3039</v>
      </c>
      <c r="G3836" s="1">
        <v>47502.0</v>
      </c>
      <c r="H3836" s="1">
        <v>212.0</v>
      </c>
      <c r="I3836" s="1" t="s">
        <v>16</v>
      </c>
      <c r="J3836" s="1">
        <v>3.5E7</v>
      </c>
      <c r="K3836" s="1">
        <v>2014.0</v>
      </c>
      <c r="L3836" s="1">
        <v>5.7</v>
      </c>
      <c r="O3836" s="3"/>
      <c r="S3836" s="4"/>
    </row>
    <row r="3837" ht="14.25" customHeight="1">
      <c r="A3837" s="1" t="s">
        <v>3582</v>
      </c>
      <c r="B3837" s="1">
        <v>100.0</v>
      </c>
      <c r="C3837" s="1">
        <v>1227508.0</v>
      </c>
      <c r="D3837" s="1" t="s">
        <v>1059</v>
      </c>
      <c r="E3837" s="1" t="s">
        <v>7761</v>
      </c>
      <c r="F3837" s="1" t="s">
        <v>7762</v>
      </c>
      <c r="G3837" s="1">
        <v>15103.0</v>
      </c>
      <c r="H3837" s="1">
        <v>80.0</v>
      </c>
      <c r="I3837" s="1" t="s">
        <v>16</v>
      </c>
      <c r="J3837" s="1">
        <v>23000.0</v>
      </c>
      <c r="K3837" s="1">
        <v>1991.0</v>
      </c>
      <c r="L3837" s="1">
        <v>7.1</v>
      </c>
      <c r="O3837" s="3"/>
      <c r="S3837" s="4"/>
    </row>
    <row r="3838" ht="14.25" customHeight="1">
      <c r="A3838" s="1" t="s">
        <v>5724</v>
      </c>
      <c r="B3838" s="1">
        <v>85.0</v>
      </c>
      <c r="C3838" s="1">
        <v>192467.0</v>
      </c>
      <c r="D3838" s="1" t="s">
        <v>593</v>
      </c>
      <c r="E3838" s="1" t="s">
        <v>7719</v>
      </c>
      <c r="F3838" s="1" t="s">
        <v>7763</v>
      </c>
      <c r="G3838" s="1">
        <v>4067.0</v>
      </c>
      <c r="H3838" s="1">
        <v>71.0</v>
      </c>
      <c r="I3838" s="1" t="s">
        <v>16</v>
      </c>
      <c r="J3838" s="1">
        <v>15000.0</v>
      </c>
      <c r="K3838" s="1">
        <v>2005.0</v>
      </c>
      <c r="L3838" s="1">
        <v>6.6</v>
      </c>
      <c r="O3838" s="3"/>
      <c r="S3838" s="4"/>
    </row>
    <row r="3839" ht="14.25" customHeight="1">
      <c r="A3839" s="1" t="s">
        <v>7764</v>
      </c>
      <c r="B3839" s="1">
        <v>88.0</v>
      </c>
      <c r="C3839" s="1">
        <v>76382.0</v>
      </c>
      <c r="D3839" s="1" t="s">
        <v>1973</v>
      </c>
      <c r="E3839" s="1" t="s">
        <v>7765</v>
      </c>
      <c r="F3839" s="1" t="s">
        <v>7766</v>
      </c>
      <c r="G3839" s="1">
        <v>1194.0</v>
      </c>
      <c r="H3839" s="1">
        <v>8.0</v>
      </c>
      <c r="I3839" s="1" t="s">
        <v>16</v>
      </c>
      <c r="J3839" s="1">
        <v>15000.0</v>
      </c>
      <c r="K3839" s="1">
        <v>2009.0</v>
      </c>
      <c r="L3839" s="1">
        <v>6.2</v>
      </c>
      <c r="O3839" s="3"/>
      <c r="S3839" s="4"/>
    </row>
    <row r="3840" ht="14.25" customHeight="1">
      <c r="A3840" s="1" t="s">
        <v>5239</v>
      </c>
      <c r="B3840" s="1">
        <v>108.0</v>
      </c>
      <c r="C3840" s="1">
        <v>180483.0</v>
      </c>
      <c r="D3840" s="1" t="s">
        <v>7767</v>
      </c>
      <c r="E3840" s="1" t="s">
        <v>7768</v>
      </c>
      <c r="F3840" s="1" t="s">
        <v>7769</v>
      </c>
      <c r="G3840" s="1">
        <v>16792.0</v>
      </c>
      <c r="H3840" s="1">
        <v>183.0</v>
      </c>
      <c r="I3840" s="1" t="s">
        <v>16</v>
      </c>
      <c r="J3840" s="1">
        <v>10000.0</v>
      </c>
      <c r="K3840" s="1">
        <v>1972.0</v>
      </c>
      <c r="L3840" s="1">
        <v>6.1</v>
      </c>
      <c r="O3840" s="3"/>
      <c r="S3840" s="4"/>
    </row>
    <row r="3841" ht="14.25" customHeight="1">
      <c r="A3841" s="1" t="s">
        <v>5253</v>
      </c>
      <c r="B3841" s="1">
        <v>110.0</v>
      </c>
      <c r="C3841" s="1">
        <v>136007.0</v>
      </c>
      <c r="D3841" s="1" t="s">
        <v>3098</v>
      </c>
      <c r="E3841" s="1" t="s">
        <v>7770</v>
      </c>
      <c r="F3841" s="1" t="s">
        <v>7771</v>
      </c>
      <c r="G3841" s="1">
        <v>3924.0</v>
      </c>
      <c r="H3841" s="1">
        <v>39.0</v>
      </c>
      <c r="I3841" s="1" t="s">
        <v>1189</v>
      </c>
      <c r="J3841" s="1">
        <v>4500.0</v>
      </c>
      <c r="K3841" s="1">
        <v>2004.0</v>
      </c>
      <c r="L3841" s="1">
        <v>6.9</v>
      </c>
      <c r="O3841" s="3"/>
      <c r="S3841" s="4"/>
    </row>
    <row r="3842" ht="14.25" customHeight="1">
      <c r="A3842" s="1" t="s">
        <v>7772</v>
      </c>
      <c r="B3842" s="1">
        <v>90.0</v>
      </c>
      <c r="C3842" s="1">
        <v>673780.0</v>
      </c>
      <c r="D3842" s="1" t="s">
        <v>1391</v>
      </c>
      <c r="E3842" s="1" t="s">
        <v>7773</v>
      </c>
      <c r="F3842" s="1" t="s">
        <v>7774</v>
      </c>
      <c r="G3842" s="1">
        <v>4555.0</v>
      </c>
      <c r="H3842" s="1">
        <v>26.0</v>
      </c>
      <c r="I3842" s="1" t="s">
        <v>7414</v>
      </c>
      <c r="J3842" s="1">
        <v>10000.0</v>
      </c>
      <c r="K3842" s="1">
        <v>2000.0</v>
      </c>
      <c r="L3842" s="1">
        <v>7.5</v>
      </c>
      <c r="O3842" s="3"/>
      <c r="S3842" s="4"/>
    </row>
    <row r="3843" ht="14.25" customHeight="1">
      <c r="A3843" s="1" t="s">
        <v>7775</v>
      </c>
      <c r="B3843" s="1">
        <v>111.0</v>
      </c>
      <c r="C3843" s="1">
        <v>94596.0</v>
      </c>
      <c r="D3843" s="1" t="s">
        <v>3105</v>
      </c>
      <c r="E3843" s="1" t="s">
        <v>7776</v>
      </c>
      <c r="F3843" s="1" t="s">
        <v>7777</v>
      </c>
      <c r="G3843" s="1">
        <v>6318.0</v>
      </c>
      <c r="H3843" s="1">
        <v>50.0</v>
      </c>
      <c r="I3843" s="1" t="s">
        <v>3076</v>
      </c>
      <c r="J3843" s="1">
        <v>1000000.0</v>
      </c>
      <c r="K3843" s="1">
        <v>1997.0</v>
      </c>
      <c r="L3843" s="1">
        <v>7.4</v>
      </c>
      <c r="O3843" s="3"/>
      <c r="S3843" s="4"/>
    </row>
    <row r="3844" ht="14.25" customHeight="1">
      <c r="A3844" s="1" t="s">
        <v>7778</v>
      </c>
      <c r="B3844" s="1">
        <v>77.0</v>
      </c>
      <c r="C3844" s="1">
        <v>424760.0</v>
      </c>
      <c r="D3844" s="1" t="s">
        <v>1112</v>
      </c>
      <c r="E3844" s="1" t="s">
        <v>7778</v>
      </c>
      <c r="F3844" s="1" t="s">
        <v>7779</v>
      </c>
      <c r="G3844" s="1">
        <v>72639.0</v>
      </c>
      <c r="H3844" s="1">
        <v>371.0</v>
      </c>
      <c r="I3844" s="1" t="s">
        <v>16</v>
      </c>
      <c r="J3844" s="1">
        <v>7000.0</v>
      </c>
      <c r="K3844" s="1">
        <v>2004.0</v>
      </c>
      <c r="L3844" s="1">
        <v>7.0</v>
      </c>
      <c r="O3844" s="3"/>
      <c r="S3844" s="4"/>
    </row>
    <row r="3845" ht="14.25" customHeight="1">
      <c r="A3845" s="1" t="s">
        <v>7780</v>
      </c>
      <c r="B3845" s="1">
        <v>80.0</v>
      </c>
      <c r="C3845" s="1">
        <v>70071.0</v>
      </c>
      <c r="D3845" s="1" t="s">
        <v>2862</v>
      </c>
      <c r="E3845" s="1" t="s">
        <v>7781</v>
      </c>
      <c r="F3845" s="1" t="s">
        <v>7782</v>
      </c>
      <c r="G3845" s="1">
        <v>589.0</v>
      </c>
      <c r="H3845" s="1">
        <v>35.0</v>
      </c>
      <c r="I3845" s="1" t="s">
        <v>16</v>
      </c>
      <c r="J3845" s="1">
        <v>7000.0</v>
      </c>
      <c r="K3845" s="1">
        <v>2005.0</v>
      </c>
      <c r="L3845" s="1">
        <v>6.3</v>
      </c>
      <c r="O3845" s="3"/>
      <c r="S3845" s="4"/>
    </row>
    <row r="3846" ht="14.25" customHeight="1">
      <c r="A3846" s="1" t="s">
        <v>1980</v>
      </c>
      <c r="B3846" s="1">
        <v>81.0</v>
      </c>
      <c r="C3846" s="1">
        <v>2040920.0</v>
      </c>
      <c r="D3846" s="1" t="s">
        <v>2311</v>
      </c>
      <c r="E3846" s="1" t="s">
        <v>7783</v>
      </c>
      <c r="F3846" s="1" t="s">
        <v>7784</v>
      </c>
      <c r="G3846" s="1">
        <v>52055.0</v>
      </c>
      <c r="H3846" s="1">
        <v>130.0</v>
      </c>
      <c r="I3846" s="1" t="s">
        <v>1144</v>
      </c>
      <c r="J3846" s="1">
        <v>7000.0</v>
      </c>
      <c r="K3846" s="1">
        <v>1992.0</v>
      </c>
      <c r="L3846" s="1">
        <v>6.9</v>
      </c>
      <c r="O3846" s="3"/>
      <c r="S3846" s="4"/>
    </row>
    <row r="3847" ht="14.25" customHeight="1">
      <c r="A3847" s="1" t="s">
        <v>6728</v>
      </c>
      <c r="B3847" s="1">
        <v>95.0</v>
      </c>
      <c r="C3847" s="1">
        <v>4584.0</v>
      </c>
      <c r="D3847" s="1" t="s">
        <v>1059</v>
      </c>
      <c r="E3847" s="1" t="s">
        <v>7785</v>
      </c>
      <c r="F3847" s="1" t="s">
        <v>7786</v>
      </c>
      <c r="G3847" s="1">
        <v>1338.0</v>
      </c>
      <c r="H3847" s="1">
        <v>14.0</v>
      </c>
      <c r="I3847" s="1" t="s">
        <v>16</v>
      </c>
      <c r="J3847" s="1">
        <v>9000.0</v>
      </c>
      <c r="K3847" s="1">
        <v>2011.0</v>
      </c>
      <c r="L3847" s="1">
        <v>6.4</v>
      </c>
      <c r="O3847" s="3"/>
      <c r="S3847" s="4"/>
    </row>
    <row r="3848" ht="14.25" customHeight="1">
      <c r="A3848" s="1" t="s">
        <v>6979</v>
      </c>
      <c r="B3848" s="1">
        <v>90.0</v>
      </c>
      <c r="C3848" s="1">
        <v>85222.0</v>
      </c>
      <c r="D3848" s="1" t="s">
        <v>3521</v>
      </c>
      <c r="E3848" s="1" t="s">
        <v>7787</v>
      </c>
      <c r="F3848" s="1" t="s">
        <v>7788</v>
      </c>
      <c r="G3848" s="1">
        <v>4285.0</v>
      </c>
      <c r="H3848" s="1">
        <v>84.0</v>
      </c>
      <c r="I3848" s="1" t="s">
        <v>16</v>
      </c>
      <c r="J3848" s="1">
        <v>1100.0</v>
      </c>
      <c r="K3848" s="1">
        <v>2004.0</v>
      </c>
      <c r="L3848" s="1">
        <v>6.6</v>
      </c>
      <c r="O3848" s="3"/>
      <c r="S3848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86"/>
    <col customWidth="1" min="3" max="3" width="18.29"/>
    <col customWidth="1" min="4" max="4" width="11.71"/>
    <col customWidth="1" min="5" max="5" width="32.0"/>
    <col customWidth="1" min="6" max="6" width="12.57"/>
    <col customWidth="1" min="7" max="8" width="10.0"/>
    <col customWidth="1" min="9" max="9" width="12.71"/>
    <col customWidth="1" min="10" max="10" width="12.14"/>
    <col customWidth="1" min="11" max="26" width="8.71"/>
  </cols>
  <sheetData>
    <row r="1" ht="14.25" customHeight="1">
      <c r="A1" s="9" t="s">
        <v>7789</v>
      </c>
      <c r="B1" s="9" t="s">
        <v>7790</v>
      </c>
      <c r="D1" s="3"/>
      <c r="E1" s="10" t="s">
        <v>7791</v>
      </c>
      <c r="F1" s="10"/>
      <c r="G1" s="11"/>
      <c r="H1" s="12"/>
      <c r="I1" s="12"/>
      <c r="J1" s="4"/>
      <c r="K1" s="4"/>
    </row>
    <row r="2" ht="14.25" customHeight="1">
      <c r="A2" s="13" t="s">
        <v>553</v>
      </c>
      <c r="B2" s="14">
        <f>COUNTIF(IMDB_Movies!D:D, "*"&amp;A2&amp;"*")</f>
        <v>962</v>
      </c>
      <c r="D2" s="15"/>
      <c r="E2" s="12"/>
      <c r="F2" s="16"/>
      <c r="G2" s="15"/>
      <c r="H2" s="12"/>
      <c r="I2" s="12"/>
      <c r="J2" s="4"/>
      <c r="K2" s="4"/>
    </row>
    <row r="3" ht="14.25" customHeight="1">
      <c r="A3" s="13" t="s">
        <v>404</v>
      </c>
      <c r="B3" s="14">
        <f>COUNTIF(IMDB_Movies!D:D, "*"&amp;A3&amp;"*")</f>
        <v>787</v>
      </c>
      <c r="C3" s="3"/>
      <c r="D3" s="17"/>
      <c r="E3" s="18"/>
      <c r="F3" s="18"/>
      <c r="G3" s="17"/>
      <c r="H3" s="18"/>
      <c r="I3" s="18"/>
      <c r="J3" s="19"/>
      <c r="K3" s="4"/>
    </row>
    <row r="4" ht="14.25" customHeight="1">
      <c r="A4" s="13" t="s">
        <v>7792</v>
      </c>
      <c r="B4" s="14">
        <f>COUNTIF(IMDB_Movies!D:D, "*"&amp;A4&amp;"*")</f>
        <v>199</v>
      </c>
      <c r="C4" s="3"/>
      <c r="D4" s="20" t="s">
        <v>7793</v>
      </c>
      <c r="E4" s="21" t="s">
        <v>7794</v>
      </c>
      <c r="F4" s="21" t="s">
        <v>7795</v>
      </c>
      <c r="G4" s="21" t="s">
        <v>7796</v>
      </c>
      <c r="H4" s="21" t="s">
        <v>7797</v>
      </c>
      <c r="I4" s="21" t="s">
        <v>7798</v>
      </c>
      <c r="J4" s="21" t="s">
        <v>7799</v>
      </c>
      <c r="K4" s="4"/>
    </row>
    <row r="5" ht="14.25" customHeight="1">
      <c r="A5" s="13" t="s">
        <v>828</v>
      </c>
      <c r="B5" s="14">
        <f>COUNTIF(IMDB_Movies!D:D, "*"&amp;A5&amp;"*")</f>
        <v>1503</v>
      </c>
      <c r="D5" s="20">
        <f>AVERAGE(B2:B19)</f>
        <v>590.6666667</v>
      </c>
      <c r="E5" s="20">
        <v>129.0</v>
      </c>
      <c r="F5" s="20">
        <f>MEDIAN(B2:B19)</f>
        <v>473.5</v>
      </c>
      <c r="G5" s="20">
        <f>MAX(B2:B19)</f>
        <v>1941</v>
      </c>
      <c r="H5" s="20">
        <f>MIN(B2:B19)</f>
        <v>58</v>
      </c>
      <c r="I5" s="20">
        <f>STDEV(B2:B19)</f>
        <v>531.7947415</v>
      </c>
      <c r="J5" s="20">
        <f>VAR(B2:B19)</f>
        <v>282805.6471</v>
      </c>
      <c r="K5" s="4"/>
    </row>
    <row r="6" ht="14.25" customHeight="1">
      <c r="A6" s="13" t="s">
        <v>7800</v>
      </c>
      <c r="B6" s="14">
        <f>COUNTIF(IMDB_Movies!D:D, "*"&amp;A6&amp;"*")</f>
        <v>714</v>
      </c>
      <c r="E6" s="4"/>
      <c r="F6" s="4"/>
      <c r="G6" s="4"/>
      <c r="H6" s="4"/>
      <c r="I6" s="12"/>
      <c r="J6" s="4"/>
      <c r="K6" s="4"/>
    </row>
    <row r="7" ht="14.25" customHeight="1">
      <c r="A7" s="13" t="s">
        <v>3521</v>
      </c>
      <c r="B7" s="14">
        <f>COUNTIF(IMDB_Movies!D:D, "*"&amp;A7&amp;"*")</f>
        <v>63</v>
      </c>
      <c r="E7" s="4"/>
      <c r="F7" s="4"/>
      <c r="G7" s="4"/>
      <c r="H7" s="4"/>
      <c r="I7" s="4"/>
      <c r="J7" s="4"/>
      <c r="K7" s="4"/>
    </row>
    <row r="8" ht="14.25" customHeight="1">
      <c r="A8" s="13" t="s">
        <v>1391</v>
      </c>
      <c r="B8" s="14">
        <f>COUNTIF(IMDB_Movies!D:D, "*"&amp;A8&amp;"*")</f>
        <v>1941</v>
      </c>
      <c r="E8" s="4"/>
      <c r="F8" s="4"/>
      <c r="G8" s="4"/>
      <c r="H8" s="4"/>
      <c r="I8" s="4"/>
      <c r="J8" s="4"/>
      <c r="K8" s="4"/>
    </row>
    <row r="9" ht="14.25" customHeight="1">
      <c r="A9" s="13" t="s">
        <v>7801</v>
      </c>
      <c r="B9" s="14">
        <f>COUNTIF(IMDB_Movies!D:D, "*"&amp;A9&amp;"*")</f>
        <v>450</v>
      </c>
      <c r="E9" s="4"/>
      <c r="F9" s="4"/>
      <c r="G9" s="4"/>
      <c r="H9" s="4"/>
      <c r="I9" s="4"/>
      <c r="J9" s="4"/>
      <c r="K9" s="4"/>
    </row>
    <row r="10" ht="14.25" customHeight="1">
      <c r="A10" s="13" t="s">
        <v>7802</v>
      </c>
      <c r="B10" s="14">
        <f>COUNTIF(IMDB_Movies!D:D, "*"&amp;A10&amp;"*")</f>
        <v>514</v>
      </c>
      <c r="C10" s="15"/>
      <c r="D10" s="12"/>
      <c r="E10" s="12"/>
      <c r="F10" s="15"/>
      <c r="G10" s="12"/>
      <c r="H10" s="12"/>
      <c r="I10" s="12"/>
      <c r="J10" s="4"/>
      <c r="K10" s="4"/>
    </row>
    <row r="11" ht="14.25" customHeight="1">
      <c r="A11" s="13" t="s">
        <v>7803</v>
      </c>
      <c r="B11" s="14">
        <f>COUNTIF(IMDB_Movies!D:D, "*"&amp;A11&amp;"*")</f>
        <v>153</v>
      </c>
      <c r="C11" s="15"/>
      <c r="D11" s="12"/>
      <c r="E11" s="12"/>
      <c r="F11" s="15"/>
      <c r="G11" s="12"/>
      <c r="H11" s="12"/>
      <c r="I11" s="12"/>
      <c r="J11" s="4"/>
      <c r="K11" s="4"/>
    </row>
    <row r="12" ht="14.25" customHeight="1">
      <c r="A12" s="13" t="s">
        <v>7804</v>
      </c>
      <c r="B12" s="14">
        <f>COUNTIF(IMDB_Movies!D:D, "*"&amp;A12&amp;"*")</f>
        <v>103</v>
      </c>
      <c r="C12" s="15"/>
      <c r="D12" s="12"/>
      <c r="E12" s="22"/>
      <c r="F12" s="15"/>
      <c r="G12" s="12"/>
      <c r="H12" s="12"/>
      <c r="I12" s="12"/>
      <c r="J12" s="4"/>
      <c r="K12" s="4"/>
    </row>
    <row r="13" ht="14.25" customHeight="1">
      <c r="A13" s="13" t="s">
        <v>7805</v>
      </c>
      <c r="B13" s="14">
        <f>COUNTIF(IMDB_Movies!D:D, "*"&amp;A13&amp;"*")</f>
        <v>383</v>
      </c>
      <c r="C13" s="15"/>
      <c r="D13" s="12"/>
      <c r="E13" s="22"/>
      <c r="F13" s="15"/>
      <c r="G13" s="12"/>
      <c r="H13" s="12"/>
      <c r="I13" s="12"/>
      <c r="J13" s="4"/>
      <c r="K13" s="4"/>
    </row>
    <row r="14" ht="14.25" customHeight="1">
      <c r="A14" s="13" t="s">
        <v>1973</v>
      </c>
      <c r="B14" s="14">
        <f>COUNTIF(IMDB_Movies!D:D, "*"&amp;A14&amp;"*")</f>
        <v>877</v>
      </c>
      <c r="C14" s="15"/>
      <c r="D14" s="12"/>
      <c r="E14" s="22"/>
      <c r="F14" s="15"/>
      <c r="G14" s="12"/>
      <c r="H14" s="12"/>
      <c r="I14" s="12"/>
      <c r="J14" s="4"/>
      <c r="K14" s="4"/>
    </row>
    <row r="15" ht="14.25" customHeight="1">
      <c r="A15" s="13" t="s">
        <v>7656</v>
      </c>
      <c r="B15" s="14">
        <f>COUNTIF(IMDB_Movies!D:D, "*"&amp;A15&amp;"*")</f>
        <v>497</v>
      </c>
      <c r="C15" s="15"/>
      <c r="D15" s="12"/>
      <c r="E15" s="22"/>
      <c r="F15" s="15"/>
      <c r="G15" s="12"/>
      <c r="H15" s="12"/>
      <c r="I15" s="12"/>
      <c r="J15" s="4"/>
      <c r="K15" s="4"/>
    </row>
    <row r="16" ht="14.25" customHeight="1">
      <c r="A16" s="13" t="s">
        <v>7806</v>
      </c>
      <c r="B16" s="14">
        <f>COUNTIF(IMDB_Movies!D:D, "*"&amp;A16&amp;"*")</f>
        <v>151</v>
      </c>
      <c r="C16" s="15"/>
      <c r="D16" s="12"/>
      <c r="E16" s="22"/>
      <c r="F16" s="15"/>
      <c r="G16" s="12"/>
      <c r="H16" s="12"/>
      <c r="I16" s="12"/>
      <c r="J16" s="4"/>
      <c r="K16" s="4"/>
    </row>
    <row r="17" ht="14.25" customHeight="1">
      <c r="A17" s="13" t="s">
        <v>2862</v>
      </c>
      <c r="B17" s="14">
        <f>COUNTIF(IMDB_Movies!D:D, "*"&amp;A17&amp;"*")</f>
        <v>1117</v>
      </c>
      <c r="C17" s="15"/>
      <c r="D17" s="12"/>
      <c r="E17" s="22"/>
      <c r="F17" s="15"/>
      <c r="G17" s="12"/>
      <c r="H17" s="12"/>
      <c r="I17" s="12"/>
      <c r="J17" s="4"/>
      <c r="K17" s="4"/>
    </row>
    <row r="18" ht="14.25" customHeight="1">
      <c r="A18" s="13" t="s">
        <v>7807</v>
      </c>
      <c r="B18" s="14">
        <f>COUNTIF(IMDB_Movies!D:D, "*"&amp;A18&amp;"*")</f>
        <v>160</v>
      </c>
      <c r="C18" s="15"/>
      <c r="D18" s="12"/>
      <c r="E18" s="22"/>
      <c r="F18" s="15"/>
      <c r="G18" s="15"/>
      <c r="H18" s="12"/>
      <c r="I18" s="12"/>
      <c r="J18" s="4"/>
      <c r="K18" s="4"/>
    </row>
    <row r="19" ht="14.25" customHeight="1">
      <c r="A19" s="23" t="s">
        <v>6162</v>
      </c>
      <c r="B19" s="14">
        <f>COUNTIF(IMDB_Movies!D:D, "*"&amp;A19&amp;"*")</f>
        <v>58</v>
      </c>
      <c r="C19" s="15"/>
      <c r="D19" s="12"/>
      <c r="E19" s="22"/>
      <c r="F19" s="15"/>
      <c r="G19" s="12"/>
      <c r="H19" s="12"/>
      <c r="I19" s="12"/>
      <c r="J19" s="4"/>
      <c r="K19" s="4"/>
    </row>
    <row r="20" ht="14.25" customHeight="1">
      <c r="C20" s="15"/>
      <c r="D20" s="12"/>
      <c r="E20" s="22"/>
      <c r="F20" s="15"/>
      <c r="G20" s="12"/>
      <c r="H20" s="12"/>
      <c r="I20" s="12"/>
      <c r="J20" s="4"/>
      <c r="K20" s="4"/>
    </row>
    <row r="21" ht="14.25" customHeight="1">
      <c r="C21" s="15"/>
      <c r="D21" s="12"/>
      <c r="E21" s="22"/>
      <c r="F21" s="15"/>
      <c r="G21" s="12"/>
      <c r="H21" s="12"/>
      <c r="I21" s="12"/>
      <c r="J21" s="4"/>
      <c r="K21" s="4"/>
    </row>
    <row r="22" ht="14.25" customHeight="1">
      <c r="E22" s="4"/>
      <c r="F22" s="4"/>
      <c r="G22" s="4"/>
      <c r="H22" s="4"/>
      <c r="I22" s="4"/>
      <c r="J22" s="4"/>
      <c r="K22" s="4"/>
    </row>
    <row r="23" ht="14.25" customHeight="1">
      <c r="E23" s="4"/>
      <c r="F23" s="4"/>
      <c r="G23" s="4"/>
      <c r="H23" s="4"/>
      <c r="I23" s="4"/>
      <c r="J23" s="4"/>
      <c r="K23" s="4"/>
    </row>
    <row r="24" ht="14.25" customHeight="1">
      <c r="E24" s="4"/>
      <c r="F24" s="4"/>
      <c r="G24" s="4"/>
      <c r="H24" s="4"/>
      <c r="I24" s="4"/>
      <c r="J24" s="4"/>
      <c r="K24" s="4"/>
    </row>
    <row r="25" ht="14.25" customHeight="1">
      <c r="E25" s="4"/>
      <c r="F25" s="4"/>
      <c r="G25" s="4"/>
      <c r="H25" s="4"/>
      <c r="I25" s="4"/>
      <c r="J25" s="4"/>
      <c r="K25" s="4"/>
    </row>
    <row r="26" ht="14.25" customHeight="1">
      <c r="E26" s="4"/>
      <c r="F26" s="4"/>
      <c r="G26" s="4"/>
      <c r="H26" s="4"/>
      <c r="I26" s="4"/>
      <c r="J26" s="4"/>
      <c r="K26" s="4"/>
    </row>
    <row r="27" ht="14.25" customHeight="1">
      <c r="E27" s="4"/>
      <c r="F27" s="4"/>
      <c r="G27" s="4"/>
      <c r="H27" s="4"/>
      <c r="I27" s="4"/>
      <c r="J27" s="4"/>
      <c r="K27" s="4"/>
    </row>
    <row r="28" ht="14.25" customHeight="1">
      <c r="E28" s="4"/>
      <c r="F28" s="4"/>
      <c r="G28" s="4"/>
      <c r="H28" s="4"/>
      <c r="I28" s="4"/>
      <c r="J28" s="4"/>
      <c r="K28" s="4"/>
    </row>
    <row r="29" ht="14.25" customHeight="1">
      <c r="E29" s="4"/>
      <c r="F29" s="4"/>
      <c r="G29" s="4"/>
      <c r="H29" s="4"/>
      <c r="I29" s="4"/>
      <c r="J29" s="4"/>
      <c r="K29" s="4"/>
    </row>
    <row r="30" ht="14.25" customHeight="1">
      <c r="E30" s="4"/>
      <c r="F30" s="4"/>
      <c r="G30" s="4"/>
      <c r="H30" s="4"/>
      <c r="I30" s="4"/>
      <c r="J30" s="4"/>
      <c r="K30" s="4"/>
    </row>
    <row r="31" ht="14.25" customHeight="1">
      <c r="E31" s="4"/>
      <c r="F31" s="4"/>
      <c r="G31" s="4"/>
      <c r="H31" s="4"/>
      <c r="I31" s="4"/>
      <c r="J31" s="4"/>
      <c r="K31" s="4"/>
    </row>
    <row r="32" ht="14.25" customHeight="1">
      <c r="E32" s="4"/>
      <c r="F32" s="4"/>
      <c r="G32" s="4"/>
      <c r="H32" s="4"/>
      <c r="I32" s="4"/>
      <c r="J32" s="4"/>
      <c r="K32" s="4"/>
    </row>
    <row r="33" ht="14.25" customHeight="1">
      <c r="E33" s="4"/>
      <c r="F33" s="4"/>
      <c r="G33" s="4"/>
      <c r="H33" s="4"/>
      <c r="I33" s="4"/>
      <c r="J33" s="4"/>
      <c r="K33" s="4"/>
    </row>
    <row r="34" ht="14.25" customHeight="1">
      <c r="E34" s="4"/>
      <c r="F34" s="4"/>
      <c r="G34" s="4"/>
      <c r="H34" s="4"/>
      <c r="I34" s="4"/>
      <c r="J34" s="4"/>
      <c r="K34" s="4"/>
    </row>
    <row r="35" ht="14.25" customHeight="1">
      <c r="E35" s="4"/>
      <c r="F35" s="4"/>
      <c r="G35" s="4"/>
      <c r="H35" s="4"/>
      <c r="I35" s="4"/>
      <c r="J35" s="4"/>
      <c r="K35" s="4"/>
    </row>
    <row r="36" ht="14.25" customHeight="1">
      <c r="E36" s="4"/>
      <c r="F36" s="4"/>
      <c r="G36" s="4"/>
      <c r="H36" s="4"/>
      <c r="I36" s="4"/>
      <c r="J36" s="4"/>
      <c r="K36" s="4"/>
    </row>
    <row r="37" ht="14.25" customHeight="1">
      <c r="E37" s="4"/>
      <c r="F37" s="4"/>
      <c r="G37" s="4"/>
      <c r="H37" s="4"/>
      <c r="I37" s="4"/>
      <c r="J37" s="4"/>
      <c r="K37" s="4"/>
    </row>
    <row r="38" ht="14.25" customHeight="1">
      <c r="E38" s="4"/>
      <c r="F38" s="4"/>
      <c r="G38" s="4"/>
      <c r="H38" s="4"/>
      <c r="I38" s="4"/>
      <c r="J38" s="4"/>
      <c r="K38" s="4"/>
    </row>
    <row r="39" ht="14.25" customHeight="1">
      <c r="E39" s="4"/>
      <c r="F39" s="4"/>
      <c r="G39" s="4"/>
      <c r="H39" s="4"/>
      <c r="I39" s="4"/>
      <c r="J39" s="4"/>
      <c r="K39" s="4"/>
    </row>
    <row r="40" ht="14.25" customHeight="1">
      <c r="E40" s="4"/>
      <c r="F40" s="4"/>
      <c r="G40" s="4"/>
      <c r="H40" s="4"/>
      <c r="I40" s="4"/>
      <c r="J40" s="4"/>
      <c r="K40" s="4"/>
    </row>
    <row r="41" ht="14.25" customHeight="1">
      <c r="E41" s="4"/>
      <c r="F41" s="4"/>
      <c r="G41" s="4"/>
      <c r="H41" s="4"/>
      <c r="I41" s="4"/>
      <c r="J41" s="4"/>
      <c r="K41" s="4"/>
    </row>
    <row r="42" ht="14.25" customHeight="1">
      <c r="E42" s="4"/>
      <c r="F42" s="4"/>
      <c r="G42" s="4"/>
      <c r="H42" s="4"/>
      <c r="I42" s="4"/>
      <c r="J42" s="4"/>
      <c r="K42" s="4"/>
    </row>
    <row r="43" ht="14.25" customHeight="1">
      <c r="E43" s="4"/>
      <c r="F43" s="4"/>
      <c r="G43" s="4"/>
      <c r="H43" s="4"/>
      <c r="I43" s="4"/>
      <c r="J43" s="4"/>
      <c r="K43" s="4"/>
    </row>
    <row r="44" ht="14.25" customHeight="1">
      <c r="E44" s="4"/>
      <c r="F44" s="4"/>
      <c r="G44" s="4"/>
      <c r="H44" s="4"/>
      <c r="I44" s="4"/>
      <c r="J44" s="4"/>
      <c r="K44" s="4"/>
    </row>
    <row r="45" ht="14.25" customHeight="1">
      <c r="E45" s="4"/>
      <c r="F45" s="4"/>
      <c r="G45" s="4"/>
      <c r="H45" s="4"/>
      <c r="I45" s="4"/>
      <c r="J45" s="4"/>
      <c r="K45" s="4"/>
    </row>
    <row r="46" ht="14.25" customHeight="1">
      <c r="E46" s="4"/>
      <c r="F46" s="4"/>
      <c r="G46" s="4"/>
      <c r="H46" s="4"/>
      <c r="I46" s="4"/>
      <c r="J46" s="4"/>
      <c r="K46" s="4"/>
    </row>
    <row r="47" ht="14.25" customHeight="1">
      <c r="E47" s="4"/>
      <c r="F47" s="4"/>
      <c r="G47" s="4"/>
      <c r="H47" s="4"/>
      <c r="I47" s="4"/>
      <c r="J47" s="4"/>
      <c r="K47" s="4"/>
    </row>
    <row r="48" ht="14.25" customHeight="1">
      <c r="E48" s="4"/>
      <c r="F48" s="4"/>
      <c r="G48" s="4"/>
      <c r="H48" s="4"/>
      <c r="I48" s="4"/>
      <c r="J48" s="4"/>
      <c r="K48" s="4"/>
    </row>
    <row r="49" ht="14.25" customHeight="1">
      <c r="E49" s="4"/>
      <c r="F49" s="4"/>
      <c r="G49" s="4"/>
      <c r="H49" s="4"/>
      <c r="I49" s="4"/>
      <c r="J49" s="4"/>
      <c r="K49" s="4"/>
    </row>
    <row r="50" ht="14.25" customHeight="1">
      <c r="E50" s="4"/>
      <c r="F50" s="4"/>
      <c r="G50" s="4"/>
      <c r="H50" s="4"/>
      <c r="I50" s="4"/>
      <c r="J50" s="4"/>
      <c r="K50" s="4"/>
    </row>
    <row r="51" ht="14.25" customHeight="1">
      <c r="E51" s="4"/>
      <c r="F51" s="4"/>
      <c r="G51" s="4"/>
      <c r="H51" s="4"/>
      <c r="I51" s="4"/>
      <c r="J51" s="4"/>
      <c r="K51" s="4"/>
    </row>
    <row r="52" ht="14.25" customHeight="1">
      <c r="E52" s="4"/>
      <c r="F52" s="4"/>
      <c r="G52" s="4"/>
      <c r="H52" s="4"/>
      <c r="I52" s="4"/>
      <c r="J52" s="4"/>
      <c r="K52" s="4"/>
    </row>
    <row r="53" ht="14.25" customHeight="1">
      <c r="E53" s="4"/>
      <c r="F53" s="4"/>
      <c r="G53" s="4"/>
      <c r="H53" s="4"/>
      <c r="I53" s="4"/>
      <c r="J53" s="4"/>
      <c r="K53" s="4"/>
    </row>
    <row r="54" ht="14.25" customHeight="1">
      <c r="E54" s="4"/>
      <c r="F54" s="4"/>
      <c r="G54" s="4"/>
      <c r="H54" s="4"/>
      <c r="I54" s="4"/>
      <c r="J54" s="4"/>
      <c r="K54" s="4"/>
    </row>
    <row r="55" ht="14.25" customHeight="1">
      <c r="E55" s="4"/>
      <c r="F55" s="4"/>
      <c r="G55" s="4"/>
      <c r="H55" s="4"/>
      <c r="I55" s="4"/>
      <c r="J55" s="4"/>
      <c r="K55" s="4"/>
    </row>
    <row r="56" ht="14.25" customHeight="1">
      <c r="E56" s="4"/>
      <c r="F56" s="4"/>
      <c r="G56" s="4"/>
      <c r="H56" s="4"/>
      <c r="I56" s="4"/>
      <c r="J56" s="4"/>
      <c r="K56" s="4"/>
    </row>
    <row r="57" ht="14.25" customHeight="1">
      <c r="E57" s="4"/>
      <c r="F57" s="4"/>
      <c r="G57" s="4"/>
      <c r="H57" s="4"/>
      <c r="I57" s="4"/>
      <c r="J57" s="4"/>
      <c r="K57" s="4"/>
    </row>
    <row r="58" ht="14.25" customHeight="1">
      <c r="E58" s="4"/>
      <c r="F58" s="4"/>
      <c r="G58" s="4"/>
      <c r="H58" s="4"/>
      <c r="I58" s="4"/>
      <c r="J58" s="4"/>
      <c r="K58" s="4"/>
    </row>
    <row r="59" ht="14.25" customHeight="1">
      <c r="E59" s="4"/>
      <c r="F59" s="4"/>
      <c r="G59" s="4"/>
      <c r="H59" s="4"/>
      <c r="I59" s="4"/>
      <c r="J59" s="4"/>
      <c r="K59" s="4"/>
    </row>
    <row r="60" ht="14.25" customHeight="1">
      <c r="E60" s="4"/>
      <c r="F60" s="4"/>
      <c r="G60" s="4"/>
      <c r="H60" s="4"/>
      <c r="I60" s="4"/>
      <c r="J60" s="4"/>
      <c r="K60" s="4"/>
    </row>
    <row r="61" ht="14.25" customHeight="1">
      <c r="E61" s="4"/>
      <c r="F61" s="4"/>
      <c r="G61" s="4"/>
      <c r="H61" s="4"/>
      <c r="I61" s="4"/>
      <c r="J61" s="4"/>
      <c r="K61" s="4"/>
    </row>
    <row r="62" ht="14.25" customHeight="1">
      <c r="E62" s="4"/>
      <c r="F62" s="4"/>
      <c r="G62" s="4"/>
      <c r="H62" s="4"/>
      <c r="I62" s="4"/>
      <c r="J62" s="4"/>
      <c r="K62" s="4"/>
    </row>
    <row r="63" ht="14.25" customHeight="1">
      <c r="E63" s="4"/>
      <c r="F63" s="4"/>
      <c r="G63" s="4"/>
      <c r="H63" s="4"/>
      <c r="I63" s="4"/>
      <c r="J63" s="4"/>
      <c r="K63" s="4"/>
    </row>
    <row r="64" ht="14.25" customHeight="1">
      <c r="E64" s="4"/>
      <c r="F64" s="4"/>
      <c r="G64" s="4"/>
      <c r="H64" s="4"/>
      <c r="I64" s="4"/>
      <c r="J64" s="4"/>
      <c r="K64" s="4"/>
    </row>
    <row r="65" ht="14.25" customHeight="1">
      <c r="E65" s="4"/>
      <c r="F65" s="4"/>
      <c r="G65" s="4"/>
      <c r="H65" s="4"/>
      <c r="I65" s="4"/>
      <c r="J65" s="4"/>
      <c r="K65" s="4"/>
    </row>
    <row r="66" ht="14.25" customHeight="1">
      <c r="E66" s="4"/>
      <c r="F66" s="4"/>
      <c r="G66" s="4"/>
      <c r="H66" s="4"/>
      <c r="I66" s="4"/>
      <c r="J66" s="4"/>
      <c r="K66" s="4"/>
    </row>
    <row r="67" ht="14.25" customHeight="1">
      <c r="E67" s="4"/>
      <c r="F67" s="4"/>
      <c r="G67" s="4"/>
      <c r="H67" s="4"/>
      <c r="I67" s="4"/>
      <c r="J67" s="4"/>
      <c r="K67" s="4"/>
    </row>
    <row r="68" ht="14.25" customHeight="1">
      <c r="E68" s="4"/>
      <c r="F68" s="4"/>
      <c r="G68" s="4"/>
      <c r="H68" s="4"/>
      <c r="I68" s="4"/>
      <c r="J68" s="4"/>
      <c r="K68" s="4"/>
    </row>
    <row r="69" ht="14.25" customHeight="1">
      <c r="E69" s="4"/>
      <c r="F69" s="4"/>
      <c r="G69" s="4"/>
      <c r="H69" s="4"/>
      <c r="I69" s="4"/>
      <c r="J69" s="4"/>
      <c r="K69" s="4"/>
    </row>
    <row r="70" ht="14.25" customHeight="1">
      <c r="E70" s="4"/>
      <c r="F70" s="4"/>
      <c r="G70" s="4"/>
      <c r="H70" s="4"/>
      <c r="I70" s="4"/>
      <c r="J70" s="4"/>
      <c r="K70" s="4"/>
    </row>
    <row r="71" ht="14.25" customHeight="1">
      <c r="E71" s="4"/>
      <c r="F71" s="4"/>
      <c r="G71" s="4"/>
      <c r="H71" s="4"/>
      <c r="I71" s="4"/>
      <c r="J71" s="4"/>
      <c r="K71" s="4"/>
    </row>
    <row r="72" ht="14.25" customHeight="1">
      <c r="E72" s="4"/>
      <c r="F72" s="4"/>
      <c r="G72" s="4"/>
      <c r="H72" s="4"/>
      <c r="I72" s="4"/>
      <c r="J72" s="4"/>
      <c r="K72" s="4"/>
    </row>
    <row r="73" ht="14.25" customHeight="1">
      <c r="E73" s="4"/>
      <c r="F73" s="4"/>
      <c r="G73" s="4"/>
      <c r="H73" s="4"/>
      <c r="I73" s="4"/>
      <c r="J73" s="4"/>
      <c r="K73" s="4"/>
    </row>
    <row r="74" ht="14.25" customHeight="1">
      <c r="E74" s="4"/>
      <c r="F74" s="4"/>
      <c r="G74" s="4"/>
      <c r="H74" s="4"/>
      <c r="I74" s="4"/>
      <c r="J74" s="4"/>
      <c r="K74" s="4"/>
    </row>
    <row r="75" ht="14.25" customHeight="1">
      <c r="E75" s="4"/>
      <c r="F75" s="4"/>
      <c r="G75" s="4"/>
      <c r="H75" s="4"/>
      <c r="I75" s="4"/>
      <c r="J75" s="4"/>
      <c r="K75" s="4"/>
    </row>
    <row r="76" ht="14.25" customHeight="1">
      <c r="E76" s="4"/>
      <c r="F76" s="4"/>
      <c r="G76" s="4"/>
      <c r="H76" s="4"/>
      <c r="I76" s="4"/>
      <c r="J76" s="4"/>
      <c r="K76" s="4"/>
    </row>
    <row r="77" ht="14.25" customHeight="1">
      <c r="E77" s="4"/>
      <c r="F77" s="4"/>
      <c r="G77" s="4"/>
      <c r="H77" s="4"/>
      <c r="I77" s="4"/>
      <c r="J77" s="4"/>
      <c r="K77" s="4"/>
    </row>
    <row r="78" ht="14.25" customHeight="1">
      <c r="E78" s="4"/>
      <c r="F78" s="4"/>
      <c r="G78" s="4"/>
      <c r="H78" s="4"/>
      <c r="I78" s="4"/>
      <c r="J78" s="4"/>
      <c r="K78" s="4"/>
    </row>
    <row r="79" ht="14.25" customHeight="1">
      <c r="E79" s="4"/>
      <c r="F79" s="4"/>
      <c r="G79" s="4"/>
      <c r="H79" s="4"/>
      <c r="I79" s="4"/>
      <c r="J79" s="4"/>
      <c r="K79" s="4"/>
    </row>
    <row r="80" ht="14.25" customHeight="1">
      <c r="E80" s="4"/>
      <c r="F80" s="4"/>
      <c r="G80" s="4"/>
      <c r="H80" s="4"/>
      <c r="I80" s="4"/>
      <c r="J80" s="4"/>
      <c r="K80" s="4"/>
    </row>
    <row r="81" ht="14.25" customHeight="1">
      <c r="E81" s="4"/>
      <c r="F81" s="4"/>
      <c r="G81" s="4"/>
      <c r="H81" s="4"/>
      <c r="I81" s="4"/>
      <c r="J81" s="4"/>
      <c r="K81" s="4"/>
    </row>
    <row r="82" ht="14.25" customHeight="1">
      <c r="E82" s="4"/>
      <c r="F82" s="4"/>
      <c r="G82" s="4"/>
      <c r="H82" s="4"/>
      <c r="I82" s="4"/>
      <c r="J82" s="4"/>
      <c r="K82" s="4"/>
    </row>
    <row r="83" ht="14.25" customHeight="1">
      <c r="E83" s="4"/>
      <c r="F83" s="4"/>
      <c r="G83" s="4"/>
      <c r="H83" s="4"/>
      <c r="I83" s="4"/>
      <c r="J83" s="4"/>
      <c r="K83" s="4"/>
    </row>
    <row r="84" ht="14.25" customHeight="1">
      <c r="E84" s="4"/>
      <c r="F84" s="4"/>
      <c r="G84" s="4"/>
      <c r="H84" s="4"/>
      <c r="I84" s="4"/>
      <c r="J84" s="4"/>
      <c r="K84" s="4"/>
    </row>
    <row r="85" ht="14.25" customHeight="1">
      <c r="E85" s="4"/>
      <c r="F85" s="4"/>
      <c r="G85" s="4"/>
      <c r="H85" s="4"/>
      <c r="I85" s="4"/>
      <c r="J85" s="4"/>
      <c r="K85" s="4"/>
    </row>
    <row r="86" ht="14.25" customHeight="1">
      <c r="E86" s="4"/>
      <c r="F86" s="4"/>
      <c r="G86" s="4"/>
      <c r="H86" s="4"/>
      <c r="I86" s="4"/>
      <c r="J86" s="4"/>
      <c r="K86" s="4"/>
    </row>
    <row r="87" ht="14.25" customHeight="1">
      <c r="E87" s="4"/>
      <c r="F87" s="4"/>
      <c r="G87" s="4"/>
      <c r="H87" s="4"/>
      <c r="I87" s="4"/>
      <c r="J87" s="4"/>
      <c r="K87" s="4"/>
    </row>
    <row r="88" ht="14.25" customHeight="1">
      <c r="E88" s="4"/>
      <c r="F88" s="4"/>
      <c r="G88" s="4"/>
      <c r="H88" s="4"/>
      <c r="I88" s="4"/>
      <c r="J88" s="4"/>
      <c r="K88" s="4"/>
    </row>
    <row r="89" ht="14.25" customHeight="1">
      <c r="E89" s="4"/>
      <c r="F89" s="4"/>
      <c r="G89" s="4"/>
      <c r="H89" s="4"/>
      <c r="I89" s="4"/>
      <c r="J89" s="4"/>
      <c r="K89" s="4"/>
    </row>
    <row r="90" ht="14.25" customHeight="1">
      <c r="E90" s="4"/>
      <c r="F90" s="4"/>
      <c r="G90" s="4"/>
      <c r="H90" s="4"/>
      <c r="I90" s="4"/>
      <c r="J90" s="4"/>
      <c r="K90" s="4"/>
    </row>
    <row r="91" ht="14.25" customHeight="1">
      <c r="E91" s="4"/>
      <c r="F91" s="4"/>
      <c r="G91" s="4"/>
      <c r="H91" s="4"/>
      <c r="I91" s="4"/>
      <c r="J91" s="4"/>
      <c r="K91" s="4"/>
    </row>
    <row r="92" ht="14.25" customHeight="1">
      <c r="E92" s="4"/>
      <c r="F92" s="4"/>
      <c r="G92" s="4"/>
      <c r="H92" s="4"/>
      <c r="I92" s="4"/>
      <c r="J92" s="4"/>
      <c r="K92" s="4"/>
    </row>
    <row r="93" ht="14.25" customHeight="1">
      <c r="E93" s="4"/>
      <c r="F93" s="4"/>
      <c r="G93" s="4"/>
      <c r="H93" s="4"/>
      <c r="I93" s="4"/>
      <c r="J93" s="4"/>
      <c r="K93" s="4"/>
    </row>
    <row r="94" ht="14.25" customHeight="1">
      <c r="E94" s="4"/>
      <c r="F94" s="4"/>
      <c r="G94" s="4"/>
      <c r="H94" s="4"/>
      <c r="I94" s="4"/>
      <c r="J94" s="4"/>
      <c r="K94" s="4"/>
    </row>
    <row r="95" ht="14.25" customHeight="1">
      <c r="E95" s="4"/>
      <c r="F95" s="4"/>
      <c r="G95" s="4"/>
      <c r="H95" s="4"/>
      <c r="I95" s="4"/>
      <c r="J95" s="4"/>
      <c r="K95" s="4"/>
    </row>
    <row r="96" ht="14.25" customHeight="1">
      <c r="E96" s="4"/>
      <c r="F96" s="4"/>
      <c r="G96" s="4"/>
      <c r="H96" s="4"/>
      <c r="I96" s="4"/>
      <c r="J96" s="4"/>
      <c r="K96" s="4"/>
    </row>
    <row r="97" ht="14.25" customHeight="1">
      <c r="E97" s="4"/>
      <c r="F97" s="4"/>
      <c r="G97" s="4"/>
      <c r="H97" s="4"/>
      <c r="I97" s="4"/>
      <c r="J97" s="4"/>
      <c r="K97" s="4"/>
    </row>
    <row r="98" ht="14.25" customHeight="1">
      <c r="E98" s="4"/>
      <c r="F98" s="4"/>
      <c r="G98" s="4"/>
      <c r="H98" s="4"/>
      <c r="I98" s="4"/>
      <c r="J98" s="4"/>
      <c r="K98" s="4"/>
    </row>
    <row r="99" ht="14.25" customHeight="1">
      <c r="E99" s="4"/>
      <c r="F99" s="4"/>
      <c r="G99" s="4"/>
      <c r="H99" s="4"/>
      <c r="I99" s="4"/>
      <c r="J99" s="4"/>
      <c r="K99" s="4"/>
    </row>
    <row r="100" ht="14.25" customHeight="1">
      <c r="E100" s="4"/>
      <c r="F100" s="4"/>
      <c r="G100" s="4"/>
      <c r="H100" s="4"/>
      <c r="I100" s="4"/>
      <c r="J100" s="4"/>
      <c r="K100" s="4"/>
    </row>
    <row r="101" ht="14.25" customHeight="1">
      <c r="E101" s="4"/>
      <c r="F101" s="4"/>
      <c r="G101" s="4"/>
      <c r="H101" s="4"/>
      <c r="I101" s="4"/>
      <c r="J101" s="4"/>
      <c r="K101" s="4"/>
    </row>
    <row r="102" ht="14.25" customHeight="1">
      <c r="E102" s="4"/>
      <c r="F102" s="4"/>
      <c r="G102" s="4"/>
      <c r="H102" s="4"/>
      <c r="I102" s="4"/>
      <c r="J102" s="4"/>
      <c r="K102" s="4"/>
    </row>
    <row r="103" ht="14.25" customHeight="1">
      <c r="E103" s="4"/>
      <c r="F103" s="4"/>
      <c r="G103" s="4"/>
      <c r="H103" s="4"/>
      <c r="I103" s="4"/>
      <c r="J103" s="4"/>
      <c r="K103" s="4"/>
    </row>
    <row r="104" ht="14.25" customHeight="1">
      <c r="E104" s="4"/>
      <c r="F104" s="4"/>
      <c r="G104" s="4"/>
      <c r="H104" s="4"/>
      <c r="I104" s="4"/>
      <c r="J104" s="4"/>
      <c r="K104" s="4"/>
    </row>
    <row r="105" ht="14.25" customHeight="1">
      <c r="E105" s="4"/>
      <c r="F105" s="4"/>
      <c r="G105" s="4"/>
      <c r="H105" s="4"/>
      <c r="I105" s="4"/>
      <c r="J105" s="4"/>
      <c r="K105" s="4"/>
    </row>
    <row r="106" ht="14.25" customHeight="1">
      <c r="E106" s="4"/>
      <c r="F106" s="4"/>
      <c r="G106" s="4"/>
      <c r="H106" s="4"/>
      <c r="I106" s="4"/>
      <c r="J106" s="4"/>
      <c r="K106" s="4"/>
    </row>
    <row r="107" ht="14.25" customHeight="1">
      <c r="E107" s="4"/>
      <c r="F107" s="4"/>
      <c r="G107" s="4"/>
      <c r="H107" s="4"/>
      <c r="I107" s="4"/>
      <c r="J107" s="4"/>
      <c r="K107" s="4"/>
    </row>
    <row r="108" ht="14.25" customHeight="1">
      <c r="E108" s="4"/>
      <c r="F108" s="4"/>
      <c r="G108" s="4"/>
      <c r="H108" s="4"/>
      <c r="I108" s="4"/>
      <c r="J108" s="4"/>
      <c r="K108" s="4"/>
    </row>
    <row r="109" ht="14.25" customHeight="1">
      <c r="E109" s="4"/>
      <c r="F109" s="4"/>
      <c r="G109" s="4"/>
      <c r="H109" s="4"/>
      <c r="I109" s="4"/>
      <c r="J109" s="4"/>
      <c r="K109" s="4"/>
    </row>
    <row r="110" ht="14.25" customHeight="1">
      <c r="E110" s="4"/>
      <c r="F110" s="4"/>
      <c r="G110" s="4"/>
      <c r="H110" s="4"/>
      <c r="I110" s="4"/>
      <c r="J110" s="4"/>
      <c r="K110" s="4"/>
    </row>
    <row r="111" ht="14.25" customHeight="1">
      <c r="E111" s="4"/>
      <c r="F111" s="4"/>
      <c r="G111" s="4"/>
      <c r="H111" s="4"/>
      <c r="I111" s="4"/>
      <c r="J111" s="4"/>
      <c r="K111" s="4"/>
    </row>
    <row r="112" ht="14.25" customHeight="1">
      <c r="E112" s="4"/>
      <c r="F112" s="4"/>
      <c r="G112" s="4"/>
      <c r="H112" s="4"/>
      <c r="I112" s="4"/>
      <c r="J112" s="4"/>
      <c r="K112" s="4"/>
    </row>
    <row r="113" ht="14.25" customHeight="1">
      <c r="E113" s="4"/>
      <c r="F113" s="4"/>
      <c r="G113" s="4"/>
      <c r="H113" s="4"/>
      <c r="I113" s="4"/>
      <c r="J113" s="4"/>
      <c r="K113" s="4"/>
    </row>
    <row r="114" ht="14.25" customHeight="1">
      <c r="E114" s="4"/>
      <c r="F114" s="4"/>
      <c r="G114" s="4"/>
      <c r="H114" s="4"/>
      <c r="I114" s="4"/>
      <c r="J114" s="4"/>
      <c r="K114" s="4"/>
    </row>
    <row r="115" ht="14.25" customHeight="1">
      <c r="E115" s="4"/>
      <c r="F115" s="4"/>
      <c r="G115" s="4"/>
      <c r="H115" s="4"/>
      <c r="I115" s="4"/>
      <c r="J115" s="4"/>
      <c r="K115" s="4"/>
    </row>
    <row r="116" ht="14.25" customHeight="1">
      <c r="E116" s="4"/>
      <c r="F116" s="4"/>
      <c r="G116" s="4"/>
      <c r="H116" s="4"/>
      <c r="I116" s="4"/>
      <c r="J116" s="4"/>
      <c r="K116" s="4"/>
    </row>
    <row r="117" ht="14.25" customHeight="1">
      <c r="E117" s="4"/>
      <c r="F117" s="4"/>
      <c r="G117" s="4"/>
      <c r="H117" s="4"/>
      <c r="I117" s="4"/>
      <c r="J117" s="4"/>
      <c r="K117" s="4"/>
    </row>
    <row r="118" ht="14.25" customHeight="1">
      <c r="E118" s="4"/>
      <c r="F118" s="4"/>
      <c r="G118" s="4"/>
      <c r="H118" s="4"/>
      <c r="I118" s="4"/>
      <c r="J118" s="4"/>
      <c r="K118" s="4"/>
    </row>
    <row r="119" ht="14.25" customHeight="1">
      <c r="E119" s="4"/>
      <c r="F119" s="4"/>
      <c r="G119" s="4"/>
      <c r="H119" s="4"/>
      <c r="I119" s="4"/>
      <c r="J119" s="4"/>
      <c r="K119" s="4"/>
    </row>
    <row r="120" ht="14.25" customHeight="1">
      <c r="E120" s="4"/>
      <c r="F120" s="4"/>
      <c r="G120" s="4"/>
      <c r="H120" s="4"/>
      <c r="I120" s="4"/>
      <c r="J120" s="4"/>
      <c r="K120" s="4"/>
    </row>
    <row r="121" ht="14.25" customHeight="1">
      <c r="E121" s="4"/>
      <c r="F121" s="4"/>
      <c r="G121" s="4"/>
      <c r="H121" s="4"/>
      <c r="I121" s="4"/>
      <c r="J121" s="4"/>
      <c r="K121" s="4"/>
    </row>
    <row r="122" ht="14.25" customHeight="1">
      <c r="E122" s="4"/>
      <c r="F122" s="4"/>
      <c r="G122" s="4"/>
      <c r="H122" s="4"/>
      <c r="I122" s="4"/>
      <c r="J122" s="4"/>
      <c r="K122" s="4"/>
    </row>
    <row r="123" ht="14.25" customHeight="1">
      <c r="E123" s="4"/>
      <c r="F123" s="4"/>
      <c r="G123" s="4"/>
      <c r="H123" s="4"/>
      <c r="I123" s="4"/>
      <c r="J123" s="4"/>
      <c r="K123" s="4"/>
    </row>
    <row r="124" ht="14.25" customHeight="1">
      <c r="E124" s="4"/>
      <c r="F124" s="4"/>
      <c r="G124" s="4"/>
      <c r="H124" s="4"/>
      <c r="I124" s="4"/>
      <c r="J124" s="4"/>
      <c r="K124" s="4"/>
    </row>
    <row r="125" ht="14.25" customHeight="1">
      <c r="E125" s="4"/>
      <c r="F125" s="4"/>
      <c r="G125" s="4"/>
      <c r="H125" s="4"/>
      <c r="I125" s="4"/>
      <c r="J125" s="4"/>
      <c r="K125" s="4"/>
    </row>
    <row r="126" ht="14.25" customHeight="1">
      <c r="E126" s="4"/>
      <c r="F126" s="4"/>
      <c r="G126" s="4"/>
      <c r="H126" s="4"/>
      <c r="I126" s="4"/>
      <c r="J126" s="4"/>
      <c r="K126" s="4"/>
    </row>
    <row r="127" ht="14.25" customHeight="1">
      <c r="E127" s="4"/>
      <c r="F127" s="4"/>
      <c r="G127" s="4"/>
      <c r="H127" s="4"/>
      <c r="I127" s="4"/>
      <c r="J127" s="4"/>
      <c r="K127" s="4"/>
    </row>
    <row r="128" ht="14.25" customHeight="1">
      <c r="E128" s="4"/>
      <c r="F128" s="4"/>
      <c r="G128" s="4"/>
      <c r="H128" s="4"/>
      <c r="I128" s="4"/>
      <c r="J128" s="4"/>
      <c r="K128" s="4"/>
    </row>
    <row r="129" ht="14.25" customHeight="1">
      <c r="E129" s="4"/>
      <c r="F129" s="4"/>
      <c r="G129" s="4"/>
      <c r="H129" s="4"/>
      <c r="I129" s="4"/>
      <c r="J129" s="4"/>
      <c r="K129" s="4"/>
    </row>
    <row r="130" ht="14.25" customHeight="1">
      <c r="E130" s="4"/>
      <c r="F130" s="4"/>
      <c r="G130" s="4"/>
      <c r="H130" s="4"/>
      <c r="I130" s="4"/>
      <c r="J130" s="4"/>
      <c r="K130" s="4"/>
    </row>
    <row r="131" ht="14.25" customHeight="1">
      <c r="E131" s="4"/>
      <c r="F131" s="4"/>
      <c r="G131" s="4"/>
      <c r="H131" s="4"/>
      <c r="I131" s="4"/>
      <c r="J131" s="4"/>
      <c r="K131" s="4"/>
    </row>
    <row r="132" ht="14.25" customHeight="1">
      <c r="E132" s="4"/>
      <c r="F132" s="4"/>
      <c r="G132" s="4"/>
      <c r="H132" s="4"/>
      <c r="I132" s="4"/>
      <c r="J132" s="4"/>
      <c r="K132" s="4"/>
    </row>
    <row r="133" ht="14.25" customHeight="1">
      <c r="E133" s="4"/>
      <c r="F133" s="4"/>
      <c r="G133" s="4"/>
      <c r="H133" s="4"/>
      <c r="I133" s="4"/>
      <c r="J133" s="4"/>
      <c r="K133" s="4"/>
    </row>
    <row r="134" ht="14.25" customHeight="1">
      <c r="E134" s="4"/>
      <c r="F134" s="4"/>
      <c r="G134" s="4"/>
      <c r="H134" s="4"/>
      <c r="I134" s="4"/>
      <c r="J134" s="4"/>
      <c r="K134" s="4"/>
    </row>
    <row r="135" ht="14.25" customHeight="1">
      <c r="E135" s="4"/>
      <c r="F135" s="4"/>
      <c r="G135" s="4"/>
      <c r="H135" s="4"/>
      <c r="I135" s="4"/>
      <c r="J135" s="4"/>
      <c r="K135" s="4"/>
    </row>
    <row r="136" ht="14.25" customHeight="1">
      <c r="E136" s="4"/>
      <c r="F136" s="4"/>
      <c r="G136" s="4"/>
      <c r="H136" s="4"/>
      <c r="I136" s="4"/>
      <c r="J136" s="4"/>
      <c r="K136" s="4"/>
    </row>
    <row r="137" ht="14.25" customHeight="1">
      <c r="E137" s="4"/>
      <c r="F137" s="4"/>
      <c r="G137" s="4"/>
      <c r="H137" s="4"/>
      <c r="I137" s="4"/>
      <c r="J137" s="4"/>
      <c r="K137" s="4"/>
    </row>
    <row r="138" ht="14.25" customHeight="1">
      <c r="E138" s="4"/>
      <c r="F138" s="4"/>
      <c r="G138" s="4"/>
      <c r="H138" s="4"/>
      <c r="I138" s="4"/>
      <c r="J138" s="4"/>
      <c r="K138" s="4"/>
    </row>
    <row r="139" ht="14.25" customHeight="1">
      <c r="E139" s="4"/>
      <c r="F139" s="4"/>
      <c r="G139" s="4"/>
      <c r="H139" s="4"/>
      <c r="I139" s="4"/>
      <c r="J139" s="4"/>
      <c r="K139" s="4"/>
    </row>
    <row r="140" ht="14.25" customHeight="1">
      <c r="E140" s="4"/>
      <c r="F140" s="4"/>
      <c r="G140" s="4"/>
      <c r="H140" s="4"/>
      <c r="I140" s="4"/>
      <c r="J140" s="4"/>
      <c r="K140" s="4"/>
    </row>
    <row r="141" ht="14.25" customHeight="1">
      <c r="E141" s="4"/>
      <c r="F141" s="4"/>
      <c r="G141" s="4"/>
      <c r="H141" s="4"/>
      <c r="I141" s="4"/>
      <c r="J141" s="4"/>
      <c r="K141" s="4"/>
    </row>
    <row r="142" ht="14.25" customHeight="1">
      <c r="E142" s="4"/>
      <c r="F142" s="4"/>
      <c r="G142" s="4"/>
      <c r="H142" s="4"/>
      <c r="I142" s="4"/>
      <c r="J142" s="4"/>
      <c r="K142" s="4"/>
    </row>
    <row r="143" ht="14.25" customHeight="1">
      <c r="E143" s="4"/>
      <c r="F143" s="4"/>
      <c r="G143" s="4"/>
      <c r="H143" s="4"/>
      <c r="I143" s="4"/>
      <c r="J143" s="4"/>
      <c r="K143" s="4"/>
    </row>
    <row r="144" ht="14.25" customHeight="1">
      <c r="E144" s="4"/>
      <c r="F144" s="4"/>
      <c r="G144" s="4"/>
      <c r="H144" s="4"/>
      <c r="I144" s="4"/>
      <c r="J144" s="4"/>
      <c r="K144" s="4"/>
    </row>
    <row r="145" ht="14.25" customHeight="1">
      <c r="E145" s="4"/>
      <c r="F145" s="4"/>
      <c r="G145" s="4"/>
      <c r="H145" s="4"/>
      <c r="I145" s="4"/>
      <c r="J145" s="4"/>
      <c r="K145" s="4"/>
    </row>
    <row r="146" ht="14.25" customHeight="1">
      <c r="E146" s="4"/>
      <c r="F146" s="4"/>
      <c r="G146" s="4"/>
      <c r="H146" s="4"/>
      <c r="I146" s="4"/>
      <c r="J146" s="4"/>
      <c r="K146" s="4"/>
    </row>
    <row r="147" ht="14.25" customHeight="1">
      <c r="E147" s="4"/>
      <c r="F147" s="4"/>
      <c r="G147" s="4"/>
      <c r="H147" s="4"/>
      <c r="I147" s="4"/>
      <c r="J147" s="4"/>
      <c r="K147" s="4"/>
    </row>
    <row r="148" ht="14.25" customHeight="1">
      <c r="E148" s="4"/>
      <c r="F148" s="4"/>
      <c r="G148" s="4"/>
      <c r="H148" s="4"/>
      <c r="I148" s="4"/>
      <c r="J148" s="4"/>
      <c r="K148" s="4"/>
    </row>
    <row r="149" ht="14.25" customHeight="1">
      <c r="E149" s="4"/>
      <c r="F149" s="4"/>
      <c r="G149" s="4"/>
      <c r="H149" s="4"/>
      <c r="I149" s="4"/>
      <c r="J149" s="4"/>
      <c r="K149" s="4"/>
    </row>
    <row r="150" ht="14.25" customHeight="1">
      <c r="E150" s="4"/>
      <c r="F150" s="4"/>
      <c r="G150" s="4"/>
      <c r="H150" s="4"/>
      <c r="I150" s="4"/>
      <c r="J150" s="4"/>
      <c r="K150" s="4"/>
    </row>
    <row r="151" ht="14.25" customHeight="1">
      <c r="E151" s="4"/>
      <c r="F151" s="4"/>
      <c r="G151" s="4"/>
      <c r="H151" s="4"/>
      <c r="I151" s="4"/>
      <c r="J151" s="4"/>
      <c r="K151" s="4"/>
    </row>
    <row r="152" ht="14.25" customHeight="1">
      <c r="E152" s="4"/>
      <c r="F152" s="4"/>
      <c r="G152" s="4"/>
      <c r="H152" s="4"/>
      <c r="I152" s="4"/>
      <c r="J152" s="4"/>
      <c r="K152" s="4"/>
    </row>
    <row r="153" ht="14.25" customHeight="1">
      <c r="E153" s="4"/>
      <c r="F153" s="4"/>
      <c r="G153" s="4"/>
      <c r="H153" s="4"/>
      <c r="I153" s="4"/>
      <c r="J153" s="4"/>
      <c r="K153" s="4"/>
    </row>
    <row r="154" ht="14.25" customHeight="1">
      <c r="E154" s="4"/>
      <c r="F154" s="4"/>
      <c r="G154" s="4"/>
      <c r="H154" s="4"/>
      <c r="I154" s="4"/>
      <c r="J154" s="4"/>
      <c r="K154" s="4"/>
    </row>
    <row r="155" ht="14.25" customHeight="1">
      <c r="E155" s="4"/>
      <c r="F155" s="4"/>
      <c r="G155" s="4"/>
      <c r="H155" s="4"/>
      <c r="I155" s="4"/>
      <c r="J155" s="4"/>
      <c r="K155" s="4"/>
    </row>
    <row r="156" ht="14.25" customHeight="1">
      <c r="E156" s="4"/>
      <c r="F156" s="4"/>
      <c r="G156" s="4"/>
      <c r="H156" s="4"/>
      <c r="I156" s="4"/>
      <c r="J156" s="4"/>
      <c r="K156" s="4"/>
    </row>
    <row r="157" ht="14.25" customHeight="1">
      <c r="E157" s="4"/>
      <c r="F157" s="4"/>
      <c r="G157" s="4"/>
      <c r="H157" s="4"/>
      <c r="I157" s="4"/>
      <c r="J157" s="4"/>
      <c r="K157" s="4"/>
    </row>
    <row r="158" ht="14.25" customHeight="1">
      <c r="E158" s="4"/>
      <c r="F158" s="4"/>
      <c r="G158" s="4"/>
      <c r="H158" s="4"/>
      <c r="I158" s="4"/>
      <c r="J158" s="4"/>
      <c r="K158" s="4"/>
    </row>
    <row r="159" ht="14.25" customHeight="1">
      <c r="E159" s="4"/>
      <c r="F159" s="4"/>
      <c r="G159" s="4"/>
      <c r="H159" s="4"/>
      <c r="I159" s="4"/>
      <c r="J159" s="4"/>
      <c r="K159" s="4"/>
    </row>
    <row r="160" ht="14.25" customHeight="1">
      <c r="E160" s="4"/>
      <c r="F160" s="4"/>
      <c r="G160" s="4"/>
      <c r="H160" s="4"/>
      <c r="I160" s="4"/>
      <c r="J160" s="4"/>
      <c r="K160" s="4"/>
    </row>
    <row r="161" ht="14.25" customHeight="1">
      <c r="E161" s="4"/>
      <c r="F161" s="4"/>
      <c r="G161" s="4"/>
      <c r="H161" s="4"/>
      <c r="I161" s="4"/>
      <c r="J161" s="4"/>
      <c r="K161" s="4"/>
    </row>
    <row r="162" ht="14.25" customHeight="1">
      <c r="E162" s="4"/>
      <c r="F162" s="4"/>
      <c r="G162" s="4"/>
      <c r="H162" s="4"/>
      <c r="I162" s="4"/>
      <c r="J162" s="4"/>
      <c r="K162" s="4"/>
    </row>
    <row r="163" ht="14.25" customHeight="1">
      <c r="E163" s="4"/>
      <c r="F163" s="4"/>
      <c r="G163" s="4"/>
      <c r="H163" s="4"/>
      <c r="I163" s="4"/>
      <c r="J163" s="4"/>
      <c r="K163" s="4"/>
    </row>
    <row r="164" ht="14.25" customHeight="1">
      <c r="E164" s="4"/>
      <c r="F164" s="4"/>
      <c r="G164" s="4"/>
      <c r="H164" s="4"/>
      <c r="I164" s="4"/>
      <c r="J164" s="4"/>
      <c r="K164" s="4"/>
    </row>
    <row r="165" ht="14.25" customHeight="1">
      <c r="E165" s="4"/>
      <c r="F165" s="4"/>
      <c r="G165" s="4"/>
      <c r="H165" s="4"/>
      <c r="I165" s="4"/>
      <c r="J165" s="4"/>
      <c r="K165" s="4"/>
    </row>
    <row r="166" ht="14.25" customHeight="1">
      <c r="E166" s="4"/>
      <c r="F166" s="4"/>
      <c r="G166" s="4"/>
      <c r="H166" s="4"/>
      <c r="I166" s="4"/>
      <c r="J166" s="4"/>
      <c r="K166" s="4"/>
    </row>
    <row r="167" ht="14.25" customHeight="1">
      <c r="E167" s="4"/>
      <c r="F167" s="4"/>
      <c r="G167" s="4"/>
      <c r="H167" s="4"/>
      <c r="I167" s="4"/>
      <c r="J167" s="4"/>
      <c r="K167" s="4"/>
    </row>
    <row r="168" ht="14.25" customHeight="1">
      <c r="E168" s="4"/>
      <c r="F168" s="4"/>
      <c r="G168" s="4"/>
      <c r="H168" s="4"/>
      <c r="I168" s="4"/>
      <c r="J168" s="4"/>
      <c r="K168" s="4"/>
    </row>
    <row r="169" ht="14.25" customHeight="1">
      <c r="E169" s="4"/>
      <c r="F169" s="4"/>
      <c r="G169" s="4"/>
      <c r="H169" s="4"/>
      <c r="I169" s="4"/>
      <c r="J169" s="4"/>
      <c r="K169" s="4"/>
    </row>
    <row r="170" ht="14.25" customHeight="1">
      <c r="E170" s="4"/>
      <c r="F170" s="4"/>
      <c r="G170" s="4"/>
      <c r="H170" s="4"/>
      <c r="I170" s="4"/>
      <c r="J170" s="4"/>
      <c r="K170" s="4"/>
    </row>
    <row r="171" ht="14.25" customHeight="1">
      <c r="E171" s="4"/>
      <c r="F171" s="4"/>
      <c r="G171" s="4"/>
      <c r="H171" s="4"/>
      <c r="I171" s="4"/>
      <c r="J171" s="4"/>
      <c r="K171" s="4"/>
    </row>
    <row r="172" ht="14.25" customHeight="1">
      <c r="E172" s="4"/>
      <c r="F172" s="4"/>
      <c r="G172" s="4"/>
      <c r="H172" s="4"/>
      <c r="I172" s="4"/>
      <c r="J172" s="4"/>
      <c r="K172" s="4"/>
    </row>
    <row r="173" ht="14.25" customHeight="1">
      <c r="E173" s="4"/>
      <c r="F173" s="4"/>
      <c r="G173" s="4"/>
      <c r="H173" s="4"/>
      <c r="I173" s="4"/>
      <c r="J173" s="4"/>
      <c r="K173" s="4"/>
    </row>
    <row r="174" ht="14.25" customHeight="1">
      <c r="E174" s="4"/>
      <c r="F174" s="4"/>
      <c r="G174" s="4"/>
      <c r="H174" s="4"/>
      <c r="I174" s="4"/>
      <c r="J174" s="4"/>
      <c r="K174" s="4"/>
    </row>
    <row r="175" ht="14.25" customHeight="1">
      <c r="E175" s="4"/>
      <c r="F175" s="4"/>
      <c r="G175" s="4"/>
      <c r="H175" s="4"/>
      <c r="I175" s="4"/>
      <c r="J175" s="4"/>
      <c r="K175" s="4"/>
    </row>
    <row r="176" ht="14.25" customHeight="1">
      <c r="E176" s="4"/>
      <c r="F176" s="4"/>
      <c r="G176" s="4"/>
      <c r="H176" s="4"/>
      <c r="I176" s="4"/>
      <c r="J176" s="4"/>
      <c r="K176" s="4"/>
    </row>
    <row r="177" ht="14.25" customHeight="1">
      <c r="E177" s="4"/>
      <c r="F177" s="4"/>
      <c r="G177" s="4"/>
      <c r="H177" s="4"/>
      <c r="I177" s="4"/>
      <c r="J177" s="4"/>
      <c r="K177" s="4"/>
    </row>
    <row r="178" ht="14.25" customHeight="1">
      <c r="E178" s="4"/>
      <c r="F178" s="4"/>
      <c r="G178" s="4"/>
      <c r="H178" s="4"/>
      <c r="I178" s="4"/>
      <c r="J178" s="4"/>
      <c r="K178" s="4"/>
    </row>
    <row r="179" ht="14.25" customHeight="1">
      <c r="E179" s="4"/>
      <c r="F179" s="4"/>
      <c r="G179" s="4"/>
      <c r="H179" s="4"/>
      <c r="I179" s="4"/>
      <c r="J179" s="4"/>
      <c r="K179" s="4"/>
    </row>
    <row r="180" ht="14.25" customHeight="1">
      <c r="E180" s="4"/>
      <c r="F180" s="4"/>
      <c r="G180" s="4"/>
      <c r="H180" s="4"/>
      <c r="I180" s="4"/>
      <c r="J180" s="4"/>
      <c r="K180" s="4"/>
    </row>
    <row r="181" ht="14.25" customHeight="1">
      <c r="E181" s="4"/>
      <c r="F181" s="4"/>
      <c r="G181" s="4"/>
      <c r="H181" s="4"/>
      <c r="I181" s="4"/>
      <c r="J181" s="4"/>
      <c r="K181" s="4"/>
    </row>
    <row r="182" ht="14.25" customHeight="1">
      <c r="E182" s="4"/>
      <c r="F182" s="4"/>
      <c r="G182" s="4"/>
      <c r="H182" s="4"/>
      <c r="I182" s="4"/>
      <c r="J182" s="4"/>
      <c r="K182" s="4"/>
    </row>
    <row r="183" ht="14.25" customHeight="1">
      <c r="E183" s="4"/>
      <c r="F183" s="4"/>
      <c r="G183" s="4"/>
      <c r="H183" s="4"/>
      <c r="I183" s="4"/>
      <c r="J183" s="4"/>
      <c r="K183" s="4"/>
    </row>
    <row r="184" ht="14.25" customHeight="1">
      <c r="E184" s="4"/>
      <c r="F184" s="4"/>
      <c r="G184" s="4"/>
      <c r="H184" s="4"/>
      <c r="I184" s="4"/>
      <c r="J184" s="4"/>
      <c r="K184" s="4"/>
    </row>
    <row r="185" ht="14.25" customHeight="1">
      <c r="E185" s="4"/>
      <c r="F185" s="4"/>
      <c r="G185" s="4"/>
      <c r="H185" s="4"/>
      <c r="I185" s="4"/>
      <c r="J185" s="4"/>
      <c r="K185" s="4"/>
    </row>
    <row r="186" ht="14.25" customHeight="1">
      <c r="E186" s="4"/>
      <c r="F186" s="4"/>
      <c r="G186" s="4"/>
      <c r="H186" s="4"/>
      <c r="I186" s="4"/>
      <c r="J186" s="4"/>
      <c r="K186" s="4"/>
    </row>
    <row r="187" ht="14.25" customHeight="1">
      <c r="E187" s="4"/>
      <c r="F187" s="4"/>
      <c r="G187" s="4"/>
      <c r="H187" s="4"/>
      <c r="I187" s="4"/>
      <c r="J187" s="4"/>
      <c r="K187" s="4"/>
    </row>
    <row r="188" ht="14.25" customHeight="1">
      <c r="E188" s="4"/>
      <c r="F188" s="4"/>
      <c r="G188" s="4"/>
      <c r="H188" s="4"/>
      <c r="I188" s="4"/>
      <c r="J188" s="4"/>
      <c r="K188" s="4"/>
    </row>
    <row r="189" ht="14.25" customHeight="1">
      <c r="E189" s="4"/>
      <c r="F189" s="4"/>
      <c r="G189" s="4"/>
      <c r="H189" s="4"/>
      <c r="I189" s="4"/>
      <c r="J189" s="4"/>
      <c r="K189" s="4"/>
    </row>
    <row r="190" ht="14.25" customHeight="1">
      <c r="E190" s="4"/>
      <c r="F190" s="4"/>
      <c r="G190" s="4"/>
      <c r="H190" s="4"/>
      <c r="I190" s="4"/>
      <c r="J190" s="4"/>
      <c r="K190" s="4"/>
    </row>
    <row r="191" ht="14.25" customHeight="1">
      <c r="E191" s="4"/>
      <c r="F191" s="4"/>
      <c r="G191" s="4"/>
      <c r="H191" s="4"/>
      <c r="I191" s="4"/>
      <c r="J191" s="4"/>
      <c r="K191" s="4"/>
    </row>
    <row r="192" ht="14.25" customHeight="1">
      <c r="E192" s="4"/>
      <c r="F192" s="4"/>
      <c r="G192" s="4"/>
      <c r="H192" s="4"/>
      <c r="I192" s="4"/>
      <c r="J192" s="4"/>
      <c r="K192" s="4"/>
    </row>
    <row r="193" ht="14.25" customHeight="1">
      <c r="E193" s="4"/>
      <c r="F193" s="4"/>
      <c r="G193" s="4"/>
      <c r="H193" s="4"/>
      <c r="I193" s="4"/>
      <c r="J193" s="4"/>
      <c r="K193" s="4"/>
    </row>
    <row r="194" ht="14.25" customHeight="1">
      <c r="E194" s="4"/>
      <c r="F194" s="4"/>
      <c r="G194" s="4"/>
      <c r="H194" s="4"/>
      <c r="I194" s="4"/>
      <c r="J194" s="4"/>
      <c r="K194" s="4"/>
    </row>
    <row r="195" ht="14.25" customHeight="1">
      <c r="E195" s="4"/>
      <c r="F195" s="4"/>
      <c r="G195" s="4"/>
      <c r="H195" s="4"/>
      <c r="I195" s="4"/>
      <c r="J195" s="4"/>
      <c r="K195" s="4"/>
    </row>
    <row r="196" ht="14.25" customHeight="1">
      <c r="E196" s="4"/>
      <c r="F196" s="4"/>
      <c r="G196" s="4"/>
      <c r="H196" s="4"/>
      <c r="I196" s="4"/>
      <c r="J196" s="4"/>
      <c r="K196" s="4"/>
    </row>
    <row r="197" ht="14.25" customHeight="1">
      <c r="E197" s="4"/>
      <c r="F197" s="4"/>
      <c r="G197" s="4"/>
      <c r="H197" s="4"/>
      <c r="I197" s="4"/>
      <c r="J197" s="4"/>
      <c r="K197" s="4"/>
    </row>
    <row r="198" ht="14.25" customHeight="1">
      <c r="E198" s="4"/>
      <c r="F198" s="4"/>
      <c r="G198" s="4"/>
      <c r="H198" s="4"/>
      <c r="I198" s="4"/>
      <c r="J198" s="4"/>
      <c r="K198" s="4"/>
    </row>
    <row r="199" ht="14.25" customHeight="1">
      <c r="E199" s="4"/>
      <c r="F199" s="4"/>
      <c r="G199" s="4"/>
      <c r="H199" s="4"/>
      <c r="I199" s="4"/>
      <c r="J199" s="4"/>
      <c r="K199" s="4"/>
    </row>
    <row r="200" ht="14.25" customHeight="1">
      <c r="E200" s="4"/>
      <c r="F200" s="4"/>
      <c r="G200" s="4"/>
      <c r="H200" s="4"/>
      <c r="I200" s="4"/>
      <c r="J200" s="4"/>
      <c r="K200" s="4"/>
    </row>
    <row r="201" ht="14.25" customHeight="1">
      <c r="E201" s="4"/>
      <c r="F201" s="4"/>
      <c r="G201" s="4"/>
      <c r="H201" s="4"/>
      <c r="I201" s="4"/>
      <c r="J201" s="4"/>
      <c r="K201" s="4"/>
    </row>
    <row r="202" ht="14.25" customHeight="1">
      <c r="E202" s="4"/>
      <c r="F202" s="4"/>
      <c r="G202" s="4"/>
      <c r="H202" s="4"/>
      <c r="I202" s="4"/>
      <c r="J202" s="4"/>
      <c r="K202" s="4"/>
    </row>
    <row r="203" ht="14.25" customHeight="1">
      <c r="E203" s="4"/>
      <c r="F203" s="4"/>
      <c r="G203" s="4"/>
      <c r="H203" s="4"/>
      <c r="I203" s="4"/>
      <c r="J203" s="4"/>
      <c r="K203" s="4"/>
    </row>
    <row r="204" ht="14.25" customHeight="1">
      <c r="E204" s="4"/>
      <c r="F204" s="4"/>
      <c r="G204" s="4"/>
      <c r="H204" s="4"/>
      <c r="I204" s="4"/>
      <c r="J204" s="4"/>
      <c r="K204" s="4"/>
    </row>
    <row r="205" ht="14.25" customHeight="1">
      <c r="E205" s="4"/>
      <c r="F205" s="4"/>
      <c r="G205" s="4"/>
      <c r="H205" s="4"/>
      <c r="I205" s="4"/>
      <c r="J205" s="4"/>
      <c r="K205" s="4"/>
    </row>
    <row r="206" ht="14.25" customHeight="1">
      <c r="E206" s="4"/>
      <c r="F206" s="4"/>
      <c r="G206" s="4"/>
      <c r="H206" s="4"/>
      <c r="I206" s="4"/>
      <c r="J206" s="4"/>
      <c r="K206" s="4"/>
    </row>
    <row r="207" ht="14.25" customHeight="1">
      <c r="E207" s="4"/>
      <c r="F207" s="4"/>
      <c r="G207" s="4"/>
      <c r="H207" s="4"/>
      <c r="I207" s="4"/>
      <c r="J207" s="4"/>
      <c r="K207" s="4"/>
    </row>
    <row r="208" ht="14.25" customHeight="1">
      <c r="E208" s="4"/>
      <c r="F208" s="4"/>
      <c r="G208" s="4"/>
      <c r="H208" s="4"/>
      <c r="I208" s="4"/>
      <c r="J208" s="4"/>
      <c r="K208" s="4"/>
    </row>
    <row r="209" ht="14.25" customHeight="1">
      <c r="E209" s="4"/>
      <c r="F209" s="4"/>
      <c r="G209" s="4"/>
      <c r="H209" s="4"/>
      <c r="I209" s="4"/>
      <c r="J209" s="4"/>
      <c r="K209" s="4"/>
    </row>
    <row r="210" ht="14.25" customHeight="1">
      <c r="E210" s="4"/>
      <c r="F210" s="4"/>
      <c r="G210" s="4"/>
      <c r="H210" s="4"/>
      <c r="I210" s="4"/>
      <c r="J210" s="4"/>
      <c r="K210" s="4"/>
    </row>
    <row r="211" ht="14.25" customHeight="1">
      <c r="E211" s="4"/>
      <c r="F211" s="4"/>
      <c r="G211" s="4"/>
      <c r="H211" s="4"/>
      <c r="I211" s="4"/>
      <c r="J211" s="4"/>
      <c r="K211" s="4"/>
    </row>
    <row r="212" ht="14.25" customHeight="1">
      <c r="E212" s="4"/>
      <c r="F212" s="4"/>
      <c r="G212" s="4"/>
      <c r="H212" s="4"/>
      <c r="I212" s="4"/>
      <c r="J212" s="4"/>
      <c r="K212" s="4"/>
    </row>
    <row r="213" ht="14.25" customHeight="1">
      <c r="E213" s="4"/>
      <c r="F213" s="4"/>
      <c r="G213" s="4"/>
      <c r="H213" s="4"/>
      <c r="I213" s="4"/>
      <c r="J213" s="4"/>
      <c r="K213" s="4"/>
    </row>
    <row r="214" ht="14.25" customHeight="1">
      <c r="E214" s="4"/>
      <c r="F214" s="4"/>
      <c r="G214" s="4"/>
      <c r="H214" s="4"/>
      <c r="I214" s="4"/>
      <c r="J214" s="4"/>
      <c r="K214" s="4"/>
    </row>
    <row r="215" ht="14.25" customHeight="1">
      <c r="E215" s="4"/>
      <c r="F215" s="4"/>
      <c r="G215" s="4"/>
      <c r="H215" s="4"/>
      <c r="I215" s="4"/>
      <c r="J215" s="4"/>
      <c r="K215" s="4"/>
    </row>
    <row r="216" ht="14.25" customHeight="1">
      <c r="E216" s="4"/>
      <c r="F216" s="4"/>
      <c r="G216" s="4"/>
      <c r="H216" s="4"/>
      <c r="I216" s="4"/>
      <c r="J216" s="4"/>
      <c r="K216" s="4"/>
    </row>
    <row r="217" ht="14.25" customHeight="1">
      <c r="E217" s="4"/>
      <c r="F217" s="4"/>
      <c r="G217" s="4"/>
      <c r="H217" s="4"/>
      <c r="I217" s="4"/>
      <c r="J217" s="4"/>
      <c r="K217" s="4"/>
    </row>
    <row r="218" ht="14.25" customHeight="1">
      <c r="E218" s="4"/>
      <c r="F218" s="4"/>
      <c r="G218" s="4"/>
      <c r="H218" s="4"/>
      <c r="I218" s="4"/>
      <c r="J218" s="4"/>
      <c r="K218" s="4"/>
    </row>
    <row r="219" ht="14.25" customHeight="1">
      <c r="E219" s="4"/>
      <c r="F219" s="4"/>
      <c r="G219" s="4"/>
      <c r="H219" s="4"/>
      <c r="I219" s="4"/>
      <c r="J219" s="4"/>
      <c r="K219" s="4"/>
    </row>
    <row r="220" ht="14.25" customHeight="1">
      <c r="E220" s="4"/>
      <c r="F220" s="4"/>
      <c r="G220" s="4"/>
      <c r="H220" s="4"/>
      <c r="I220" s="4"/>
      <c r="J220" s="4"/>
      <c r="K220" s="4"/>
    </row>
    <row r="221" ht="14.25" customHeight="1">
      <c r="E221" s="4"/>
      <c r="F221" s="4"/>
      <c r="G221" s="4"/>
      <c r="H221" s="4"/>
      <c r="I221" s="4"/>
      <c r="J221" s="4"/>
      <c r="K221" s="4"/>
    </row>
    <row r="222" ht="14.25" customHeight="1">
      <c r="E222" s="4"/>
      <c r="F222" s="4"/>
      <c r="G222" s="4"/>
      <c r="H222" s="4"/>
      <c r="I222" s="4"/>
      <c r="J222" s="4"/>
      <c r="K222" s="4"/>
    </row>
    <row r="223" ht="14.25" customHeight="1">
      <c r="E223" s="4"/>
      <c r="F223" s="4"/>
      <c r="G223" s="4"/>
      <c r="H223" s="4"/>
      <c r="I223" s="4"/>
      <c r="J223" s="4"/>
      <c r="K223" s="4"/>
    </row>
    <row r="224" ht="14.25" customHeight="1">
      <c r="E224" s="4"/>
      <c r="F224" s="4"/>
      <c r="G224" s="4"/>
      <c r="H224" s="4"/>
      <c r="I224" s="4"/>
      <c r="J224" s="4"/>
      <c r="K224" s="4"/>
    </row>
    <row r="225" ht="14.25" customHeight="1">
      <c r="E225" s="4"/>
      <c r="F225" s="4"/>
      <c r="G225" s="4"/>
      <c r="H225" s="4"/>
      <c r="I225" s="4"/>
      <c r="J225" s="4"/>
      <c r="K225" s="4"/>
    </row>
    <row r="226" ht="14.25" customHeight="1">
      <c r="E226" s="4"/>
      <c r="F226" s="4"/>
      <c r="G226" s="4"/>
      <c r="H226" s="4"/>
      <c r="I226" s="4"/>
      <c r="J226" s="4"/>
      <c r="K226" s="4"/>
    </row>
    <row r="227" ht="14.25" customHeight="1">
      <c r="E227" s="4"/>
      <c r="F227" s="4"/>
      <c r="G227" s="4"/>
      <c r="H227" s="4"/>
      <c r="I227" s="4"/>
      <c r="J227" s="4"/>
      <c r="K227" s="4"/>
    </row>
    <row r="228" ht="14.25" customHeight="1">
      <c r="E228" s="4"/>
      <c r="F228" s="4"/>
      <c r="G228" s="4"/>
      <c r="H228" s="4"/>
      <c r="I228" s="4"/>
      <c r="J228" s="4"/>
      <c r="K228" s="4"/>
    </row>
    <row r="229" ht="14.25" customHeight="1">
      <c r="E229" s="4"/>
      <c r="F229" s="4"/>
      <c r="G229" s="4"/>
      <c r="H229" s="4"/>
      <c r="I229" s="4"/>
      <c r="J229" s="4"/>
      <c r="K229" s="4"/>
    </row>
    <row r="230" ht="14.25" customHeight="1">
      <c r="E230" s="4"/>
      <c r="F230" s="4"/>
      <c r="G230" s="4"/>
      <c r="H230" s="4"/>
      <c r="I230" s="4"/>
      <c r="J230" s="4"/>
      <c r="K230" s="4"/>
    </row>
    <row r="231" ht="14.25" customHeight="1">
      <c r="E231" s="4"/>
      <c r="F231" s="4"/>
      <c r="G231" s="4"/>
      <c r="H231" s="4"/>
      <c r="I231" s="4"/>
      <c r="J231" s="4"/>
      <c r="K231" s="4"/>
    </row>
    <row r="232" ht="14.25" customHeight="1">
      <c r="E232" s="4"/>
      <c r="F232" s="4"/>
      <c r="G232" s="4"/>
      <c r="H232" s="4"/>
      <c r="I232" s="4"/>
      <c r="J232" s="4"/>
      <c r="K232" s="4"/>
    </row>
    <row r="233" ht="14.25" customHeight="1">
      <c r="E233" s="4"/>
      <c r="F233" s="4"/>
      <c r="G233" s="4"/>
      <c r="H233" s="4"/>
      <c r="I233" s="4"/>
      <c r="J233" s="4"/>
      <c r="K233" s="4"/>
    </row>
    <row r="234" ht="14.25" customHeight="1">
      <c r="E234" s="4"/>
      <c r="F234" s="4"/>
      <c r="G234" s="4"/>
      <c r="H234" s="4"/>
      <c r="I234" s="4"/>
      <c r="J234" s="4"/>
      <c r="K234" s="4"/>
    </row>
    <row r="235" ht="14.25" customHeight="1">
      <c r="E235" s="4"/>
      <c r="F235" s="4"/>
      <c r="G235" s="4"/>
      <c r="H235" s="4"/>
      <c r="I235" s="4"/>
      <c r="J235" s="4"/>
      <c r="K235" s="4"/>
    </row>
    <row r="236" ht="14.25" customHeight="1">
      <c r="E236" s="4"/>
      <c r="F236" s="4"/>
      <c r="G236" s="4"/>
      <c r="H236" s="4"/>
      <c r="I236" s="4"/>
      <c r="J236" s="4"/>
      <c r="K236" s="4"/>
    </row>
    <row r="237" ht="14.25" customHeight="1">
      <c r="E237" s="4"/>
      <c r="F237" s="4"/>
      <c r="G237" s="4"/>
      <c r="H237" s="4"/>
      <c r="I237" s="4"/>
      <c r="J237" s="4"/>
      <c r="K237" s="4"/>
    </row>
    <row r="238" ht="14.25" customHeight="1">
      <c r="E238" s="4"/>
      <c r="F238" s="4"/>
      <c r="G238" s="4"/>
      <c r="H238" s="4"/>
      <c r="I238" s="4"/>
      <c r="J238" s="4"/>
      <c r="K238" s="4"/>
    </row>
    <row r="239" ht="14.25" customHeight="1">
      <c r="E239" s="4"/>
      <c r="F239" s="4"/>
      <c r="G239" s="4"/>
      <c r="H239" s="4"/>
      <c r="I239" s="4"/>
      <c r="J239" s="4"/>
      <c r="K239" s="4"/>
    </row>
    <row r="240" ht="14.25" customHeight="1">
      <c r="E240" s="4"/>
      <c r="F240" s="4"/>
      <c r="G240" s="4"/>
      <c r="H240" s="4"/>
      <c r="I240" s="4"/>
      <c r="J240" s="4"/>
      <c r="K240" s="4"/>
    </row>
    <row r="241" ht="14.25" customHeight="1">
      <c r="E241" s="4"/>
      <c r="F241" s="4"/>
      <c r="G241" s="4"/>
      <c r="H241" s="4"/>
      <c r="I241" s="4"/>
      <c r="J241" s="4"/>
      <c r="K241" s="4"/>
    </row>
    <row r="242" ht="14.25" customHeight="1">
      <c r="E242" s="4"/>
      <c r="F242" s="4"/>
      <c r="G242" s="4"/>
      <c r="H242" s="4"/>
      <c r="I242" s="4"/>
      <c r="J242" s="4"/>
      <c r="K242" s="4"/>
    </row>
    <row r="243" ht="14.25" customHeight="1">
      <c r="E243" s="4"/>
      <c r="F243" s="4"/>
      <c r="G243" s="4"/>
      <c r="H243" s="4"/>
      <c r="I243" s="4"/>
      <c r="J243" s="4"/>
      <c r="K243" s="4"/>
    </row>
    <row r="244" ht="14.25" customHeight="1">
      <c r="E244" s="4"/>
      <c r="F244" s="4"/>
      <c r="G244" s="4"/>
      <c r="H244" s="4"/>
      <c r="I244" s="4"/>
      <c r="J244" s="4"/>
      <c r="K244" s="4"/>
    </row>
    <row r="245" ht="14.25" customHeight="1">
      <c r="E245" s="4"/>
      <c r="F245" s="4"/>
      <c r="G245" s="4"/>
      <c r="H245" s="4"/>
      <c r="I245" s="4"/>
      <c r="J245" s="4"/>
      <c r="K245" s="4"/>
    </row>
    <row r="246" ht="14.25" customHeight="1">
      <c r="E246" s="4"/>
      <c r="F246" s="4"/>
      <c r="G246" s="4"/>
      <c r="H246" s="4"/>
      <c r="I246" s="4"/>
      <c r="J246" s="4"/>
      <c r="K246" s="4"/>
    </row>
    <row r="247" ht="14.25" customHeight="1">
      <c r="E247" s="4"/>
      <c r="F247" s="4"/>
      <c r="G247" s="4"/>
      <c r="H247" s="4"/>
      <c r="I247" s="4"/>
      <c r="J247" s="4"/>
      <c r="K247" s="4"/>
    </row>
    <row r="248" ht="14.25" customHeight="1">
      <c r="E248" s="4"/>
      <c r="F248" s="4"/>
      <c r="G248" s="4"/>
      <c r="H248" s="4"/>
      <c r="I248" s="4"/>
      <c r="J248" s="4"/>
      <c r="K248" s="4"/>
    </row>
    <row r="249" ht="14.25" customHeight="1">
      <c r="E249" s="4"/>
      <c r="F249" s="4"/>
      <c r="G249" s="4"/>
      <c r="H249" s="4"/>
      <c r="I249" s="4"/>
      <c r="J249" s="4"/>
      <c r="K249" s="4"/>
    </row>
    <row r="250" ht="14.25" customHeight="1">
      <c r="E250" s="4"/>
      <c r="F250" s="4"/>
      <c r="G250" s="4"/>
      <c r="H250" s="4"/>
      <c r="I250" s="4"/>
      <c r="J250" s="4"/>
      <c r="K250" s="4"/>
    </row>
    <row r="251" ht="14.25" customHeight="1">
      <c r="E251" s="4"/>
      <c r="F251" s="4"/>
      <c r="G251" s="4"/>
      <c r="H251" s="4"/>
      <c r="I251" s="4"/>
      <c r="J251" s="4"/>
      <c r="K251" s="4"/>
    </row>
    <row r="252" ht="14.25" customHeight="1">
      <c r="E252" s="4"/>
      <c r="F252" s="4"/>
      <c r="G252" s="4"/>
      <c r="H252" s="4"/>
      <c r="I252" s="4"/>
      <c r="J252" s="4"/>
      <c r="K252" s="4"/>
    </row>
    <row r="253" ht="14.25" customHeight="1">
      <c r="E253" s="4"/>
      <c r="F253" s="4"/>
      <c r="G253" s="4"/>
      <c r="H253" s="4"/>
      <c r="I253" s="4"/>
      <c r="J253" s="4"/>
      <c r="K253" s="4"/>
    </row>
    <row r="254" ht="14.25" customHeight="1">
      <c r="E254" s="4"/>
      <c r="F254" s="4"/>
      <c r="G254" s="4"/>
      <c r="H254" s="4"/>
      <c r="I254" s="4"/>
      <c r="J254" s="4"/>
      <c r="K254" s="4"/>
    </row>
    <row r="255" ht="14.25" customHeight="1">
      <c r="E255" s="4"/>
      <c r="F255" s="4"/>
      <c r="G255" s="4"/>
      <c r="H255" s="4"/>
      <c r="I255" s="4"/>
      <c r="J255" s="4"/>
      <c r="K255" s="4"/>
    </row>
    <row r="256" ht="14.25" customHeight="1">
      <c r="E256" s="4"/>
      <c r="F256" s="4"/>
      <c r="G256" s="4"/>
      <c r="H256" s="4"/>
      <c r="I256" s="4"/>
      <c r="J256" s="4"/>
      <c r="K256" s="4"/>
    </row>
    <row r="257" ht="14.25" customHeight="1">
      <c r="E257" s="4"/>
      <c r="F257" s="4"/>
      <c r="G257" s="4"/>
      <c r="H257" s="4"/>
      <c r="I257" s="4"/>
      <c r="J257" s="4"/>
      <c r="K257" s="4"/>
    </row>
    <row r="258" ht="14.25" customHeight="1">
      <c r="E258" s="4"/>
      <c r="F258" s="4"/>
      <c r="G258" s="4"/>
      <c r="H258" s="4"/>
      <c r="I258" s="4"/>
      <c r="J258" s="4"/>
      <c r="K258" s="4"/>
    </row>
    <row r="259" ht="14.25" customHeight="1">
      <c r="E259" s="4"/>
      <c r="F259" s="4"/>
      <c r="G259" s="4"/>
      <c r="H259" s="4"/>
      <c r="I259" s="4"/>
      <c r="J259" s="4"/>
      <c r="K259" s="4"/>
    </row>
    <row r="260" ht="14.25" customHeight="1">
      <c r="E260" s="4"/>
      <c r="F260" s="4"/>
      <c r="G260" s="4"/>
      <c r="H260" s="4"/>
      <c r="I260" s="4"/>
      <c r="J260" s="4"/>
      <c r="K260" s="4"/>
    </row>
    <row r="261" ht="14.25" customHeight="1">
      <c r="E261" s="4"/>
      <c r="F261" s="4"/>
      <c r="G261" s="4"/>
      <c r="H261" s="4"/>
      <c r="I261" s="4"/>
      <c r="J261" s="4"/>
      <c r="K261" s="4"/>
    </row>
    <row r="262" ht="14.25" customHeight="1">
      <c r="E262" s="4"/>
      <c r="F262" s="4"/>
      <c r="G262" s="4"/>
      <c r="H262" s="4"/>
      <c r="I262" s="4"/>
      <c r="J262" s="4"/>
      <c r="K262" s="4"/>
    </row>
    <row r="263" ht="14.25" customHeight="1">
      <c r="E263" s="4"/>
      <c r="F263" s="4"/>
      <c r="G263" s="4"/>
      <c r="H263" s="4"/>
      <c r="I263" s="4"/>
      <c r="J263" s="4"/>
      <c r="K263" s="4"/>
    </row>
    <row r="264" ht="14.25" customHeight="1">
      <c r="E264" s="4"/>
      <c r="F264" s="4"/>
      <c r="G264" s="4"/>
      <c r="H264" s="4"/>
      <c r="I264" s="4"/>
      <c r="J264" s="4"/>
      <c r="K264" s="4"/>
    </row>
    <row r="265" ht="14.25" customHeight="1">
      <c r="E265" s="4"/>
      <c r="F265" s="4"/>
      <c r="G265" s="4"/>
      <c r="H265" s="4"/>
      <c r="I265" s="4"/>
      <c r="J265" s="4"/>
      <c r="K265" s="4"/>
    </row>
    <row r="266" ht="14.25" customHeight="1">
      <c r="E266" s="4"/>
      <c r="F266" s="4"/>
      <c r="G266" s="4"/>
      <c r="H266" s="4"/>
      <c r="I266" s="4"/>
      <c r="J266" s="4"/>
      <c r="K266" s="4"/>
    </row>
    <row r="267" ht="14.25" customHeight="1">
      <c r="E267" s="4"/>
      <c r="F267" s="4"/>
      <c r="G267" s="4"/>
      <c r="H267" s="4"/>
      <c r="I267" s="4"/>
      <c r="J267" s="4"/>
      <c r="K267" s="4"/>
    </row>
    <row r="268" ht="14.25" customHeight="1">
      <c r="E268" s="4"/>
      <c r="F268" s="4"/>
      <c r="G268" s="4"/>
      <c r="H268" s="4"/>
      <c r="I268" s="4"/>
      <c r="J268" s="4"/>
      <c r="K268" s="4"/>
    </row>
    <row r="269" ht="14.25" customHeight="1">
      <c r="E269" s="4"/>
      <c r="F269" s="4"/>
      <c r="G269" s="4"/>
      <c r="H269" s="4"/>
      <c r="I269" s="4"/>
      <c r="J269" s="4"/>
      <c r="K269" s="4"/>
    </row>
    <row r="270" ht="14.25" customHeight="1">
      <c r="E270" s="4"/>
      <c r="F270" s="4"/>
      <c r="G270" s="4"/>
      <c r="H270" s="4"/>
      <c r="I270" s="4"/>
      <c r="J270" s="4"/>
      <c r="K270" s="4"/>
    </row>
    <row r="271" ht="14.25" customHeight="1">
      <c r="E271" s="4"/>
      <c r="F271" s="4"/>
      <c r="G271" s="4"/>
      <c r="H271" s="4"/>
      <c r="I271" s="4"/>
      <c r="J271" s="4"/>
      <c r="K271" s="4"/>
    </row>
    <row r="272" ht="14.25" customHeight="1">
      <c r="E272" s="4"/>
      <c r="F272" s="4"/>
      <c r="G272" s="4"/>
      <c r="H272" s="4"/>
      <c r="I272" s="4"/>
      <c r="J272" s="4"/>
      <c r="K272" s="4"/>
    </row>
    <row r="273" ht="14.25" customHeight="1">
      <c r="E273" s="4"/>
      <c r="F273" s="4"/>
      <c r="G273" s="4"/>
      <c r="H273" s="4"/>
      <c r="I273" s="4"/>
      <c r="J273" s="4"/>
      <c r="K273" s="4"/>
    </row>
    <row r="274" ht="14.25" customHeight="1">
      <c r="E274" s="4"/>
      <c r="F274" s="4"/>
      <c r="G274" s="4"/>
      <c r="H274" s="4"/>
      <c r="I274" s="4"/>
      <c r="J274" s="4"/>
      <c r="K274" s="4"/>
    </row>
    <row r="275" ht="14.25" customHeight="1">
      <c r="E275" s="4"/>
      <c r="F275" s="4"/>
      <c r="G275" s="4"/>
      <c r="H275" s="4"/>
      <c r="I275" s="4"/>
      <c r="J275" s="4"/>
      <c r="K275" s="4"/>
    </row>
    <row r="276" ht="14.25" customHeight="1">
      <c r="E276" s="4"/>
      <c r="F276" s="4"/>
      <c r="G276" s="4"/>
      <c r="H276" s="4"/>
      <c r="I276" s="4"/>
      <c r="J276" s="4"/>
      <c r="K276" s="4"/>
    </row>
    <row r="277" ht="14.25" customHeight="1">
      <c r="E277" s="4"/>
      <c r="F277" s="4"/>
      <c r="G277" s="4"/>
      <c r="H277" s="4"/>
      <c r="I277" s="4"/>
      <c r="J277" s="4"/>
      <c r="K277" s="4"/>
    </row>
    <row r="278" ht="14.25" customHeight="1">
      <c r="E278" s="4"/>
      <c r="F278" s="4"/>
      <c r="G278" s="4"/>
      <c r="H278" s="4"/>
      <c r="I278" s="4"/>
      <c r="J278" s="4"/>
      <c r="K278" s="4"/>
    </row>
    <row r="279" ht="14.25" customHeight="1">
      <c r="E279" s="4"/>
      <c r="F279" s="4"/>
      <c r="G279" s="4"/>
      <c r="H279" s="4"/>
      <c r="I279" s="4"/>
      <c r="J279" s="4"/>
      <c r="K279" s="4"/>
    </row>
    <row r="280" ht="14.25" customHeight="1">
      <c r="E280" s="4"/>
      <c r="F280" s="4"/>
      <c r="G280" s="4"/>
      <c r="H280" s="4"/>
      <c r="I280" s="4"/>
      <c r="J280" s="4"/>
      <c r="K280" s="4"/>
    </row>
    <row r="281" ht="14.25" customHeight="1">
      <c r="E281" s="4"/>
      <c r="F281" s="4"/>
      <c r="G281" s="4"/>
      <c r="H281" s="4"/>
      <c r="I281" s="4"/>
      <c r="J281" s="4"/>
      <c r="K281" s="4"/>
    </row>
    <row r="282" ht="14.25" customHeight="1">
      <c r="E282" s="4"/>
      <c r="F282" s="4"/>
      <c r="G282" s="4"/>
      <c r="H282" s="4"/>
      <c r="I282" s="4"/>
      <c r="J282" s="4"/>
      <c r="K282" s="4"/>
    </row>
    <row r="283" ht="14.25" customHeight="1">
      <c r="E283" s="4"/>
      <c r="F283" s="4"/>
      <c r="G283" s="4"/>
      <c r="H283" s="4"/>
      <c r="I283" s="4"/>
      <c r="J283" s="4"/>
      <c r="K283" s="4"/>
    </row>
    <row r="284" ht="14.25" customHeight="1">
      <c r="E284" s="4"/>
      <c r="F284" s="4"/>
      <c r="G284" s="4"/>
      <c r="H284" s="4"/>
      <c r="I284" s="4"/>
      <c r="J284" s="4"/>
      <c r="K284" s="4"/>
    </row>
    <row r="285" ht="14.25" customHeight="1">
      <c r="E285" s="4"/>
      <c r="F285" s="4"/>
      <c r="G285" s="4"/>
      <c r="H285" s="4"/>
      <c r="I285" s="4"/>
      <c r="J285" s="4"/>
      <c r="K285" s="4"/>
    </row>
    <row r="286" ht="14.25" customHeight="1">
      <c r="E286" s="4"/>
      <c r="F286" s="4"/>
      <c r="G286" s="4"/>
      <c r="H286" s="4"/>
      <c r="I286" s="4"/>
      <c r="J286" s="4"/>
      <c r="K286" s="4"/>
    </row>
    <row r="287" ht="14.25" customHeight="1">
      <c r="E287" s="4"/>
      <c r="F287" s="4"/>
      <c r="G287" s="4"/>
      <c r="H287" s="4"/>
      <c r="I287" s="4"/>
      <c r="J287" s="4"/>
      <c r="K287" s="4"/>
    </row>
    <row r="288" ht="14.25" customHeight="1">
      <c r="E288" s="4"/>
      <c r="F288" s="4"/>
      <c r="G288" s="4"/>
      <c r="H288" s="4"/>
      <c r="I288" s="4"/>
      <c r="J288" s="4"/>
      <c r="K288" s="4"/>
    </row>
    <row r="289" ht="14.25" customHeight="1">
      <c r="E289" s="4"/>
      <c r="F289" s="4"/>
      <c r="G289" s="4"/>
      <c r="H289" s="4"/>
      <c r="I289" s="4"/>
      <c r="J289" s="4"/>
      <c r="K289" s="4"/>
    </row>
    <row r="290" ht="14.25" customHeight="1">
      <c r="E290" s="4"/>
      <c r="F290" s="4"/>
      <c r="G290" s="4"/>
      <c r="H290" s="4"/>
      <c r="I290" s="4"/>
      <c r="J290" s="4"/>
      <c r="K290" s="4"/>
    </row>
    <row r="291" ht="14.25" customHeight="1">
      <c r="E291" s="4"/>
      <c r="F291" s="4"/>
      <c r="G291" s="4"/>
      <c r="H291" s="4"/>
      <c r="I291" s="4"/>
      <c r="J291" s="4"/>
      <c r="K291" s="4"/>
    </row>
    <row r="292" ht="14.25" customHeight="1">
      <c r="E292" s="4"/>
      <c r="F292" s="4"/>
      <c r="G292" s="4"/>
      <c r="H292" s="4"/>
      <c r="I292" s="4"/>
      <c r="J292" s="4"/>
      <c r="K292" s="4"/>
    </row>
    <row r="293" ht="14.25" customHeight="1">
      <c r="E293" s="4"/>
      <c r="F293" s="4"/>
      <c r="G293" s="4"/>
      <c r="H293" s="4"/>
      <c r="I293" s="4"/>
      <c r="J293" s="4"/>
      <c r="K293" s="4"/>
    </row>
    <row r="294" ht="14.25" customHeight="1">
      <c r="E294" s="4"/>
      <c r="F294" s="4"/>
      <c r="G294" s="4"/>
      <c r="H294" s="4"/>
      <c r="I294" s="4"/>
      <c r="J294" s="4"/>
      <c r="K294" s="4"/>
    </row>
    <row r="295" ht="14.25" customHeight="1">
      <c r="E295" s="4"/>
      <c r="F295" s="4"/>
      <c r="G295" s="4"/>
      <c r="H295" s="4"/>
      <c r="I295" s="4"/>
      <c r="J295" s="4"/>
      <c r="K295" s="4"/>
    </row>
    <row r="296" ht="14.25" customHeight="1">
      <c r="E296" s="4"/>
      <c r="F296" s="4"/>
      <c r="G296" s="4"/>
      <c r="H296" s="4"/>
      <c r="I296" s="4"/>
      <c r="J296" s="4"/>
      <c r="K296" s="4"/>
    </row>
    <row r="297" ht="14.25" customHeight="1">
      <c r="E297" s="4"/>
      <c r="F297" s="4"/>
      <c r="G297" s="4"/>
      <c r="H297" s="4"/>
      <c r="I297" s="4"/>
      <c r="J297" s="4"/>
      <c r="K297" s="4"/>
    </row>
    <row r="298" ht="14.25" customHeight="1">
      <c r="E298" s="4"/>
      <c r="F298" s="4"/>
      <c r="G298" s="4"/>
      <c r="H298" s="4"/>
      <c r="I298" s="4"/>
      <c r="J298" s="4"/>
      <c r="K298" s="4"/>
    </row>
    <row r="299" ht="14.25" customHeight="1">
      <c r="E299" s="4"/>
      <c r="F299" s="4"/>
      <c r="G299" s="4"/>
      <c r="H299" s="4"/>
      <c r="I299" s="4"/>
      <c r="J299" s="4"/>
      <c r="K299" s="4"/>
    </row>
    <row r="300" ht="14.25" customHeight="1">
      <c r="E300" s="4"/>
      <c r="F300" s="4"/>
      <c r="G300" s="4"/>
      <c r="H300" s="4"/>
      <c r="I300" s="4"/>
      <c r="J300" s="4"/>
      <c r="K300" s="4"/>
    </row>
    <row r="301" ht="14.25" customHeight="1">
      <c r="E301" s="4"/>
      <c r="F301" s="4"/>
      <c r="G301" s="4"/>
      <c r="H301" s="4"/>
      <c r="I301" s="4"/>
      <c r="J301" s="4"/>
      <c r="K301" s="4"/>
    </row>
    <row r="302" ht="14.25" customHeight="1">
      <c r="E302" s="4"/>
      <c r="F302" s="4"/>
      <c r="G302" s="4"/>
      <c r="H302" s="4"/>
      <c r="I302" s="4"/>
      <c r="J302" s="4"/>
      <c r="K302" s="4"/>
    </row>
    <row r="303" ht="14.25" customHeight="1">
      <c r="E303" s="4"/>
      <c r="F303" s="4"/>
      <c r="G303" s="4"/>
      <c r="H303" s="4"/>
      <c r="I303" s="4"/>
      <c r="J303" s="4"/>
      <c r="K303" s="4"/>
    </row>
    <row r="304" ht="14.25" customHeight="1">
      <c r="E304" s="4"/>
      <c r="F304" s="4"/>
      <c r="G304" s="4"/>
      <c r="H304" s="4"/>
      <c r="I304" s="4"/>
      <c r="J304" s="4"/>
      <c r="K304" s="4"/>
    </row>
    <row r="305" ht="14.25" customHeight="1">
      <c r="E305" s="4"/>
      <c r="F305" s="4"/>
      <c r="G305" s="4"/>
      <c r="H305" s="4"/>
      <c r="I305" s="4"/>
      <c r="J305" s="4"/>
      <c r="K305" s="4"/>
    </row>
    <row r="306" ht="14.25" customHeight="1">
      <c r="E306" s="4"/>
      <c r="F306" s="4"/>
      <c r="G306" s="4"/>
      <c r="H306" s="4"/>
      <c r="I306" s="4"/>
      <c r="J306" s="4"/>
      <c r="K306" s="4"/>
    </row>
    <row r="307" ht="14.25" customHeight="1">
      <c r="E307" s="4"/>
      <c r="F307" s="4"/>
      <c r="G307" s="4"/>
      <c r="H307" s="4"/>
      <c r="I307" s="4"/>
      <c r="J307" s="4"/>
      <c r="K307" s="4"/>
    </row>
    <row r="308" ht="14.25" customHeight="1">
      <c r="E308" s="4"/>
      <c r="F308" s="4"/>
      <c r="G308" s="4"/>
      <c r="H308" s="4"/>
      <c r="I308" s="4"/>
      <c r="J308" s="4"/>
      <c r="K308" s="4"/>
    </row>
    <row r="309" ht="14.25" customHeight="1">
      <c r="E309" s="4"/>
      <c r="F309" s="4"/>
      <c r="G309" s="4"/>
      <c r="H309" s="4"/>
      <c r="I309" s="4"/>
      <c r="J309" s="4"/>
      <c r="K309" s="4"/>
    </row>
    <row r="310" ht="14.25" customHeight="1">
      <c r="E310" s="4"/>
      <c r="F310" s="4"/>
      <c r="G310" s="4"/>
      <c r="H310" s="4"/>
      <c r="I310" s="4"/>
      <c r="J310" s="4"/>
      <c r="K310" s="4"/>
    </row>
    <row r="311" ht="14.25" customHeight="1">
      <c r="E311" s="4"/>
      <c r="F311" s="4"/>
      <c r="G311" s="4"/>
      <c r="H311" s="4"/>
      <c r="I311" s="4"/>
      <c r="J311" s="4"/>
      <c r="K311" s="4"/>
    </row>
    <row r="312" ht="14.25" customHeight="1">
      <c r="E312" s="4"/>
      <c r="F312" s="4"/>
      <c r="G312" s="4"/>
      <c r="H312" s="4"/>
      <c r="I312" s="4"/>
      <c r="J312" s="4"/>
      <c r="K312" s="4"/>
    </row>
    <row r="313" ht="14.25" customHeight="1">
      <c r="E313" s="4"/>
      <c r="F313" s="4"/>
      <c r="G313" s="4"/>
      <c r="H313" s="4"/>
      <c r="I313" s="4"/>
      <c r="J313" s="4"/>
      <c r="K313" s="4"/>
    </row>
    <row r="314" ht="14.25" customHeight="1">
      <c r="E314" s="4"/>
      <c r="F314" s="4"/>
      <c r="G314" s="4"/>
      <c r="H314" s="4"/>
      <c r="I314" s="4"/>
      <c r="J314" s="4"/>
      <c r="K314" s="4"/>
    </row>
    <row r="315" ht="14.25" customHeight="1">
      <c r="E315" s="4"/>
      <c r="F315" s="4"/>
      <c r="G315" s="4"/>
      <c r="H315" s="4"/>
      <c r="I315" s="4"/>
      <c r="J315" s="4"/>
      <c r="K315" s="4"/>
    </row>
    <row r="316" ht="14.25" customHeight="1">
      <c r="E316" s="4"/>
      <c r="F316" s="4"/>
      <c r="G316" s="4"/>
      <c r="H316" s="4"/>
      <c r="I316" s="4"/>
      <c r="J316" s="4"/>
      <c r="K316" s="4"/>
    </row>
    <row r="317" ht="14.25" customHeight="1">
      <c r="E317" s="4"/>
      <c r="F317" s="4"/>
      <c r="G317" s="4"/>
      <c r="H317" s="4"/>
      <c r="I317" s="4"/>
      <c r="J317" s="4"/>
      <c r="K317" s="4"/>
    </row>
    <row r="318" ht="14.25" customHeight="1">
      <c r="E318" s="4"/>
      <c r="F318" s="4"/>
      <c r="G318" s="4"/>
      <c r="H318" s="4"/>
      <c r="I318" s="4"/>
      <c r="J318" s="4"/>
      <c r="K318" s="4"/>
    </row>
    <row r="319" ht="14.25" customHeight="1">
      <c r="E319" s="4"/>
      <c r="F319" s="4"/>
      <c r="G319" s="4"/>
      <c r="H319" s="4"/>
      <c r="I319" s="4"/>
      <c r="J319" s="4"/>
      <c r="K319" s="4"/>
    </row>
    <row r="320" ht="14.25" customHeight="1">
      <c r="E320" s="4"/>
      <c r="F320" s="4"/>
      <c r="G320" s="4"/>
      <c r="H320" s="4"/>
      <c r="I320" s="4"/>
      <c r="J320" s="4"/>
      <c r="K320" s="4"/>
    </row>
    <row r="321" ht="14.25" customHeight="1">
      <c r="E321" s="4"/>
      <c r="F321" s="4"/>
      <c r="G321" s="4"/>
      <c r="H321" s="4"/>
      <c r="I321" s="4"/>
      <c r="J321" s="4"/>
      <c r="K321" s="4"/>
    </row>
    <row r="322" ht="14.25" customHeight="1">
      <c r="E322" s="4"/>
      <c r="F322" s="4"/>
      <c r="G322" s="4"/>
      <c r="H322" s="4"/>
      <c r="I322" s="4"/>
      <c r="J322" s="4"/>
      <c r="K322" s="4"/>
    </row>
    <row r="323" ht="14.25" customHeight="1">
      <c r="E323" s="4"/>
      <c r="F323" s="4"/>
      <c r="G323" s="4"/>
      <c r="H323" s="4"/>
      <c r="I323" s="4"/>
      <c r="J323" s="4"/>
      <c r="K323" s="4"/>
    </row>
    <row r="324" ht="14.25" customHeight="1">
      <c r="E324" s="4"/>
      <c r="F324" s="4"/>
      <c r="G324" s="4"/>
      <c r="H324" s="4"/>
      <c r="I324" s="4"/>
      <c r="J324" s="4"/>
      <c r="K324" s="4"/>
    </row>
    <row r="325" ht="14.25" customHeight="1">
      <c r="E325" s="4"/>
      <c r="F325" s="4"/>
      <c r="G325" s="4"/>
      <c r="H325" s="4"/>
      <c r="I325" s="4"/>
      <c r="J325" s="4"/>
      <c r="K325" s="4"/>
    </row>
    <row r="326" ht="14.25" customHeight="1">
      <c r="E326" s="4"/>
      <c r="F326" s="4"/>
      <c r="G326" s="4"/>
      <c r="H326" s="4"/>
      <c r="I326" s="4"/>
      <c r="J326" s="4"/>
      <c r="K326" s="4"/>
    </row>
    <row r="327" ht="14.25" customHeight="1">
      <c r="E327" s="4"/>
      <c r="F327" s="4"/>
      <c r="G327" s="4"/>
      <c r="H327" s="4"/>
      <c r="I327" s="4"/>
      <c r="J327" s="4"/>
      <c r="K327" s="4"/>
    </row>
    <row r="328" ht="14.25" customHeight="1">
      <c r="E328" s="4"/>
      <c r="F328" s="4"/>
      <c r="G328" s="4"/>
      <c r="H328" s="4"/>
      <c r="I328" s="4"/>
      <c r="J328" s="4"/>
      <c r="K328" s="4"/>
    </row>
    <row r="329" ht="14.25" customHeight="1">
      <c r="E329" s="4"/>
      <c r="F329" s="4"/>
      <c r="G329" s="4"/>
      <c r="H329" s="4"/>
      <c r="I329" s="4"/>
      <c r="J329" s="4"/>
      <c r="K329" s="4"/>
    </row>
    <row r="330" ht="14.25" customHeight="1">
      <c r="E330" s="4"/>
      <c r="F330" s="4"/>
      <c r="G330" s="4"/>
      <c r="H330" s="4"/>
      <c r="I330" s="4"/>
      <c r="J330" s="4"/>
      <c r="K330" s="4"/>
    </row>
    <row r="331" ht="14.25" customHeight="1">
      <c r="E331" s="4"/>
      <c r="F331" s="4"/>
      <c r="G331" s="4"/>
      <c r="H331" s="4"/>
      <c r="I331" s="4"/>
      <c r="J331" s="4"/>
      <c r="K331" s="4"/>
    </row>
    <row r="332" ht="14.25" customHeight="1">
      <c r="E332" s="4"/>
      <c r="F332" s="4"/>
      <c r="G332" s="4"/>
      <c r="H332" s="4"/>
      <c r="I332" s="4"/>
      <c r="J332" s="4"/>
      <c r="K332" s="4"/>
    </row>
    <row r="333" ht="14.25" customHeight="1">
      <c r="E333" s="4"/>
      <c r="F333" s="4"/>
      <c r="G333" s="4"/>
      <c r="H333" s="4"/>
      <c r="I333" s="4"/>
      <c r="J333" s="4"/>
      <c r="K333" s="4"/>
    </row>
    <row r="334" ht="14.25" customHeight="1">
      <c r="E334" s="4"/>
      <c r="F334" s="4"/>
      <c r="G334" s="4"/>
      <c r="H334" s="4"/>
      <c r="I334" s="4"/>
      <c r="J334" s="4"/>
      <c r="K334" s="4"/>
    </row>
    <row r="335" ht="14.25" customHeight="1">
      <c r="E335" s="4"/>
      <c r="F335" s="4"/>
      <c r="G335" s="4"/>
      <c r="H335" s="4"/>
      <c r="I335" s="4"/>
      <c r="J335" s="4"/>
      <c r="K335" s="4"/>
    </row>
    <row r="336" ht="14.25" customHeight="1">
      <c r="E336" s="4"/>
      <c r="F336" s="4"/>
      <c r="G336" s="4"/>
      <c r="H336" s="4"/>
      <c r="I336" s="4"/>
      <c r="J336" s="4"/>
      <c r="K336" s="4"/>
    </row>
    <row r="337" ht="14.25" customHeight="1">
      <c r="E337" s="4"/>
      <c r="F337" s="4"/>
      <c r="G337" s="4"/>
      <c r="H337" s="4"/>
      <c r="I337" s="4"/>
      <c r="J337" s="4"/>
      <c r="K337" s="4"/>
    </row>
    <row r="338" ht="14.25" customHeight="1">
      <c r="E338" s="4"/>
      <c r="F338" s="4"/>
      <c r="G338" s="4"/>
      <c r="H338" s="4"/>
      <c r="I338" s="4"/>
      <c r="J338" s="4"/>
      <c r="K338" s="4"/>
    </row>
    <row r="339" ht="14.25" customHeight="1">
      <c r="E339" s="4"/>
      <c r="F339" s="4"/>
      <c r="G339" s="4"/>
      <c r="H339" s="4"/>
      <c r="I339" s="4"/>
      <c r="J339" s="4"/>
      <c r="K339" s="4"/>
    </row>
    <row r="340" ht="14.25" customHeight="1">
      <c r="E340" s="4"/>
      <c r="F340" s="4"/>
      <c r="G340" s="4"/>
      <c r="H340" s="4"/>
      <c r="I340" s="4"/>
      <c r="J340" s="4"/>
      <c r="K340" s="4"/>
    </row>
    <row r="341" ht="14.25" customHeight="1">
      <c r="E341" s="4"/>
      <c r="F341" s="4"/>
      <c r="G341" s="4"/>
      <c r="H341" s="4"/>
      <c r="I341" s="4"/>
      <c r="J341" s="4"/>
      <c r="K341" s="4"/>
    </row>
    <row r="342" ht="14.25" customHeight="1">
      <c r="E342" s="4"/>
      <c r="F342" s="4"/>
      <c r="G342" s="4"/>
      <c r="H342" s="4"/>
      <c r="I342" s="4"/>
      <c r="J342" s="4"/>
      <c r="K342" s="4"/>
    </row>
    <row r="343" ht="14.25" customHeight="1">
      <c r="E343" s="4"/>
      <c r="F343" s="4"/>
      <c r="G343" s="4"/>
      <c r="H343" s="4"/>
      <c r="I343" s="4"/>
      <c r="J343" s="4"/>
      <c r="K343" s="4"/>
    </row>
    <row r="344" ht="14.25" customHeight="1">
      <c r="E344" s="4"/>
      <c r="F344" s="4"/>
      <c r="G344" s="4"/>
      <c r="H344" s="4"/>
      <c r="I344" s="4"/>
      <c r="J344" s="4"/>
      <c r="K344" s="4"/>
    </row>
    <row r="345" ht="14.25" customHeight="1">
      <c r="E345" s="4"/>
      <c r="F345" s="4"/>
      <c r="G345" s="4"/>
      <c r="H345" s="4"/>
      <c r="I345" s="4"/>
      <c r="J345" s="4"/>
      <c r="K345" s="4"/>
    </row>
    <row r="346" ht="14.25" customHeight="1">
      <c r="E346" s="4"/>
      <c r="F346" s="4"/>
      <c r="G346" s="4"/>
      <c r="H346" s="4"/>
      <c r="I346" s="4"/>
      <c r="J346" s="4"/>
      <c r="K346" s="4"/>
    </row>
    <row r="347" ht="14.25" customHeight="1">
      <c r="E347" s="4"/>
      <c r="F347" s="4"/>
      <c r="G347" s="4"/>
      <c r="H347" s="4"/>
      <c r="I347" s="4"/>
      <c r="J347" s="4"/>
      <c r="K347" s="4"/>
    </row>
    <row r="348" ht="14.25" customHeight="1">
      <c r="E348" s="4"/>
      <c r="F348" s="4"/>
      <c r="G348" s="4"/>
      <c r="H348" s="4"/>
      <c r="I348" s="4"/>
      <c r="J348" s="4"/>
      <c r="K348" s="4"/>
    </row>
    <row r="349" ht="14.25" customHeight="1">
      <c r="E349" s="4"/>
      <c r="F349" s="4"/>
      <c r="G349" s="4"/>
      <c r="H349" s="4"/>
      <c r="I349" s="4"/>
      <c r="J349" s="4"/>
      <c r="K349" s="4"/>
    </row>
    <row r="350" ht="14.25" customHeight="1">
      <c r="E350" s="4"/>
      <c r="F350" s="4"/>
      <c r="G350" s="4"/>
      <c r="H350" s="4"/>
      <c r="I350" s="4"/>
      <c r="J350" s="4"/>
      <c r="K350" s="4"/>
    </row>
    <row r="351" ht="14.25" customHeight="1">
      <c r="E351" s="4"/>
      <c r="F351" s="4"/>
      <c r="G351" s="4"/>
      <c r="H351" s="4"/>
      <c r="I351" s="4"/>
      <c r="J351" s="4"/>
      <c r="K351" s="4"/>
    </row>
    <row r="352" ht="14.25" customHeight="1">
      <c r="E352" s="4"/>
      <c r="F352" s="4"/>
      <c r="G352" s="4"/>
      <c r="H352" s="4"/>
      <c r="I352" s="4"/>
      <c r="J352" s="4"/>
      <c r="K352" s="4"/>
    </row>
    <row r="353" ht="14.25" customHeight="1">
      <c r="E353" s="4"/>
      <c r="F353" s="4"/>
      <c r="G353" s="4"/>
      <c r="H353" s="4"/>
      <c r="I353" s="4"/>
      <c r="J353" s="4"/>
      <c r="K353" s="4"/>
    </row>
    <row r="354" ht="14.25" customHeight="1">
      <c r="E354" s="4"/>
      <c r="F354" s="4"/>
      <c r="G354" s="4"/>
      <c r="H354" s="4"/>
      <c r="I354" s="4"/>
      <c r="J354" s="4"/>
      <c r="K354" s="4"/>
    </row>
    <row r="355" ht="14.25" customHeight="1">
      <c r="E355" s="4"/>
      <c r="F355" s="4"/>
      <c r="G355" s="4"/>
      <c r="H355" s="4"/>
      <c r="I355" s="4"/>
      <c r="J355" s="4"/>
      <c r="K355" s="4"/>
    </row>
    <row r="356" ht="14.25" customHeight="1">
      <c r="E356" s="4"/>
      <c r="F356" s="4"/>
      <c r="G356" s="4"/>
      <c r="H356" s="4"/>
      <c r="I356" s="4"/>
      <c r="J356" s="4"/>
      <c r="K356" s="4"/>
    </row>
    <row r="357" ht="14.25" customHeight="1">
      <c r="E357" s="4"/>
      <c r="F357" s="4"/>
      <c r="G357" s="4"/>
      <c r="H357" s="4"/>
      <c r="I357" s="4"/>
      <c r="J357" s="4"/>
      <c r="K357" s="4"/>
    </row>
    <row r="358" ht="14.25" customHeight="1">
      <c r="E358" s="4"/>
      <c r="F358" s="4"/>
      <c r="G358" s="4"/>
      <c r="H358" s="4"/>
      <c r="I358" s="4"/>
      <c r="J358" s="4"/>
      <c r="K358" s="4"/>
    </row>
    <row r="359" ht="14.25" customHeight="1">
      <c r="E359" s="4"/>
      <c r="F359" s="4"/>
      <c r="G359" s="4"/>
      <c r="H359" s="4"/>
      <c r="I359" s="4"/>
      <c r="J359" s="4"/>
      <c r="K359" s="4"/>
    </row>
    <row r="360" ht="14.25" customHeight="1">
      <c r="E360" s="4"/>
      <c r="F360" s="4"/>
      <c r="G360" s="4"/>
      <c r="H360" s="4"/>
      <c r="I360" s="4"/>
      <c r="J360" s="4"/>
      <c r="K360" s="4"/>
    </row>
    <row r="361" ht="14.25" customHeight="1">
      <c r="E361" s="4"/>
      <c r="F361" s="4"/>
      <c r="G361" s="4"/>
      <c r="H361" s="4"/>
      <c r="I361" s="4"/>
      <c r="J361" s="4"/>
      <c r="K361" s="4"/>
    </row>
    <row r="362" ht="14.25" customHeight="1">
      <c r="E362" s="4"/>
      <c r="F362" s="4"/>
      <c r="G362" s="4"/>
      <c r="H362" s="4"/>
      <c r="I362" s="4"/>
      <c r="J362" s="4"/>
      <c r="K362" s="4"/>
    </row>
    <row r="363" ht="14.25" customHeight="1">
      <c r="E363" s="4"/>
      <c r="F363" s="4"/>
      <c r="G363" s="4"/>
      <c r="H363" s="4"/>
      <c r="I363" s="4"/>
      <c r="J363" s="4"/>
      <c r="K363" s="4"/>
    </row>
    <row r="364" ht="14.25" customHeight="1">
      <c r="E364" s="4"/>
      <c r="F364" s="4"/>
      <c r="G364" s="4"/>
      <c r="H364" s="4"/>
      <c r="I364" s="4"/>
      <c r="J364" s="4"/>
      <c r="K364" s="4"/>
    </row>
    <row r="365" ht="14.25" customHeight="1">
      <c r="E365" s="4"/>
      <c r="F365" s="4"/>
      <c r="G365" s="4"/>
      <c r="H365" s="4"/>
      <c r="I365" s="4"/>
      <c r="J365" s="4"/>
      <c r="K365" s="4"/>
    </row>
    <row r="366" ht="14.25" customHeight="1">
      <c r="E366" s="4"/>
      <c r="F366" s="4"/>
      <c r="G366" s="4"/>
      <c r="H366" s="4"/>
      <c r="I366" s="4"/>
      <c r="J366" s="4"/>
      <c r="K366" s="4"/>
    </row>
    <row r="367" ht="14.25" customHeight="1">
      <c r="E367" s="4"/>
      <c r="F367" s="4"/>
      <c r="G367" s="4"/>
      <c r="H367" s="4"/>
      <c r="I367" s="4"/>
      <c r="J367" s="4"/>
      <c r="K367" s="4"/>
    </row>
    <row r="368" ht="14.25" customHeight="1">
      <c r="E368" s="4"/>
      <c r="F368" s="4"/>
      <c r="G368" s="4"/>
      <c r="H368" s="4"/>
      <c r="I368" s="4"/>
      <c r="J368" s="4"/>
      <c r="K368" s="4"/>
    </row>
    <row r="369" ht="14.25" customHeight="1">
      <c r="E369" s="4"/>
      <c r="F369" s="4"/>
      <c r="G369" s="4"/>
      <c r="H369" s="4"/>
      <c r="I369" s="4"/>
      <c r="J369" s="4"/>
      <c r="K369" s="4"/>
    </row>
    <row r="370" ht="14.25" customHeight="1">
      <c r="E370" s="4"/>
      <c r="F370" s="4"/>
      <c r="G370" s="4"/>
      <c r="H370" s="4"/>
      <c r="I370" s="4"/>
      <c r="J370" s="4"/>
      <c r="K370" s="4"/>
    </row>
    <row r="371" ht="14.25" customHeight="1">
      <c r="E371" s="4"/>
      <c r="F371" s="4"/>
      <c r="G371" s="4"/>
      <c r="H371" s="4"/>
      <c r="I371" s="4"/>
      <c r="J371" s="4"/>
      <c r="K371" s="4"/>
    </row>
    <row r="372" ht="14.25" customHeight="1">
      <c r="E372" s="4"/>
      <c r="F372" s="4"/>
      <c r="G372" s="4"/>
      <c r="H372" s="4"/>
      <c r="I372" s="4"/>
      <c r="J372" s="4"/>
      <c r="K372" s="4"/>
    </row>
    <row r="373" ht="14.25" customHeight="1">
      <c r="E373" s="4"/>
      <c r="F373" s="4"/>
      <c r="G373" s="4"/>
      <c r="H373" s="4"/>
      <c r="I373" s="4"/>
      <c r="J373" s="4"/>
      <c r="K373" s="4"/>
    </row>
    <row r="374" ht="14.25" customHeight="1">
      <c r="E374" s="4"/>
      <c r="F374" s="4"/>
      <c r="G374" s="4"/>
      <c r="H374" s="4"/>
      <c r="I374" s="4"/>
      <c r="J374" s="4"/>
      <c r="K374" s="4"/>
    </row>
    <row r="375" ht="14.25" customHeight="1">
      <c r="E375" s="4"/>
      <c r="F375" s="4"/>
      <c r="G375" s="4"/>
      <c r="H375" s="4"/>
      <c r="I375" s="4"/>
      <c r="J375" s="4"/>
      <c r="K375" s="4"/>
    </row>
    <row r="376" ht="14.25" customHeight="1">
      <c r="E376" s="4"/>
      <c r="F376" s="4"/>
      <c r="G376" s="4"/>
      <c r="H376" s="4"/>
      <c r="I376" s="4"/>
      <c r="J376" s="4"/>
      <c r="K376" s="4"/>
    </row>
    <row r="377" ht="14.25" customHeight="1">
      <c r="E377" s="4"/>
      <c r="F377" s="4"/>
      <c r="G377" s="4"/>
      <c r="H377" s="4"/>
      <c r="I377" s="4"/>
      <c r="J377" s="4"/>
      <c r="K377" s="4"/>
    </row>
    <row r="378" ht="14.25" customHeight="1">
      <c r="E378" s="4"/>
      <c r="F378" s="4"/>
      <c r="G378" s="4"/>
      <c r="H378" s="4"/>
      <c r="I378" s="4"/>
      <c r="J378" s="4"/>
      <c r="K378" s="4"/>
    </row>
    <row r="379" ht="14.25" customHeight="1">
      <c r="E379" s="4"/>
      <c r="F379" s="4"/>
      <c r="G379" s="4"/>
      <c r="H379" s="4"/>
      <c r="I379" s="4"/>
      <c r="J379" s="4"/>
      <c r="K379" s="4"/>
    </row>
    <row r="380" ht="14.25" customHeight="1">
      <c r="E380" s="4"/>
      <c r="F380" s="4"/>
      <c r="G380" s="4"/>
      <c r="H380" s="4"/>
      <c r="I380" s="4"/>
      <c r="J380" s="4"/>
      <c r="K380" s="4"/>
    </row>
    <row r="381" ht="14.25" customHeight="1">
      <c r="E381" s="4"/>
      <c r="F381" s="4"/>
      <c r="G381" s="4"/>
      <c r="H381" s="4"/>
      <c r="I381" s="4"/>
      <c r="J381" s="4"/>
      <c r="K381" s="4"/>
    </row>
    <row r="382" ht="14.25" customHeight="1">
      <c r="E382" s="4"/>
      <c r="F382" s="4"/>
      <c r="G382" s="4"/>
      <c r="H382" s="4"/>
      <c r="I382" s="4"/>
      <c r="J382" s="4"/>
      <c r="K382" s="4"/>
    </row>
    <row r="383" ht="14.25" customHeight="1">
      <c r="E383" s="4"/>
      <c r="F383" s="4"/>
      <c r="G383" s="4"/>
      <c r="H383" s="4"/>
      <c r="I383" s="4"/>
      <c r="J383" s="4"/>
      <c r="K383" s="4"/>
    </row>
    <row r="384" ht="14.25" customHeight="1">
      <c r="E384" s="4"/>
      <c r="F384" s="4"/>
      <c r="G384" s="4"/>
      <c r="H384" s="4"/>
      <c r="I384" s="4"/>
      <c r="J384" s="4"/>
      <c r="K384" s="4"/>
    </row>
    <row r="385" ht="14.25" customHeight="1">
      <c r="E385" s="4"/>
      <c r="F385" s="4"/>
      <c r="G385" s="4"/>
      <c r="H385" s="4"/>
      <c r="I385" s="4"/>
      <c r="J385" s="4"/>
      <c r="K385" s="4"/>
    </row>
    <row r="386" ht="14.25" customHeight="1">
      <c r="E386" s="4"/>
      <c r="F386" s="4"/>
      <c r="G386" s="4"/>
      <c r="H386" s="4"/>
      <c r="I386" s="4"/>
      <c r="J386" s="4"/>
      <c r="K386" s="4"/>
    </row>
    <row r="387" ht="14.25" customHeight="1">
      <c r="E387" s="4"/>
      <c r="F387" s="4"/>
      <c r="G387" s="4"/>
      <c r="H387" s="4"/>
      <c r="I387" s="4"/>
      <c r="J387" s="4"/>
      <c r="K387" s="4"/>
    </row>
    <row r="388" ht="14.25" customHeight="1">
      <c r="E388" s="4"/>
      <c r="F388" s="4"/>
      <c r="G388" s="4"/>
      <c r="H388" s="4"/>
      <c r="I388" s="4"/>
      <c r="J388" s="4"/>
      <c r="K388" s="4"/>
    </row>
    <row r="389" ht="14.25" customHeight="1">
      <c r="E389" s="4"/>
      <c r="F389" s="4"/>
      <c r="G389" s="4"/>
      <c r="H389" s="4"/>
      <c r="I389" s="4"/>
      <c r="J389" s="4"/>
      <c r="K389" s="4"/>
    </row>
    <row r="390" ht="14.25" customHeight="1">
      <c r="E390" s="4"/>
      <c r="F390" s="4"/>
      <c r="G390" s="4"/>
      <c r="H390" s="4"/>
      <c r="I390" s="4"/>
      <c r="J390" s="4"/>
      <c r="K390" s="4"/>
    </row>
    <row r="391" ht="14.25" customHeight="1">
      <c r="E391" s="4"/>
      <c r="F391" s="4"/>
      <c r="G391" s="4"/>
      <c r="H391" s="4"/>
      <c r="I391" s="4"/>
      <c r="J391" s="4"/>
      <c r="K391" s="4"/>
    </row>
    <row r="392" ht="14.25" customHeight="1">
      <c r="E392" s="4"/>
      <c r="F392" s="4"/>
      <c r="G392" s="4"/>
      <c r="H392" s="4"/>
      <c r="I392" s="4"/>
      <c r="J392" s="4"/>
      <c r="K392" s="4"/>
    </row>
    <row r="393" ht="14.25" customHeight="1">
      <c r="E393" s="4"/>
      <c r="F393" s="4"/>
      <c r="G393" s="4"/>
      <c r="H393" s="4"/>
      <c r="I393" s="4"/>
      <c r="J393" s="4"/>
      <c r="K393" s="4"/>
    </row>
    <row r="394" ht="14.25" customHeight="1">
      <c r="E394" s="4"/>
      <c r="F394" s="4"/>
      <c r="G394" s="4"/>
      <c r="H394" s="4"/>
      <c r="I394" s="4"/>
      <c r="J394" s="4"/>
      <c r="K394" s="4"/>
    </row>
    <row r="395" ht="14.25" customHeight="1">
      <c r="E395" s="4"/>
      <c r="F395" s="4"/>
      <c r="G395" s="4"/>
      <c r="H395" s="4"/>
      <c r="I395" s="4"/>
      <c r="J395" s="4"/>
      <c r="K395" s="4"/>
    </row>
    <row r="396" ht="14.25" customHeight="1">
      <c r="E396" s="4"/>
      <c r="F396" s="4"/>
      <c r="G396" s="4"/>
      <c r="H396" s="4"/>
      <c r="I396" s="4"/>
      <c r="J396" s="4"/>
      <c r="K396" s="4"/>
    </row>
    <row r="397" ht="14.25" customHeight="1">
      <c r="E397" s="4"/>
      <c r="F397" s="4"/>
      <c r="G397" s="4"/>
      <c r="H397" s="4"/>
      <c r="I397" s="4"/>
      <c r="J397" s="4"/>
      <c r="K397" s="4"/>
    </row>
    <row r="398" ht="14.25" customHeight="1">
      <c r="E398" s="4"/>
      <c r="F398" s="4"/>
      <c r="G398" s="4"/>
      <c r="H398" s="4"/>
      <c r="I398" s="4"/>
      <c r="J398" s="4"/>
      <c r="K398" s="4"/>
    </row>
    <row r="399" ht="14.25" customHeight="1">
      <c r="E399" s="4"/>
      <c r="F399" s="4"/>
      <c r="G399" s="4"/>
      <c r="H399" s="4"/>
      <c r="I399" s="4"/>
      <c r="J399" s="4"/>
      <c r="K399" s="4"/>
    </row>
    <row r="400" ht="14.25" customHeight="1">
      <c r="E400" s="4"/>
      <c r="F400" s="4"/>
      <c r="G400" s="4"/>
      <c r="H400" s="4"/>
      <c r="I400" s="4"/>
      <c r="J400" s="4"/>
      <c r="K400" s="4"/>
    </row>
    <row r="401" ht="14.25" customHeight="1">
      <c r="E401" s="4"/>
      <c r="F401" s="4"/>
      <c r="G401" s="4"/>
      <c r="H401" s="4"/>
      <c r="I401" s="4"/>
      <c r="J401" s="4"/>
      <c r="K401" s="4"/>
    </row>
    <row r="402" ht="14.25" customHeight="1">
      <c r="E402" s="4"/>
      <c r="F402" s="4"/>
      <c r="G402" s="4"/>
      <c r="H402" s="4"/>
      <c r="I402" s="4"/>
      <c r="J402" s="4"/>
      <c r="K402" s="4"/>
    </row>
    <row r="403" ht="14.25" customHeight="1">
      <c r="E403" s="4"/>
      <c r="F403" s="4"/>
      <c r="G403" s="4"/>
      <c r="H403" s="4"/>
      <c r="I403" s="4"/>
      <c r="J403" s="4"/>
      <c r="K403" s="4"/>
    </row>
    <row r="404" ht="14.25" customHeight="1">
      <c r="E404" s="4"/>
      <c r="F404" s="4"/>
      <c r="G404" s="4"/>
      <c r="H404" s="4"/>
      <c r="I404" s="4"/>
      <c r="J404" s="4"/>
      <c r="K404" s="4"/>
    </row>
    <row r="405" ht="14.25" customHeight="1">
      <c r="E405" s="4"/>
      <c r="F405" s="4"/>
      <c r="G405" s="4"/>
      <c r="H405" s="4"/>
      <c r="I405" s="4"/>
      <c r="J405" s="4"/>
      <c r="K405" s="4"/>
    </row>
    <row r="406" ht="14.25" customHeight="1">
      <c r="E406" s="4"/>
      <c r="F406" s="4"/>
      <c r="G406" s="4"/>
      <c r="H406" s="4"/>
      <c r="I406" s="4"/>
      <c r="J406" s="4"/>
      <c r="K406" s="4"/>
    </row>
    <row r="407" ht="14.25" customHeight="1">
      <c r="E407" s="4"/>
      <c r="F407" s="4"/>
      <c r="G407" s="4"/>
      <c r="H407" s="4"/>
      <c r="I407" s="4"/>
      <c r="J407" s="4"/>
      <c r="K407" s="4"/>
    </row>
    <row r="408" ht="14.25" customHeight="1">
      <c r="E408" s="4"/>
      <c r="F408" s="4"/>
      <c r="G408" s="4"/>
      <c r="H408" s="4"/>
      <c r="I408" s="4"/>
      <c r="J408" s="4"/>
      <c r="K408" s="4"/>
    </row>
    <row r="409" ht="14.25" customHeight="1">
      <c r="E409" s="4"/>
      <c r="F409" s="4"/>
      <c r="G409" s="4"/>
      <c r="H409" s="4"/>
      <c r="I409" s="4"/>
      <c r="J409" s="4"/>
      <c r="K409" s="4"/>
    </row>
    <row r="410" ht="14.25" customHeight="1">
      <c r="E410" s="4"/>
      <c r="F410" s="4"/>
      <c r="G410" s="4"/>
      <c r="H410" s="4"/>
      <c r="I410" s="4"/>
      <c r="J410" s="4"/>
      <c r="K410" s="4"/>
    </row>
    <row r="411" ht="14.25" customHeight="1">
      <c r="E411" s="4"/>
      <c r="F411" s="4"/>
      <c r="G411" s="4"/>
      <c r="H411" s="4"/>
      <c r="I411" s="4"/>
      <c r="J411" s="4"/>
      <c r="K411" s="4"/>
    </row>
    <row r="412" ht="14.25" customHeight="1">
      <c r="E412" s="4"/>
      <c r="F412" s="4"/>
      <c r="G412" s="4"/>
      <c r="H412" s="4"/>
      <c r="I412" s="4"/>
      <c r="J412" s="4"/>
      <c r="K412" s="4"/>
    </row>
    <row r="413" ht="14.25" customHeight="1">
      <c r="E413" s="4"/>
      <c r="F413" s="4"/>
      <c r="G413" s="4"/>
      <c r="H413" s="4"/>
      <c r="I413" s="4"/>
      <c r="J413" s="4"/>
      <c r="K413" s="4"/>
    </row>
    <row r="414" ht="14.25" customHeight="1">
      <c r="E414" s="4"/>
      <c r="F414" s="4"/>
      <c r="G414" s="4"/>
      <c r="H414" s="4"/>
      <c r="I414" s="4"/>
      <c r="J414" s="4"/>
      <c r="K414" s="4"/>
    </row>
    <row r="415" ht="14.25" customHeight="1">
      <c r="E415" s="4"/>
      <c r="F415" s="4"/>
      <c r="G415" s="4"/>
      <c r="H415" s="4"/>
      <c r="I415" s="4"/>
      <c r="J415" s="4"/>
      <c r="K415" s="4"/>
    </row>
    <row r="416" ht="14.25" customHeight="1">
      <c r="E416" s="4"/>
      <c r="F416" s="4"/>
      <c r="G416" s="4"/>
      <c r="H416" s="4"/>
      <c r="I416" s="4"/>
      <c r="J416" s="4"/>
      <c r="K416" s="4"/>
    </row>
    <row r="417" ht="14.25" customHeight="1">
      <c r="E417" s="4"/>
      <c r="F417" s="4"/>
      <c r="G417" s="4"/>
      <c r="H417" s="4"/>
      <c r="I417" s="4"/>
      <c r="J417" s="4"/>
      <c r="K417" s="4"/>
    </row>
    <row r="418" ht="14.25" customHeight="1">
      <c r="E418" s="4"/>
      <c r="F418" s="4"/>
      <c r="G418" s="4"/>
      <c r="H418" s="4"/>
      <c r="I418" s="4"/>
      <c r="J418" s="4"/>
      <c r="K418" s="4"/>
    </row>
    <row r="419" ht="14.25" customHeight="1">
      <c r="E419" s="4"/>
      <c r="F419" s="4"/>
      <c r="G419" s="4"/>
      <c r="H419" s="4"/>
      <c r="I419" s="4"/>
      <c r="J419" s="4"/>
      <c r="K419" s="4"/>
    </row>
    <row r="420" ht="14.25" customHeight="1">
      <c r="E420" s="4"/>
      <c r="F420" s="4"/>
      <c r="G420" s="4"/>
      <c r="H420" s="4"/>
      <c r="I420" s="4"/>
      <c r="J420" s="4"/>
      <c r="K420" s="4"/>
    </row>
    <row r="421" ht="14.25" customHeight="1">
      <c r="E421" s="4"/>
      <c r="F421" s="4"/>
      <c r="G421" s="4"/>
      <c r="H421" s="4"/>
      <c r="I421" s="4"/>
      <c r="J421" s="4"/>
      <c r="K421" s="4"/>
    </row>
    <row r="422" ht="14.25" customHeight="1">
      <c r="E422" s="4"/>
      <c r="F422" s="4"/>
      <c r="G422" s="4"/>
      <c r="H422" s="4"/>
      <c r="I422" s="4"/>
      <c r="J422" s="4"/>
      <c r="K422" s="4"/>
    </row>
    <row r="423" ht="14.25" customHeight="1">
      <c r="E423" s="4"/>
      <c r="F423" s="4"/>
      <c r="G423" s="4"/>
      <c r="H423" s="4"/>
      <c r="I423" s="4"/>
      <c r="J423" s="4"/>
      <c r="K423" s="4"/>
    </row>
    <row r="424" ht="14.25" customHeight="1">
      <c r="E424" s="4"/>
      <c r="F424" s="4"/>
      <c r="G424" s="4"/>
      <c r="H424" s="4"/>
      <c r="I424" s="4"/>
      <c r="J424" s="4"/>
      <c r="K424" s="4"/>
    </row>
    <row r="425" ht="14.25" customHeight="1">
      <c r="E425" s="4"/>
      <c r="F425" s="4"/>
      <c r="G425" s="4"/>
      <c r="H425" s="4"/>
      <c r="I425" s="4"/>
      <c r="J425" s="4"/>
      <c r="K425" s="4"/>
    </row>
    <row r="426" ht="14.25" customHeight="1">
      <c r="E426" s="4"/>
      <c r="F426" s="4"/>
      <c r="G426" s="4"/>
      <c r="H426" s="4"/>
      <c r="I426" s="4"/>
      <c r="J426" s="4"/>
      <c r="K426" s="4"/>
    </row>
    <row r="427" ht="14.25" customHeight="1">
      <c r="E427" s="4"/>
      <c r="F427" s="4"/>
      <c r="G427" s="4"/>
      <c r="H427" s="4"/>
      <c r="I427" s="4"/>
      <c r="J427" s="4"/>
      <c r="K427" s="4"/>
    </row>
    <row r="428" ht="14.25" customHeight="1">
      <c r="E428" s="4"/>
      <c r="F428" s="4"/>
      <c r="G428" s="4"/>
      <c r="H428" s="4"/>
      <c r="I428" s="4"/>
      <c r="J428" s="4"/>
      <c r="K428" s="4"/>
    </row>
    <row r="429" ht="14.25" customHeight="1">
      <c r="E429" s="4"/>
      <c r="F429" s="4"/>
      <c r="G429" s="4"/>
      <c r="H429" s="4"/>
      <c r="I429" s="4"/>
      <c r="J429" s="4"/>
      <c r="K429" s="4"/>
    </row>
    <row r="430" ht="14.25" customHeight="1">
      <c r="E430" s="4"/>
      <c r="F430" s="4"/>
      <c r="G430" s="4"/>
      <c r="H430" s="4"/>
      <c r="I430" s="4"/>
      <c r="J430" s="4"/>
      <c r="K430" s="4"/>
    </row>
    <row r="431" ht="14.25" customHeight="1">
      <c r="E431" s="4"/>
      <c r="F431" s="4"/>
      <c r="G431" s="4"/>
      <c r="H431" s="4"/>
      <c r="I431" s="4"/>
      <c r="J431" s="4"/>
      <c r="K431" s="4"/>
    </row>
    <row r="432" ht="14.25" customHeight="1">
      <c r="E432" s="4"/>
      <c r="F432" s="4"/>
      <c r="G432" s="4"/>
      <c r="H432" s="4"/>
      <c r="I432" s="4"/>
      <c r="J432" s="4"/>
      <c r="K432" s="4"/>
    </row>
    <row r="433" ht="14.25" customHeight="1">
      <c r="E433" s="4"/>
      <c r="F433" s="4"/>
      <c r="G433" s="4"/>
      <c r="H433" s="4"/>
      <c r="I433" s="4"/>
      <c r="J433" s="4"/>
      <c r="K433" s="4"/>
    </row>
    <row r="434" ht="14.25" customHeight="1">
      <c r="E434" s="4"/>
      <c r="F434" s="4"/>
      <c r="G434" s="4"/>
      <c r="H434" s="4"/>
      <c r="I434" s="4"/>
      <c r="J434" s="4"/>
      <c r="K434" s="4"/>
    </row>
    <row r="435" ht="14.25" customHeight="1">
      <c r="E435" s="4"/>
      <c r="F435" s="4"/>
      <c r="G435" s="4"/>
      <c r="H435" s="4"/>
      <c r="I435" s="4"/>
      <c r="J435" s="4"/>
      <c r="K435" s="4"/>
    </row>
    <row r="436" ht="14.25" customHeight="1">
      <c r="E436" s="4"/>
      <c r="F436" s="4"/>
      <c r="G436" s="4"/>
      <c r="H436" s="4"/>
      <c r="I436" s="4"/>
      <c r="J436" s="4"/>
      <c r="K436" s="4"/>
    </row>
    <row r="437" ht="14.25" customHeight="1">
      <c r="E437" s="4"/>
      <c r="F437" s="4"/>
      <c r="G437" s="4"/>
      <c r="H437" s="4"/>
      <c r="I437" s="4"/>
      <c r="J437" s="4"/>
      <c r="K437" s="4"/>
    </row>
    <row r="438" ht="14.25" customHeight="1">
      <c r="E438" s="4"/>
      <c r="F438" s="4"/>
      <c r="G438" s="4"/>
      <c r="H438" s="4"/>
      <c r="I438" s="4"/>
      <c r="J438" s="4"/>
      <c r="K438" s="4"/>
    </row>
    <row r="439" ht="14.25" customHeight="1">
      <c r="E439" s="4"/>
      <c r="F439" s="4"/>
      <c r="G439" s="4"/>
      <c r="H439" s="4"/>
      <c r="I439" s="4"/>
      <c r="J439" s="4"/>
      <c r="K439" s="4"/>
    </row>
    <row r="440" ht="14.25" customHeight="1">
      <c r="E440" s="4"/>
      <c r="F440" s="4"/>
      <c r="G440" s="4"/>
      <c r="H440" s="4"/>
      <c r="I440" s="4"/>
      <c r="J440" s="4"/>
      <c r="K440" s="4"/>
    </row>
    <row r="441" ht="14.25" customHeight="1">
      <c r="E441" s="4"/>
      <c r="F441" s="4"/>
      <c r="G441" s="4"/>
      <c r="H441" s="4"/>
      <c r="I441" s="4"/>
      <c r="J441" s="4"/>
      <c r="K441" s="4"/>
    </row>
    <row r="442" ht="14.25" customHeight="1">
      <c r="E442" s="4"/>
      <c r="F442" s="4"/>
      <c r="G442" s="4"/>
      <c r="H442" s="4"/>
      <c r="I442" s="4"/>
      <c r="J442" s="4"/>
      <c r="K442" s="4"/>
    </row>
    <row r="443" ht="14.25" customHeight="1">
      <c r="E443" s="4"/>
      <c r="F443" s="4"/>
      <c r="G443" s="4"/>
      <c r="H443" s="4"/>
      <c r="I443" s="4"/>
      <c r="J443" s="4"/>
      <c r="K443" s="4"/>
    </row>
    <row r="444" ht="14.25" customHeight="1">
      <c r="E444" s="4"/>
      <c r="F444" s="4"/>
      <c r="G444" s="4"/>
      <c r="H444" s="4"/>
      <c r="I444" s="4"/>
      <c r="J444" s="4"/>
      <c r="K444" s="4"/>
    </row>
    <row r="445" ht="14.25" customHeight="1">
      <c r="E445" s="4"/>
      <c r="F445" s="4"/>
      <c r="G445" s="4"/>
      <c r="H445" s="4"/>
      <c r="I445" s="4"/>
      <c r="J445" s="4"/>
      <c r="K445" s="4"/>
    </row>
    <row r="446" ht="14.25" customHeight="1">
      <c r="E446" s="4"/>
      <c r="F446" s="4"/>
      <c r="G446" s="4"/>
      <c r="H446" s="4"/>
      <c r="I446" s="4"/>
      <c r="J446" s="4"/>
      <c r="K446" s="4"/>
    </row>
    <row r="447" ht="14.25" customHeight="1">
      <c r="E447" s="4"/>
      <c r="F447" s="4"/>
      <c r="G447" s="4"/>
      <c r="H447" s="4"/>
      <c r="I447" s="4"/>
      <c r="J447" s="4"/>
      <c r="K447" s="4"/>
    </row>
    <row r="448" ht="14.25" customHeight="1">
      <c r="E448" s="4"/>
      <c r="F448" s="4"/>
      <c r="G448" s="4"/>
      <c r="H448" s="4"/>
      <c r="I448" s="4"/>
      <c r="J448" s="4"/>
      <c r="K448" s="4"/>
    </row>
    <row r="449" ht="14.25" customHeight="1">
      <c r="E449" s="4"/>
      <c r="F449" s="4"/>
      <c r="G449" s="4"/>
      <c r="H449" s="4"/>
      <c r="I449" s="4"/>
      <c r="J449" s="4"/>
      <c r="K449" s="4"/>
    </row>
    <row r="450" ht="14.25" customHeight="1">
      <c r="E450" s="4"/>
      <c r="F450" s="4"/>
      <c r="G450" s="4"/>
      <c r="H450" s="4"/>
      <c r="I450" s="4"/>
      <c r="J450" s="4"/>
      <c r="K450" s="4"/>
    </row>
    <row r="451" ht="14.25" customHeight="1">
      <c r="E451" s="4"/>
      <c r="F451" s="4"/>
      <c r="G451" s="4"/>
      <c r="H451" s="4"/>
      <c r="I451" s="4"/>
      <c r="J451" s="4"/>
      <c r="K451" s="4"/>
    </row>
    <row r="452" ht="14.25" customHeight="1">
      <c r="E452" s="4"/>
      <c r="F452" s="4"/>
      <c r="G452" s="4"/>
      <c r="H452" s="4"/>
      <c r="I452" s="4"/>
      <c r="J452" s="4"/>
      <c r="K452" s="4"/>
    </row>
    <row r="453" ht="14.25" customHeight="1">
      <c r="E453" s="4"/>
      <c r="F453" s="4"/>
      <c r="G453" s="4"/>
      <c r="H453" s="4"/>
      <c r="I453" s="4"/>
      <c r="J453" s="4"/>
      <c r="K453" s="4"/>
    </row>
    <row r="454" ht="14.25" customHeight="1">
      <c r="E454" s="4"/>
      <c r="F454" s="4"/>
      <c r="G454" s="4"/>
      <c r="H454" s="4"/>
      <c r="I454" s="4"/>
      <c r="J454" s="4"/>
      <c r="K454" s="4"/>
    </row>
    <row r="455" ht="14.25" customHeight="1">
      <c r="E455" s="4"/>
      <c r="F455" s="4"/>
      <c r="G455" s="4"/>
      <c r="H455" s="4"/>
      <c r="I455" s="4"/>
      <c r="J455" s="4"/>
      <c r="K455" s="4"/>
    </row>
    <row r="456" ht="14.25" customHeight="1">
      <c r="E456" s="4"/>
      <c r="F456" s="4"/>
      <c r="G456" s="4"/>
      <c r="H456" s="4"/>
      <c r="I456" s="4"/>
      <c r="J456" s="4"/>
      <c r="K456" s="4"/>
    </row>
    <row r="457" ht="14.25" customHeight="1">
      <c r="E457" s="4"/>
      <c r="F457" s="4"/>
      <c r="G457" s="4"/>
      <c r="H457" s="4"/>
      <c r="I457" s="4"/>
      <c r="J457" s="4"/>
      <c r="K457" s="4"/>
    </row>
    <row r="458" ht="14.25" customHeight="1">
      <c r="E458" s="4"/>
      <c r="F458" s="4"/>
      <c r="G458" s="4"/>
      <c r="H458" s="4"/>
      <c r="I458" s="4"/>
      <c r="J458" s="4"/>
      <c r="K458" s="4"/>
    </row>
    <row r="459" ht="14.25" customHeight="1">
      <c r="E459" s="4"/>
      <c r="F459" s="4"/>
      <c r="G459" s="4"/>
      <c r="H459" s="4"/>
      <c r="I459" s="4"/>
      <c r="J459" s="4"/>
      <c r="K459" s="4"/>
    </row>
    <row r="460" ht="14.25" customHeight="1">
      <c r="E460" s="4"/>
      <c r="F460" s="4"/>
      <c r="G460" s="4"/>
      <c r="H460" s="4"/>
      <c r="I460" s="4"/>
      <c r="J460" s="4"/>
      <c r="K460" s="4"/>
    </row>
    <row r="461" ht="14.25" customHeight="1">
      <c r="E461" s="4"/>
      <c r="F461" s="4"/>
      <c r="G461" s="4"/>
      <c r="H461" s="4"/>
      <c r="I461" s="4"/>
      <c r="J461" s="4"/>
      <c r="K461" s="4"/>
    </row>
    <row r="462" ht="14.25" customHeight="1">
      <c r="E462" s="4"/>
      <c r="F462" s="4"/>
      <c r="G462" s="4"/>
      <c r="H462" s="4"/>
      <c r="I462" s="4"/>
      <c r="J462" s="4"/>
      <c r="K462" s="4"/>
    </row>
    <row r="463" ht="14.25" customHeight="1">
      <c r="E463" s="4"/>
      <c r="F463" s="4"/>
      <c r="G463" s="4"/>
      <c r="H463" s="4"/>
      <c r="I463" s="4"/>
      <c r="J463" s="4"/>
      <c r="K463" s="4"/>
    </row>
    <row r="464" ht="14.25" customHeight="1">
      <c r="E464" s="4"/>
      <c r="F464" s="4"/>
      <c r="G464" s="4"/>
      <c r="H464" s="4"/>
      <c r="I464" s="4"/>
      <c r="J464" s="4"/>
      <c r="K464" s="4"/>
    </row>
    <row r="465" ht="14.25" customHeight="1">
      <c r="E465" s="4"/>
      <c r="F465" s="4"/>
      <c r="G465" s="4"/>
      <c r="H465" s="4"/>
      <c r="I465" s="4"/>
      <c r="J465" s="4"/>
      <c r="K465" s="4"/>
    </row>
    <row r="466" ht="14.25" customHeight="1">
      <c r="E466" s="4"/>
      <c r="F466" s="4"/>
      <c r="G466" s="4"/>
      <c r="H466" s="4"/>
      <c r="I466" s="4"/>
      <c r="J466" s="4"/>
      <c r="K466" s="4"/>
    </row>
    <row r="467" ht="14.25" customHeight="1">
      <c r="E467" s="4"/>
      <c r="F467" s="4"/>
      <c r="G467" s="4"/>
      <c r="H467" s="4"/>
      <c r="I467" s="4"/>
      <c r="J467" s="4"/>
      <c r="K467" s="4"/>
    </row>
    <row r="468" ht="14.25" customHeight="1">
      <c r="E468" s="4"/>
      <c r="F468" s="4"/>
      <c r="G468" s="4"/>
      <c r="H468" s="4"/>
      <c r="I468" s="4"/>
      <c r="J468" s="4"/>
      <c r="K468" s="4"/>
    </row>
    <row r="469" ht="14.25" customHeight="1">
      <c r="E469" s="4"/>
      <c r="F469" s="4"/>
      <c r="G469" s="4"/>
      <c r="H469" s="4"/>
      <c r="I469" s="4"/>
      <c r="J469" s="4"/>
      <c r="K469" s="4"/>
    </row>
    <row r="470" ht="14.25" customHeight="1">
      <c r="E470" s="4"/>
      <c r="F470" s="4"/>
      <c r="G470" s="4"/>
      <c r="H470" s="4"/>
      <c r="I470" s="4"/>
      <c r="J470" s="4"/>
      <c r="K470" s="4"/>
    </row>
    <row r="471" ht="14.25" customHeight="1">
      <c r="E471" s="4"/>
      <c r="F471" s="4"/>
      <c r="G471" s="4"/>
      <c r="H471" s="4"/>
      <c r="I471" s="4"/>
      <c r="J471" s="4"/>
      <c r="K471" s="4"/>
    </row>
    <row r="472" ht="14.25" customHeight="1">
      <c r="E472" s="4"/>
      <c r="F472" s="4"/>
      <c r="G472" s="4"/>
      <c r="H472" s="4"/>
      <c r="I472" s="4"/>
      <c r="J472" s="4"/>
      <c r="K472" s="4"/>
    </row>
    <row r="473" ht="14.25" customHeight="1">
      <c r="E473" s="4"/>
      <c r="F473" s="4"/>
      <c r="G473" s="4"/>
      <c r="H473" s="4"/>
      <c r="I473" s="4"/>
      <c r="J473" s="4"/>
      <c r="K473" s="4"/>
    </row>
    <row r="474" ht="14.25" customHeight="1">
      <c r="E474" s="4"/>
      <c r="F474" s="4"/>
      <c r="G474" s="4"/>
      <c r="H474" s="4"/>
      <c r="I474" s="4"/>
      <c r="J474" s="4"/>
      <c r="K474" s="4"/>
    </row>
    <row r="475" ht="14.25" customHeight="1">
      <c r="E475" s="4"/>
      <c r="F475" s="4"/>
      <c r="G475" s="4"/>
      <c r="H475" s="4"/>
      <c r="I475" s="4"/>
      <c r="J475" s="4"/>
      <c r="K475" s="4"/>
    </row>
    <row r="476" ht="14.25" customHeight="1">
      <c r="E476" s="4"/>
      <c r="F476" s="4"/>
      <c r="G476" s="4"/>
      <c r="H476" s="4"/>
      <c r="I476" s="4"/>
      <c r="J476" s="4"/>
      <c r="K476" s="4"/>
    </row>
    <row r="477" ht="14.25" customHeight="1">
      <c r="E477" s="4"/>
      <c r="F477" s="4"/>
      <c r="G477" s="4"/>
      <c r="H477" s="4"/>
      <c r="I477" s="4"/>
      <c r="J477" s="4"/>
      <c r="K477" s="4"/>
    </row>
    <row r="478" ht="14.25" customHeight="1">
      <c r="E478" s="4"/>
      <c r="F478" s="4"/>
      <c r="G478" s="4"/>
      <c r="H478" s="4"/>
      <c r="I478" s="4"/>
      <c r="J478" s="4"/>
      <c r="K478" s="4"/>
    </row>
    <row r="479" ht="14.25" customHeight="1">
      <c r="E479" s="4"/>
      <c r="F479" s="4"/>
      <c r="G479" s="4"/>
      <c r="H479" s="4"/>
      <c r="I479" s="4"/>
      <c r="J479" s="4"/>
      <c r="K479" s="4"/>
    </row>
    <row r="480" ht="14.25" customHeight="1">
      <c r="E480" s="4"/>
      <c r="F480" s="4"/>
      <c r="G480" s="4"/>
      <c r="H480" s="4"/>
      <c r="I480" s="4"/>
      <c r="J480" s="4"/>
      <c r="K480" s="4"/>
    </row>
    <row r="481" ht="14.25" customHeight="1">
      <c r="E481" s="4"/>
      <c r="F481" s="4"/>
      <c r="G481" s="4"/>
      <c r="H481" s="4"/>
      <c r="I481" s="4"/>
      <c r="J481" s="4"/>
      <c r="K481" s="4"/>
    </row>
    <row r="482" ht="14.25" customHeight="1">
      <c r="E482" s="4"/>
      <c r="F482" s="4"/>
      <c r="G482" s="4"/>
      <c r="H482" s="4"/>
      <c r="I482" s="4"/>
      <c r="J482" s="4"/>
      <c r="K482" s="4"/>
    </row>
    <row r="483" ht="14.25" customHeight="1">
      <c r="E483" s="4"/>
      <c r="F483" s="4"/>
      <c r="G483" s="4"/>
      <c r="H483" s="4"/>
      <c r="I483" s="4"/>
      <c r="J483" s="4"/>
      <c r="K483" s="4"/>
    </row>
    <row r="484" ht="14.25" customHeight="1">
      <c r="E484" s="4"/>
      <c r="F484" s="4"/>
      <c r="G484" s="4"/>
      <c r="H484" s="4"/>
      <c r="I484" s="4"/>
      <c r="J484" s="4"/>
      <c r="K484" s="4"/>
    </row>
    <row r="485" ht="14.25" customHeight="1">
      <c r="E485" s="4"/>
      <c r="F485" s="4"/>
      <c r="G485" s="4"/>
      <c r="H485" s="4"/>
      <c r="I485" s="4"/>
      <c r="J485" s="4"/>
      <c r="K485" s="4"/>
    </row>
    <row r="486" ht="14.25" customHeight="1">
      <c r="E486" s="4"/>
      <c r="F486" s="4"/>
      <c r="G486" s="4"/>
      <c r="H486" s="4"/>
      <c r="I486" s="4"/>
      <c r="J486" s="4"/>
      <c r="K486" s="4"/>
    </row>
    <row r="487" ht="14.25" customHeight="1">
      <c r="E487" s="4"/>
      <c r="F487" s="4"/>
      <c r="G487" s="4"/>
      <c r="H487" s="4"/>
      <c r="I487" s="4"/>
      <c r="J487" s="4"/>
      <c r="K487" s="4"/>
    </row>
    <row r="488" ht="14.25" customHeight="1">
      <c r="E488" s="4"/>
      <c r="F488" s="4"/>
      <c r="G488" s="4"/>
      <c r="H488" s="4"/>
      <c r="I488" s="4"/>
      <c r="J488" s="4"/>
      <c r="K488" s="4"/>
    </row>
    <row r="489" ht="14.25" customHeight="1">
      <c r="E489" s="4"/>
      <c r="F489" s="4"/>
      <c r="G489" s="4"/>
      <c r="H489" s="4"/>
      <c r="I489" s="4"/>
      <c r="J489" s="4"/>
      <c r="K489" s="4"/>
    </row>
    <row r="490" ht="14.25" customHeight="1">
      <c r="E490" s="4"/>
      <c r="F490" s="4"/>
      <c r="G490" s="4"/>
      <c r="H490" s="4"/>
      <c r="I490" s="4"/>
      <c r="J490" s="4"/>
      <c r="K490" s="4"/>
    </row>
    <row r="491" ht="14.25" customHeight="1">
      <c r="E491" s="4"/>
      <c r="F491" s="4"/>
      <c r="G491" s="4"/>
      <c r="H491" s="4"/>
      <c r="I491" s="4"/>
      <c r="J491" s="4"/>
      <c r="K491" s="4"/>
    </row>
    <row r="492" ht="14.25" customHeight="1">
      <c r="E492" s="4"/>
      <c r="F492" s="4"/>
      <c r="G492" s="4"/>
      <c r="H492" s="4"/>
      <c r="I492" s="4"/>
      <c r="J492" s="4"/>
      <c r="K492" s="4"/>
    </row>
    <row r="493" ht="14.25" customHeight="1">
      <c r="E493" s="4"/>
      <c r="F493" s="4"/>
      <c r="G493" s="4"/>
      <c r="H493" s="4"/>
      <c r="I493" s="4"/>
      <c r="J493" s="4"/>
      <c r="K493" s="4"/>
    </row>
    <row r="494" ht="14.25" customHeight="1">
      <c r="E494" s="4"/>
      <c r="F494" s="4"/>
      <c r="G494" s="4"/>
      <c r="H494" s="4"/>
      <c r="I494" s="4"/>
      <c r="J494" s="4"/>
      <c r="K494" s="4"/>
    </row>
    <row r="495" ht="14.25" customHeight="1">
      <c r="E495" s="4"/>
      <c r="F495" s="4"/>
      <c r="G495" s="4"/>
      <c r="H495" s="4"/>
      <c r="I495" s="4"/>
      <c r="J495" s="4"/>
      <c r="K495" s="4"/>
    </row>
    <row r="496" ht="14.25" customHeight="1">
      <c r="E496" s="4"/>
      <c r="F496" s="4"/>
      <c r="G496" s="4"/>
      <c r="H496" s="4"/>
      <c r="I496" s="4"/>
      <c r="J496" s="4"/>
      <c r="K496" s="4"/>
    </row>
    <row r="497" ht="14.25" customHeight="1">
      <c r="E497" s="4"/>
      <c r="F497" s="4"/>
      <c r="G497" s="4"/>
      <c r="H497" s="4"/>
      <c r="I497" s="4"/>
      <c r="J497" s="4"/>
      <c r="K497" s="4"/>
    </row>
    <row r="498" ht="14.25" customHeight="1">
      <c r="E498" s="4"/>
      <c r="F498" s="4"/>
      <c r="G498" s="4"/>
      <c r="H498" s="4"/>
      <c r="I498" s="4"/>
      <c r="J498" s="4"/>
      <c r="K498" s="4"/>
    </row>
    <row r="499" ht="14.25" customHeight="1">
      <c r="E499" s="4"/>
      <c r="F499" s="4"/>
      <c r="G499" s="4"/>
      <c r="H499" s="4"/>
      <c r="I499" s="4"/>
      <c r="J499" s="4"/>
      <c r="K499" s="4"/>
    </row>
    <row r="500" ht="14.25" customHeight="1">
      <c r="E500" s="4"/>
      <c r="F500" s="4"/>
      <c r="G500" s="4"/>
      <c r="H500" s="4"/>
      <c r="I500" s="4"/>
      <c r="J500" s="4"/>
      <c r="K500" s="4"/>
    </row>
    <row r="501" ht="14.25" customHeight="1">
      <c r="E501" s="4"/>
      <c r="F501" s="4"/>
      <c r="G501" s="4"/>
      <c r="H501" s="4"/>
      <c r="I501" s="4"/>
      <c r="J501" s="4"/>
      <c r="K501" s="4"/>
    </row>
    <row r="502" ht="14.25" customHeight="1">
      <c r="E502" s="4"/>
      <c r="F502" s="4"/>
      <c r="G502" s="4"/>
      <c r="H502" s="4"/>
      <c r="I502" s="4"/>
      <c r="J502" s="4"/>
      <c r="K502" s="4"/>
    </row>
    <row r="503" ht="14.25" customHeight="1">
      <c r="E503" s="4"/>
      <c r="F503" s="4"/>
      <c r="G503" s="4"/>
      <c r="H503" s="4"/>
      <c r="I503" s="4"/>
      <c r="J503" s="4"/>
      <c r="K503" s="4"/>
    </row>
    <row r="504" ht="14.25" customHeight="1">
      <c r="E504" s="4"/>
      <c r="F504" s="4"/>
      <c r="G504" s="4"/>
      <c r="H504" s="4"/>
      <c r="I504" s="4"/>
      <c r="J504" s="4"/>
      <c r="K504" s="4"/>
    </row>
    <row r="505" ht="14.25" customHeight="1">
      <c r="E505" s="4"/>
      <c r="F505" s="4"/>
      <c r="G505" s="4"/>
      <c r="H505" s="4"/>
      <c r="I505" s="4"/>
      <c r="J505" s="4"/>
      <c r="K505" s="4"/>
    </row>
    <row r="506" ht="14.25" customHeight="1">
      <c r="E506" s="4"/>
      <c r="F506" s="4"/>
      <c r="G506" s="4"/>
      <c r="H506" s="4"/>
      <c r="I506" s="4"/>
      <c r="J506" s="4"/>
      <c r="K506" s="4"/>
    </row>
    <row r="507" ht="14.25" customHeight="1">
      <c r="E507" s="4"/>
      <c r="F507" s="4"/>
      <c r="G507" s="4"/>
      <c r="H507" s="4"/>
      <c r="I507" s="4"/>
      <c r="J507" s="4"/>
      <c r="K507" s="4"/>
    </row>
    <row r="508" ht="14.25" customHeight="1">
      <c r="E508" s="4"/>
      <c r="F508" s="4"/>
      <c r="G508" s="4"/>
      <c r="H508" s="4"/>
      <c r="I508" s="4"/>
      <c r="J508" s="4"/>
      <c r="K508" s="4"/>
    </row>
    <row r="509" ht="14.25" customHeight="1">
      <c r="E509" s="4"/>
      <c r="F509" s="4"/>
      <c r="G509" s="4"/>
      <c r="H509" s="4"/>
      <c r="I509" s="4"/>
      <c r="J509" s="4"/>
      <c r="K509" s="4"/>
    </row>
    <row r="510" ht="14.25" customHeight="1">
      <c r="E510" s="4"/>
      <c r="F510" s="4"/>
      <c r="G510" s="4"/>
      <c r="H510" s="4"/>
      <c r="I510" s="4"/>
      <c r="J510" s="4"/>
      <c r="K510" s="4"/>
    </row>
    <row r="511" ht="14.25" customHeight="1">
      <c r="E511" s="4"/>
      <c r="F511" s="4"/>
      <c r="G511" s="4"/>
      <c r="H511" s="4"/>
      <c r="I511" s="4"/>
      <c r="J511" s="4"/>
      <c r="K511" s="4"/>
    </row>
    <row r="512" ht="14.25" customHeight="1">
      <c r="E512" s="4"/>
      <c r="F512" s="4"/>
      <c r="G512" s="4"/>
      <c r="H512" s="4"/>
      <c r="I512" s="4"/>
      <c r="J512" s="4"/>
      <c r="K512" s="4"/>
    </row>
    <row r="513" ht="14.25" customHeight="1">
      <c r="E513" s="4"/>
      <c r="F513" s="4"/>
      <c r="G513" s="4"/>
      <c r="H513" s="4"/>
      <c r="I513" s="4"/>
      <c r="J513" s="4"/>
      <c r="K513" s="4"/>
    </row>
    <row r="514" ht="14.25" customHeight="1">
      <c r="E514" s="4"/>
      <c r="F514" s="4"/>
      <c r="G514" s="4"/>
      <c r="H514" s="4"/>
      <c r="I514" s="4"/>
      <c r="J514" s="4"/>
      <c r="K514" s="4"/>
    </row>
    <row r="515" ht="14.25" customHeight="1">
      <c r="E515" s="4"/>
      <c r="F515" s="4"/>
      <c r="G515" s="4"/>
      <c r="H515" s="4"/>
      <c r="I515" s="4"/>
      <c r="J515" s="4"/>
      <c r="K515" s="4"/>
    </row>
    <row r="516" ht="14.25" customHeight="1">
      <c r="E516" s="4"/>
      <c r="F516" s="4"/>
      <c r="G516" s="4"/>
      <c r="H516" s="4"/>
      <c r="I516" s="4"/>
      <c r="J516" s="4"/>
      <c r="K516" s="4"/>
    </row>
    <row r="517" ht="14.25" customHeight="1">
      <c r="E517" s="4"/>
      <c r="F517" s="4"/>
      <c r="G517" s="4"/>
      <c r="H517" s="4"/>
      <c r="I517" s="4"/>
      <c r="J517" s="4"/>
      <c r="K517" s="4"/>
    </row>
    <row r="518" ht="14.25" customHeight="1">
      <c r="E518" s="4"/>
      <c r="F518" s="4"/>
      <c r="G518" s="4"/>
      <c r="H518" s="4"/>
      <c r="I518" s="4"/>
      <c r="J518" s="4"/>
      <c r="K518" s="4"/>
    </row>
    <row r="519" ht="14.25" customHeight="1">
      <c r="E519" s="4"/>
      <c r="F519" s="4"/>
      <c r="G519" s="4"/>
      <c r="H519" s="4"/>
      <c r="I519" s="4"/>
      <c r="J519" s="4"/>
      <c r="K519" s="4"/>
    </row>
    <row r="520" ht="14.25" customHeight="1">
      <c r="E520" s="4"/>
      <c r="F520" s="4"/>
      <c r="G520" s="4"/>
      <c r="H520" s="4"/>
      <c r="I520" s="4"/>
      <c r="J520" s="4"/>
      <c r="K520" s="4"/>
    </row>
    <row r="521" ht="14.25" customHeight="1">
      <c r="E521" s="4"/>
      <c r="F521" s="4"/>
      <c r="G521" s="4"/>
      <c r="H521" s="4"/>
      <c r="I521" s="4"/>
      <c r="J521" s="4"/>
      <c r="K521" s="4"/>
    </row>
    <row r="522" ht="14.25" customHeight="1">
      <c r="E522" s="4"/>
      <c r="F522" s="4"/>
      <c r="G522" s="4"/>
      <c r="H522" s="4"/>
      <c r="I522" s="4"/>
      <c r="J522" s="4"/>
      <c r="K522" s="4"/>
    </row>
    <row r="523" ht="14.25" customHeight="1">
      <c r="E523" s="4"/>
      <c r="F523" s="4"/>
      <c r="G523" s="4"/>
      <c r="H523" s="4"/>
      <c r="I523" s="4"/>
      <c r="J523" s="4"/>
      <c r="K523" s="4"/>
    </row>
    <row r="524" ht="14.25" customHeight="1">
      <c r="E524" s="4"/>
      <c r="F524" s="4"/>
      <c r="G524" s="4"/>
      <c r="H524" s="4"/>
      <c r="I524" s="4"/>
      <c r="J524" s="4"/>
      <c r="K524" s="4"/>
    </row>
    <row r="525" ht="14.25" customHeight="1">
      <c r="E525" s="4"/>
      <c r="F525" s="4"/>
      <c r="G525" s="4"/>
      <c r="H525" s="4"/>
      <c r="I525" s="4"/>
      <c r="J525" s="4"/>
      <c r="K525" s="4"/>
    </row>
    <row r="526" ht="14.25" customHeight="1">
      <c r="E526" s="4"/>
      <c r="F526" s="4"/>
      <c r="G526" s="4"/>
      <c r="H526" s="4"/>
      <c r="I526" s="4"/>
      <c r="J526" s="4"/>
      <c r="K526" s="4"/>
    </row>
    <row r="527" ht="14.25" customHeight="1">
      <c r="E527" s="4"/>
      <c r="F527" s="4"/>
      <c r="G527" s="4"/>
      <c r="H527" s="4"/>
      <c r="I527" s="4"/>
      <c r="J527" s="4"/>
      <c r="K527" s="4"/>
    </row>
    <row r="528" ht="14.25" customHeight="1">
      <c r="E528" s="4"/>
      <c r="F528" s="4"/>
      <c r="G528" s="4"/>
      <c r="H528" s="4"/>
      <c r="I528" s="4"/>
      <c r="J528" s="4"/>
      <c r="K528" s="4"/>
    </row>
    <row r="529" ht="14.25" customHeight="1">
      <c r="E529" s="4"/>
      <c r="F529" s="4"/>
      <c r="G529" s="4"/>
      <c r="H529" s="4"/>
      <c r="I529" s="4"/>
      <c r="J529" s="4"/>
      <c r="K529" s="4"/>
    </row>
    <row r="530" ht="14.25" customHeight="1">
      <c r="E530" s="4"/>
      <c r="F530" s="4"/>
      <c r="G530" s="4"/>
      <c r="H530" s="4"/>
      <c r="I530" s="4"/>
      <c r="J530" s="4"/>
      <c r="K530" s="4"/>
    </row>
    <row r="531" ht="14.25" customHeight="1">
      <c r="E531" s="4"/>
      <c r="F531" s="4"/>
      <c r="G531" s="4"/>
      <c r="H531" s="4"/>
      <c r="I531" s="4"/>
      <c r="J531" s="4"/>
      <c r="K531" s="4"/>
    </row>
    <row r="532" ht="14.25" customHeight="1">
      <c r="E532" s="4"/>
      <c r="F532" s="4"/>
      <c r="G532" s="4"/>
      <c r="H532" s="4"/>
      <c r="I532" s="4"/>
      <c r="J532" s="4"/>
      <c r="K532" s="4"/>
    </row>
    <row r="533" ht="14.25" customHeight="1">
      <c r="E533" s="4"/>
      <c r="F533" s="4"/>
      <c r="G533" s="4"/>
      <c r="H533" s="4"/>
      <c r="I533" s="4"/>
      <c r="J533" s="4"/>
      <c r="K533" s="4"/>
    </row>
    <row r="534" ht="14.25" customHeight="1">
      <c r="E534" s="4"/>
      <c r="F534" s="4"/>
      <c r="G534" s="4"/>
      <c r="H534" s="4"/>
      <c r="I534" s="4"/>
      <c r="J534" s="4"/>
      <c r="K534" s="4"/>
    </row>
    <row r="535" ht="14.25" customHeight="1">
      <c r="E535" s="4"/>
      <c r="F535" s="4"/>
      <c r="G535" s="4"/>
      <c r="H535" s="4"/>
      <c r="I535" s="4"/>
      <c r="J535" s="4"/>
      <c r="K535" s="4"/>
    </row>
    <row r="536" ht="14.25" customHeight="1">
      <c r="E536" s="4"/>
      <c r="F536" s="4"/>
      <c r="G536" s="4"/>
      <c r="H536" s="4"/>
      <c r="I536" s="4"/>
      <c r="J536" s="4"/>
      <c r="K536" s="4"/>
    </row>
    <row r="537" ht="14.25" customHeight="1">
      <c r="E537" s="4"/>
      <c r="F537" s="4"/>
      <c r="G537" s="4"/>
      <c r="H537" s="4"/>
      <c r="I537" s="4"/>
      <c r="J537" s="4"/>
      <c r="K537" s="4"/>
    </row>
    <row r="538" ht="14.25" customHeight="1">
      <c r="E538" s="4"/>
      <c r="F538" s="4"/>
      <c r="G538" s="4"/>
      <c r="H538" s="4"/>
      <c r="I538" s="4"/>
      <c r="J538" s="4"/>
      <c r="K538" s="4"/>
    </row>
    <row r="539" ht="14.25" customHeight="1">
      <c r="E539" s="4"/>
      <c r="F539" s="4"/>
      <c r="G539" s="4"/>
      <c r="H539" s="4"/>
      <c r="I539" s="4"/>
      <c r="J539" s="4"/>
      <c r="K539" s="4"/>
    </row>
    <row r="540" ht="14.25" customHeight="1">
      <c r="E540" s="4"/>
      <c r="F540" s="4"/>
      <c r="G540" s="4"/>
      <c r="H540" s="4"/>
      <c r="I540" s="4"/>
      <c r="J540" s="4"/>
      <c r="K540" s="4"/>
    </row>
    <row r="541" ht="14.25" customHeight="1">
      <c r="E541" s="4"/>
      <c r="F541" s="4"/>
      <c r="G541" s="4"/>
      <c r="H541" s="4"/>
      <c r="I541" s="4"/>
      <c r="J541" s="4"/>
      <c r="K541" s="4"/>
    </row>
    <row r="542" ht="14.25" customHeight="1">
      <c r="E542" s="4"/>
      <c r="F542" s="4"/>
      <c r="G542" s="4"/>
      <c r="H542" s="4"/>
      <c r="I542" s="4"/>
      <c r="J542" s="4"/>
      <c r="K542" s="4"/>
    </row>
    <row r="543" ht="14.25" customHeight="1">
      <c r="E543" s="4"/>
      <c r="F543" s="4"/>
      <c r="G543" s="4"/>
      <c r="H543" s="4"/>
      <c r="I543" s="4"/>
      <c r="J543" s="4"/>
      <c r="K543" s="4"/>
    </row>
    <row r="544" ht="14.25" customHeight="1">
      <c r="E544" s="4"/>
      <c r="F544" s="4"/>
      <c r="G544" s="4"/>
      <c r="H544" s="4"/>
      <c r="I544" s="4"/>
      <c r="J544" s="4"/>
      <c r="K544" s="4"/>
    </row>
    <row r="545" ht="14.25" customHeight="1">
      <c r="E545" s="4"/>
      <c r="F545" s="4"/>
      <c r="G545" s="4"/>
      <c r="H545" s="4"/>
      <c r="I545" s="4"/>
      <c r="J545" s="4"/>
      <c r="K545" s="4"/>
    </row>
    <row r="546" ht="14.25" customHeight="1">
      <c r="E546" s="4"/>
      <c r="F546" s="4"/>
      <c r="G546" s="4"/>
      <c r="H546" s="4"/>
      <c r="I546" s="4"/>
      <c r="J546" s="4"/>
      <c r="K546" s="4"/>
    </row>
    <row r="547" ht="14.25" customHeight="1">
      <c r="E547" s="4"/>
      <c r="F547" s="4"/>
      <c r="G547" s="4"/>
      <c r="H547" s="4"/>
      <c r="I547" s="4"/>
      <c r="J547" s="4"/>
      <c r="K547" s="4"/>
    </row>
    <row r="548" ht="14.25" customHeight="1">
      <c r="E548" s="4"/>
      <c r="F548" s="4"/>
      <c r="G548" s="4"/>
      <c r="H548" s="4"/>
      <c r="I548" s="4"/>
      <c r="J548" s="4"/>
      <c r="K548" s="4"/>
    </row>
    <row r="549" ht="14.25" customHeight="1">
      <c r="E549" s="4"/>
      <c r="F549" s="4"/>
      <c r="G549" s="4"/>
      <c r="H549" s="4"/>
      <c r="I549" s="4"/>
      <c r="J549" s="4"/>
      <c r="K549" s="4"/>
    </row>
    <row r="550" ht="14.25" customHeight="1">
      <c r="E550" s="4"/>
      <c r="F550" s="4"/>
      <c r="G550" s="4"/>
      <c r="H550" s="4"/>
      <c r="I550" s="4"/>
      <c r="J550" s="4"/>
      <c r="K550" s="4"/>
    </row>
    <row r="551" ht="14.25" customHeight="1">
      <c r="E551" s="4"/>
      <c r="F551" s="4"/>
      <c r="G551" s="4"/>
      <c r="H551" s="4"/>
      <c r="I551" s="4"/>
      <c r="J551" s="4"/>
      <c r="K551" s="4"/>
    </row>
    <row r="552" ht="14.25" customHeight="1">
      <c r="E552" s="4"/>
      <c r="F552" s="4"/>
      <c r="G552" s="4"/>
      <c r="H552" s="4"/>
      <c r="I552" s="4"/>
      <c r="J552" s="4"/>
      <c r="K552" s="4"/>
    </row>
    <row r="553" ht="14.25" customHeight="1">
      <c r="E553" s="4"/>
      <c r="F553" s="4"/>
      <c r="G553" s="4"/>
      <c r="H553" s="4"/>
      <c r="I553" s="4"/>
      <c r="J553" s="4"/>
      <c r="K553" s="4"/>
    </row>
    <row r="554" ht="14.25" customHeight="1">
      <c r="E554" s="4"/>
      <c r="F554" s="4"/>
      <c r="G554" s="4"/>
      <c r="H554" s="4"/>
      <c r="I554" s="4"/>
      <c r="J554" s="4"/>
      <c r="K554" s="4"/>
    </row>
    <row r="555" ht="14.25" customHeight="1">
      <c r="E555" s="4"/>
      <c r="F555" s="4"/>
      <c r="G555" s="4"/>
      <c r="H555" s="4"/>
      <c r="I555" s="4"/>
      <c r="J555" s="4"/>
      <c r="K555" s="4"/>
    </row>
    <row r="556" ht="14.25" customHeight="1">
      <c r="E556" s="4"/>
      <c r="F556" s="4"/>
      <c r="G556" s="4"/>
      <c r="H556" s="4"/>
      <c r="I556" s="4"/>
      <c r="J556" s="4"/>
      <c r="K556" s="4"/>
    </row>
    <row r="557" ht="14.25" customHeight="1">
      <c r="E557" s="4"/>
      <c r="F557" s="4"/>
      <c r="G557" s="4"/>
      <c r="H557" s="4"/>
      <c r="I557" s="4"/>
      <c r="J557" s="4"/>
      <c r="K557" s="4"/>
    </row>
    <row r="558" ht="14.25" customHeight="1">
      <c r="E558" s="4"/>
      <c r="F558" s="4"/>
      <c r="G558" s="4"/>
      <c r="H558" s="4"/>
      <c r="I558" s="4"/>
      <c r="J558" s="4"/>
      <c r="K558" s="4"/>
    </row>
    <row r="559" ht="14.25" customHeight="1">
      <c r="E559" s="4"/>
      <c r="F559" s="4"/>
      <c r="G559" s="4"/>
      <c r="H559" s="4"/>
      <c r="I559" s="4"/>
      <c r="J559" s="4"/>
      <c r="K559" s="4"/>
    </row>
    <row r="560" ht="14.25" customHeight="1">
      <c r="E560" s="4"/>
      <c r="F560" s="4"/>
      <c r="G560" s="4"/>
      <c r="H560" s="4"/>
      <c r="I560" s="4"/>
      <c r="J560" s="4"/>
      <c r="K560" s="4"/>
    </row>
    <row r="561" ht="14.25" customHeight="1">
      <c r="E561" s="4"/>
      <c r="F561" s="4"/>
      <c r="G561" s="4"/>
      <c r="H561" s="4"/>
      <c r="I561" s="4"/>
      <c r="J561" s="4"/>
      <c r="K561" s="4"/>
    </row>
    <row r="562" ht="14.25" customHeight="1">
      <c r="E562" s="4"/>
      <c r="F562" s="4"/>
      <c r="G562" s="4"/>
      <c r="H562" s="4"/>
      <c r="I562" s="4"/>
      <c r="J562" s="4"/>
      <c r="K562" s="4"/>
    </row>
    <row r="563" ht="14.25" customHeight="1">
      <c r="E563" s="4"/>
      <c r="F563" s="4"/>
      <c r="G563" s="4"/>
      <c r="H563" s="4"/>
      <c r="I563" s="4"/>
      <c r="J563" s="4"/>
      <c r="K563" s="4"/>
    </row>
    <row r="564" ht="14.25" customHeight="1">
      <c r="E564" s="4"/>
      <c r="F564" s="4"/>
      <c r="G564" s="4"/>
      <c r="H564" s="4"/>
      <c r="I564" s="4"/>
      <c r="J564" s="4"/>
      <c r="K564" s="4"/>
    </row>
    <row r="565" ht="14.25" customHeight="1">
      <c r="E565" s="4"/>
      <c r="F565" s="4"/>
      <c r="G565" s="4"/>
      <c r="H565" s="4"/>
      <c r="I565" s="4"/>
      <c r="J565" s="4"/>
      <c r="K565" s="4"/>
    </row>
    <row r="566" ht="14.25" customHeight="1">
      <c r="E566" s="4"/>
      <c r="F566" s="4"/>
      <c r="G566" s="4"/>
      <c r="H566" s="4"/>
      <c r="I566" s="4"/>
      <c r="J566" s="4"/>
      <c r="K566" s="4"/>
    </row>
    <row r="567" ht="14.25" customHeight="1">
      <c r="E567" s="4"/>
      <c r="F567" s="4"/>
      <c r="G567" s="4"/>
      <c r="H567" s="4"/>
      <c r="I567" s="4"/>
      <c r="J567" s="4"/>
      <c r="K567" s="4"/>
    </row>
    <row r="568" ht="14.25" customHeight="1">
      <c r="E568" s="4"/>
      <c r="F568" s="4"/>
      <c r="G568" s="4"/>
      <c r="H568" s="4"/>
      <c r="I568" s="4"/>
      <c r="J568" s="4"/>
      <c r="K568" s="4"/>
    </row>
    <row r="569" ht="14.25" customHeight="1">
      <c r="E569" s="4"/>
      <c r="F569" s="4"/>
      <c r="G569" s="4"/>
      <c r="H569" s="4"/>
      <c r="I569" s="4"/>
      <c r="J569" s="4"/>
      <c r="K569" s="4"/>
    </row>
    <row r="570" ht="14.25" customHeight="1">
      <c r="E570" s="4"/>
      <c r="F570" s="4"/>
      <c r="G570" s="4"/>
      <c r="H570" s="4"/>
      <c r="I570" s="4"/>
      <c r="J570" s="4"/>
      <c r="K570" s="4"/>
    </row>
    <row r="571" ht="14.25" customHeight="1">
      <c r="E571" s="4"/>
      <c r="F571" s="4"/>
      <c r="G571" s="4"/>
      <c r="H571" s="4"/>
      <c r="I571" s="4"/>
      <c r="J571" s="4"/>
      <c r="K571" s="4"/>
    </row>
    <row r="572" ht="14.25" customHeight="1">
      <c r="E572" s="4"/>
      <c r="F572" s="4"/>
      <c r="G572" s="4"/>
      <c r="H572" s="4"/>
      <c r="I572" s="4"/>
      <c r="J572" s="4"/>
      <c r="K572" s="4"/>
    </row>
    <row r="573" ht="14.25" customHeight="1">
      <c r="E573" s="4"/>
      <c r="F573" s="4"/>
      <c r="G573" s="4"/>
      <c r="H573" s="4"/>
      <c r="I573" s="4"/>
      <c r="J573" s="4"/>
      <c r="K573" s="4"/>
    </row>
    <row r="574" ht="14.25" customHeight="1">
      <c r="E574" s="4"/>
      <c r="F574" s="4"/>
      <c r="G574" s="4"/>
      <c r="H574" s="4"/>
      <c r="I574" s="4"/>
      <c r="J574" s="4"/>
      <c r="K574" s="4"/>
    </row>
    <row r="575" ht="14.25" customHeight="1">
      <c r="E575" s="4"/>
      <c r="F575" s="4"/>
      <c r="G575" s="4"/>
      <c r="H575" s="4"/>
      <c r="I575" s="4"/>
      <c r="J575" s="4"/>
      <c r="K575" s="4"/>
    </row>
    <row r="576" ht="14.25" customHeight="1">
      <c r="E576" s="4"/>
      <c r="F576" s="4"/>
      <c r="G576" s="4"/>
      <c r="H576" s="4"/>
      <c r="I576" s="4"/>
      <c r="J576" s="4"/>
      <c r="K576" s="4"/>
    </row>
    <row r="577" ht="14.25" customHeight="1">
      <c r="E577" s="4"/>
      <c r="F577" s="4"/>
      <c r="G577" s="4"/>
      <c r="H577" s="4"/>
      <c r="I577" s="4"/>
      <c r="J577" s="4"/>
      <c r="K577" s="4"/>
    </row>
    <row r="578" ht="14.25" customHeight="1">
      <c r="E578" s="4"/>
      <c r="F578" s="4"/>
      <c r="G578" s="4"/>
      <c r="H578" s="4"/>
      <c r="I578" s="4"/>
      <c r="J578" s="4"/>
      <c r="K578" s="4"/>
    </row>
    <row r="579" ht="14.25" customHeight="1">
      <c r="E579" s="4"/>
      <c r="F579" s="4"/>
      <c r="G579" s="4"/>
      <c r="H579" s="4"/>
      <c r="I579" s="4"/>
      <c r="J579" s="4"/>
      <c r="K579" s="4"/>
    </row>
    <row r="580" ht="14.25" customHeight="1">
      <c r="E580" s="4"/>
      <c r="F580" s="4"/>
      <c r="G580" s="4"/>
      <c r="H580" s="4"/>
      <c r="I580" s="4"/>
      <c r="J580" s="4"/>
      <c r="K580" s="4"/>
    </row>
    <row r="581" ht="14.25" customHeight="1">
      <c r="E581" s="4"/>
      <c r="F581" s="4"/>
      <c r="G581" s="4"/>
      <c r="H581" s="4"/>
      <c r="I581" s="4"/>
      <c r="J581" s="4"/>
      <c r="K581" s="4"/>
    </row>
    <row r="582" ht="14.25" customHeight="1">
      <c r="E582" s="4"/>
      <c r="F582" s="4"/>
      <c r="G582" s="4"/>
      <c r="H582" s="4"/>
      <c r="I582" s="4"/>
      <c r="J582" s="4"/>
      <c r="K582" s="4"/>
    </row>
    <row r="583" ht="14.25" customHeight="1">
      <c r="E583" s="4"/>
      <c r="F583" s="4"/>
      <c r="G583" s="4"/>
      <c r="H583" s="4"/>
      <c r="I583" s="4"/>
      <c r="J583" s="4"/>
      <c r="K583" s="4"/>
    </row>
    <row r="584" ht="14.25" customHeight="1">
      <c r="E584" s="4"/>
      <c r="F584" s="4"/>
      <c r="G584" s="4"/>
      <c r="H584" s="4"/>
      <c r="I584" s="4"/>
      <c r="J584" s="4"/>
      <c r="K584" s="4"/>
    </row>
    <row r="585" ht="14.25" customHeight="1">
      <c r="E585" s="4"/>
      <c r="F585" s="4"/>
      <c r="G585" s="4"/>
      <c r="H585" s="4"/>
      <c r="I585" s="4"/>
      <c r="J585" s="4"/>
      <c r="K585" s="4"/>
    </row>
    <row r="586" ht="14.25" customHeight="1">
      <c r="E586" s="4"/>
      <c r="F586" s="4"/>
      <c r="G586" s="4"/>
      <c r="H586" s="4"/>
      <c r="I586" s="4"/>
      <c r="J586" s="4"/>
      <c r="K586" s="4"/>
    </row>
    <row r="587" ht="14.25" customHeight="1">
      <c r="E587" s="4"/>
      <c r="F587" s="4"/>
      <c r="G587" s="4"/>
      <c r="H587" s="4"/>
      <c r="I587" s="4"/>
      <c r="J587" s="4"/>
      <c r="K587" s="4"/>
    </row>
    <row r="588" ht="14.25" customHeight="1">
      <c r="E588" s="4"/>
      <c r="F588" s="4"/>
      <c r="G588" s="4"/>
      <c r="H588" s="4"/>
      <c r="I588" s="4"/>
      <c r="J588" s="4"/>
      <c r="K588" s="4"/>
    </row>
    <row r="589" ht="14.25" customHeight="1">
      <c r="E589" s="4"/>
      <c r="F589" s="4"/>
      <c r="G589" s="4"/>
      <c r="H589" s="4"/>
      <c r="I589" s="4"/>
      <c r="J589" s="4"/>
      <c r="K589" s="4"/>
    </row>
    <row r="590" ht="14.25" customHeight="1">
      <c r="E590" s="4"/>
      <c r="F590" s="4"/>
      <c r="G590" s="4"/>
      <c r="H590" s="4"/>
      <c r="I590" s="4"/>
      <c r="J590" s="4"/>
      <c r="K590" s="4"/>
    </row>
    <row r="591" ht="14.25" customHeight="1">
      <c r="E591" s="4"/>
      <c r="F591" s="4"/>
      <c r="G591" s="4"/>
      <c r="H591" s="4"/>
      <c r="I591" s="4"/>
      <c r="J591" s="4"/>
      <c r="K591" s="4"/>
    </row>
    <row r="592" ht="14.25" customHeight="1">
      <c r="E592" s="4"/>
      <c r="F592" s="4"/>
      <c r="G592" s="4"/>
      <c r="H592" s="4"/>
      <c r="I592" s="4"/>
      <c r="J592" s="4"/>
      <c r="K592" s="4"/>
    </row>
    <row r="593" ht="14.25" customHeight="1">
      <c r="E593" s="4"/>
      <c r="F593" s="4"/>
      <c r="G593" s="4"/>
      <c r="H593" s="4"/>
      <c r="I593" s="4"/>
      <c r="J593" s="4"/>
      <c r="K593" s="4"/>
    </row>
    <row r="594" ht="14.25" customHeight="1">
      <c r="E594" s="4"/>
      <c r="F594" s="4"/>
      <c r="G594" s="4"/>
      <c r="H594" s="4"/>
      <c r="I594" s="4"/>
      <c r="J594" s="4"/>
      <c r="K594" s="4"/>
    </row>
    <row r="595" ht="14.25" customHeight="1">
      <c r="E595" s="4"/>
      <c r="F595" s="4"/>
      <c r="G595" s="4"/>
      <c r="H595" s="4"/>
      <c r="I595" s="4"/>
      <c r="J595" s="4"/>
      <c r="K595" s="4"/>
    </row>
    <row r="596" ht="14.25" customHeight="1">
      <c r="E596" s="4"/>
      <c r="F596" s="4"/>
      <c r="G596" s="4"/>
      <c r="H596" s="4"/>
      <c r="I596" s="4"/>
      <c r="J596" s="4"/>
      <c r="K596" s="4"/>
    </row>
    <row r="597" ht="14.25" customHeight="1">
      <c r="E597" s="4"/>
      <c r="F597" s="4"/>
      <c r="G597" s="4"/>
      <c r="H597" s="4"/>
      <c r="I597" s="4"/>
      <c r="J597" s="4"/>
      <c r="K597" s="4"/>
    </row>
    <row r="598" ht="14.25" customHeight="1">
      <c r="E598" s="4"/>
      <c r="F598" s="4"/>
      <c r="G598" s="4"/>
      <c r="H598" s="4"/>
      <c r="I598" s="4"/>
      <c r="J598" s="4"/>
      <c r="K598" s="4"/>
    </row>
    <row r="599" ht="14.25" customHeight="1">
      <c r="E599" s="4"/>
      <c r="F599" s="4"/>
      <c r="G599" s="4"/>
      <c r="H599" s="4"/>
      <c r="I599" s="4"/>
      <c r="J599" s="4"/>
      <c r="K599" s="4"/>
    </row>
    <row r="600" ht="14.25" customHeight="1">
      <c r="E600" s="4"/>
      <c r="F600" s="4"/>
      <c r="G600" s="4"/>
      <c r="H600" s="4"/>
      <c r="I600" s="4"/>
      <c r="J600" s="4"/>
      <c r="K600" s="4"/>
    </row>
    <row r="601" ht="14.25" customHeight="1">
      <c r="E601" s="4"/>
      <c r="F601" s="4"/>
      <c r="G601" s="4"/>
      <c r="H601" s="4"/>
      <c r="I601" s="4"/>
      <c r="J601" s="4"/>
      <c r="K601" s="4"/>
    </row>
    <row r="602" ht="14.25" customHeight="1">
      <c r="E602" s="4"/>
      <c r="F602" s="4"/>
      <c r="G602" s="4"/>
      <c r="H602" s="4"/>
      <c r="I602" s="4"/>
      <c r="J602" s="4"/>
      <c r="K602" s="4"/>
    </row>
    <row r="603" ht="14.25" customHeight="1">
      <c r="E603" s="4"/>
      <c r="F603" s="4"/>
      <c r="G603" s="4"/>
      <c r="H603" s="4"/>
      <c r="I603" s="4"/>
      <c r="J603" s="4"/>
      <c r="K603" s="4"/>
    </row>
    <row r="604" ht="14.25" customHeight="1">
      <c r="E604" s="4"/>
      <c r="F604" s="4"/>
      <c r="G604" s="4"/>
      <c r="H604" s="4"/>
      <c r="I604" s="4"/>
      <c r="J604" s="4"/>
      <c r="K604" s="4"/>
    </row>
    <row r="605" ht="14.25" customHeight="1">
      <c r="E605" s="4"/>
      <c r="F605" s="4"/>
      <c r="G605" s="4"/>
      <c r="H605" s="4"/>
      <c r="I605" s="4"/>
      <c r="J605" s="4"/>
      <c r="K605" s="4"/>
    </row>
    <row r="606" ht="14.25" customHeight="1">
      <c r="E606" s="4"/>
      <c r="F606" s="4"/>
      <c r="G606" s="4"/>
      <c r="H606" s="4"/>
      <c r="I606" s="4"/>
      <c r="J606" s="4"/>
      <c r="K606" s="4"/>
    </row>
    <row r="607" ht="14.25" customHeight="1">
      <c r="E607" s="4"/>
      <c r="F607" s="4"/>
      <c r="G607" s="4"/>
      <c r="H607" s="4"/>
      <c r="I607" s="4"/>
      <c r="J607" s="4"/>
      <c r="K607" s="4"/>
    </row>
    <row r="608" ht="14.25" customHeight="1">
      <c r="E608" s="4"/>
      <c r="F608" s="4"/>
      <c r="G608" s="4"/>
      <c r="H608" s="4"/>
      <c r="I608" s="4"/>
      <c r="J608" s="4"/>
      <c r="K608" s="4"/>
    </row>
    <row r="609" ht="14.25" customHeight="1">
      <c r="E609" s="4"/>
      <c r="F609" s="4"/>
      <c r="G609" s="4"/>
      <c r="H609" s="4"/>
      <c r="I609" s="4"/>
      <c r="J609" s="4"/>
      <c r="K609" s="4"/>
    </row>
    <row r="610" ht="14.25" customHeight="1">
      <c r="E610" s="4"/>
      <c r="F610" s="4"/>
      <c r="G610" s="4"/>
      <c r="H610" s="4"/>
      <c r="I610" s="4"/>
      <c r="J610" s="4"/>
      <c r="K610" s="4"/>
    </row>
    <row r="611" ht="14.25" customHeight="1">
      <c r="E611" s="4"/>
      <c r="F611" s="4"/>
      <c r="G611" s="4"/>
      <c r="H611" s="4"/>
      <c r="I611" s="4"/>
      <c r="J611" s="4"/>
      <c r="K611" s="4"/>
    </row>
    <row r="612" ht="14.25" customHeight="1">
      <c r="E612" s="4"/>
      <c r="F612" s="4"/>
      <c r="G612" s="4"/>
      <c r="H612" s="4"/>
      <c r="I612" s="4"/>
      <c r="J612" s="4"/>
      <c r="K612" s="4"/>
    </row>
    <row r="613" ht="14.25" customHeight="1">
      <c r="E613" s="4"/>
      <c r="F613" s="4"/>
      <c r="G613" s="4"/>
      <c r="H613" s="4"/>
      <c r="I613" s="4"/>
      <c r="J613" s="4"/>
      <c r="K613" s="4"/>
    </row>
    <row r="614" ht="14.25" customHeight="1">
      <c r="E614" s="4"/>
      <c r="F614" s="4"/>
      <c r="G614" s="4"/>
      <c r="H614" s="4"/>
      <c r="I614" s="4"/>
      <c r="J614" s="4"/>
      <c r="K614" s="4"/>
    </row>
    <row r="615" ht="14.25" customHeight="1">
      <c r="E615" s="4"/>
      <c r="F615" s="4"/>
      <c r="G615" s="4"/>
      <c r="H615" s="4"/>
      <c r="I615" s="4"/>
      <c r="J615" s="4"/>
      <c r="K615" s="4"/>
    </row>
    <row r="616" ht="14.25" customHeight="1">
      <c r="E616" s="4"/>
      <c r="F616" s="4"/>
      <c r="G616" s="4"/>
      <c r="H616" s="4"/>
      <c r="I616" s="4"/>
      <c r="J616" s="4"/>
      <c r="K616" s="4"/>
    </row>
    <row r="617" ht="14.25" customHeight="1">
      <c r="E617" s="4"/>
      <c r="F617" s="4"/>
      <c r="G617" s="4"/>
      <c r="H617" s="4"/>
      <c r="I617" s="4"/>
      <c r="J617" s="4"/>
      <c r="K617" s="4"/>
    </row>
    <row r="618" ht="14.25" customHeight="1">
      <c r="E618" s="4"/>
      <c r="F618" s="4"/>
      <c r="G618" s="4"/>
      <c r="H618" s="4"/>
      <c r="I618" s="4"/>
      <c r="J618" s="4"/>
      <c r="K618" s="4"/>
    </row>
    <row r="619" ht="14.25" customHeight="1">
      <c r="E619" s="4"/>
      <c r="F619" s="4"/>
      <c r="G619" s="4"/>
      <c r="H619" s="4"/>
      <c r="I619" s="4"/>
      <c r="J619" s="4"/>
      <c r="K619" s="4"/>
    </row>
    <row r="620" ht="14.25" customHeight="1">
      <c r="E620" s="4"/>
      <c r="F620" s="4"/>
      <c r="G620" s="4"/>
      <c r="H620" s="4"/>
      <c r="I620" s="4"/>
      <c r="J620" s="4"/>
      <c r="K620" s="4"/>
    </row>
    <row r="621" ht="14.25" customHeight="1">
      <c r="E621" s="4"/>
      <c r="F621" s="4"/>
      <c r="G621" s="4"/>
      <c r="H621" s="4"/>
      <c r="I621" s="4"/>
      <c r="J621" s="4"/>
      <c r="K621" s="4"/>
    </row>
    <row r="622" ht="14.25" customHeight="1">
      <c r="E622" s="4"/>
      <c r="F622" s="4"/>
      <c r="G622" s="4"/>
      <c r="H622" s="4"/>
      <c r="I622" s="4"/>
      <c r="J622" s="4"/>
      <c r="K622" s="4"/>
    </row>
    <row r="623" ht="14.25" customHeight="1">
      <c r="E623" s="4"/>
      <c r="F623" s="4"/>
      <c r="G623" s="4"/>
      <c r="H623" s="4"/>
      <c r="I623" s="4"/>
      <c r="J623" s="4"/>
      <c r="K623" s="4"/>
    </row>
    <row r="624" ht="14.25" customHeight="1">
      <c r="E624" s="4"/>
      <c r="F624" s="4"/>
      <c r="G624" s="4"/>
      <c r="H624" s="4"/>
      <c r="I624" s="4"/>
      <c r="J624" s="4"/>
      <c r="K624" s="4"/>
    </row>
    <row r="625" ht="14.25" customHeight="1">
      <c r="E625" s="4"/>
      <c r="F625" s="4"/>
      <c r="G625" s="4"/>
      <c r="H625" s="4"/>
      <c r="I625" s="4"/>
      <c r="J625" s="4"/>
      <c r="K625" s="4"/>
    </row>
    <row r="626" ht="14.25" customHeight="1">
      <c r="E626" s="4"/>
      <c r="F626" s="4"/>
      <c r="G626" s="4"/>
      <c r="H626" s="4"/>
      <c r="I626" s="4"/>
      <c r="J626" s="4"/>
      <c r="K626" s="4"/>
    </row>
    <row r="627" ht="14.25" customHeight="1">
      <c r="E627" s="4"/>
      <c r="F627" s="4"/>
      <c r="G627" s="4"/>
      <c r="H627" s="4"/>
      <c r="I627" s="4"/>
      <c r="J627" s="4"/>
      <c r="K627" s="4"/>
    </row>
    <row r="628" ht="14.25" customHeight="1">
      <c r="E628" s="4"/>
      <c r="F628" s="4"/>
      <c r="G628" s="4"/>
      <c r="H628" s="4"/>
      <c r="I628" s="4"/>
      <c r="J628" s="4"/>
      <c r="K628" s="4"/>
    </row>
    <row r="629" ht="14.25" customHeight="1">
      <c r="E629" s="4"/>
      <c r="F629" s="4"/>
      <c r="G629" s="4"/>
      <c r="H629" s="4"/>
      <c r="I629" s="4"/>
      <c r="J629" s="4"/>
      <c r="K629" s="4"/>
    </row>
    <row r="630" ht="14.25" customHeight="1">
      <c r="E630" s="4"/>
      <c r="F630" s="4"/>
      <c r="G630" s="4"/>
      <c r="H630" s="4"/>
      <c r="I630" s="4"/>
      <c r="J630" s="4"/>
      <c r="K630" s="4"/>
    </row>
    <row r="631" ht="14.25" customHeight="1">
      <c r="E631" s="4"/>
      <c r="F631" s="4"/>
      <c r="G631" s="4"/>
      <c r="H631" s="4"/>
      <c r="I631" s="4"/>
      <c r="J631" s="4"/>
      <c r="K631" s="4"/>
    </row>
    <row r="632" ht="14.25" customHeight="1">
      <c r="E632" s="4"/>
      <c r="F632" s="4"/>
      <c r="G632" s="4"/>
      <c r="H632" s="4"/>
      <c r="I632" s="4"/>
      <c r="J632" s="4"/>
      <c r="K632" s="4"/>
    </row>
    <row r="633" ht="14.25" customHeight="1">
      <c r="E633" s="4"/>
      <c r="F633" s="4"/>
      <c r="G633" s="4"/>
      <c r="H633" s="4"/>
      <c r="I633" s="4"/>
      <c r="J633" s="4"/>
      <c r="K633" s="4"/>
    </row>
    <row r="634" ht="14.25" customHeight="1">
      <c r="E634" s="4"/>
      <c r="F634" s="4"/>
      <c r="G634" s="4"/>
      <c r="H634" s="4"/>
      <c r="I634" s="4"/>
      <c r="J634" s="4"/>
      <c r="K634" s="4"/>
    </row>
    <row r="635" ht="14.25" customHeight="1">
      <c r="E635" s="4"/>
      <c r="F635" s="4"/>
      <c r="G635" s="4"/>
      <c r="H635" s="4"/>
      <c r="I635" s="4"/>
      <c r="J635" s="4"/>
      <c r="K635" s="4"/>
    </row>
    <row r="636" ht="14.25" customHeight="1">
      <c r="E636" s="4"/>
      <c r="F636" s="4"/>
      <c r="G636" s="4"/>
      <c r="H636" s="4"/>
      <c r="I636" s="4"/>
      <c r="J636" s="4"/>
      <c r="K636" s="4"/>
    </row>
    <row r="637" ht="14.25" customHeight="1">
      <c r="E637" s="4"/>
      <c r="F637" s="4"/>
      <c r="G637" s="4"/>
      <c r="H637" s="4"/>
      <c r="I637" s="4"/>
      <c r="J637" s="4"/>
      <c r="K637" s="4"/>
    </row>
    <row r="638" ht="14.25" customHeight="1">
      <c r="E638" s="4"/>
      <c r="F638" s="4"/>
      <c r="G638" s="4"/>
      <c r="H638" s="4"/>
      <c r="I638" s="4"/>
      <c r="J638" s="4"/>
      <c r="K638" s="4"/>
    </row>
    <row r="639" ht="14.25" customHeight="1">
      <c r="E639" s="4"/>
      <c r="F639" s="4"/>
      <c r="G639" s="4"/>
      <c r="H639" s="4"/>
      <c r="I639" s="4"/>
      <c r="J639" s="4"/>
      <c r="K639" s="4"/>
    </row>
    <row r="640" ht="14.25" customHeight="1">
      <c r="E640" s="4"/>
      <c r="F640" s="4"/>
      <c r="G640" s="4"/>
      <c r="H640" s="4"/>
      <c r="I640" s="4"/>
      <c r="J640" s="4"/>
      <c r="K640" s="4"/>
    </row>
    <row r="641" ht="14.25" customHeight="1">
      <c r="E641" s="4"/>
      <c r="F641" s="4"/>
      <c r="G641" s="4"/>
      <c r="H641" s="4"/>
      <c r="I641" s="4"/>
      <c r="J641" s="4"/>
      <c r="K641" s="4"/>
    </row>
    <row r="642" ht="14.25" customHeight="1">
      <c r="E642" s="4"/>
      <c r="F642" s="4"/>
      <c r="G642" s="4"/>
      <c r="H642" s="4"/>
      <c r="I642" s="4"/>
      <c r="J642" s="4"/>
      <c r="K642" s="4"/>
    </row>
    <row r="643" ht="14.25" customHeight="1">
      <c r="E643" s="4"/>
      <c r="F643" s="4"/>
      <c r="G643" s="4"/>
      <c r="H643" s="4"/>
      <c r="I643" s="4"/>
      <c r="J643" s="4"/>
      <c r="K643" s="4"/>
    </row>
    <row r="644" ht="14.25" customHeight="1">
      <c r="E644" s="4"/>
      <c r="F644" s="4"/>
      <c r="G644" s="4"/>
      <c r="H644" s="4"/>
      <c r="I644" s="4"/>
      <c r="J644" s="4"/>
      <c r="K644" s="4"/>
    </row>
    <row r="645" ht="14.25" customHeight="1">
      <c r="E645" s="4"/>
      <c r="F645" s="4"/>
      <c r="G645" s="4"/>
      <c r="H645" s="4"/>
      <c r="I645" s="4"/>
      <c r="J645" s="4"/>
      <c r="K645" s="4"/>
    </row>
    <row r="646" ht="14.25" customHeight="1">
      <c r="E646" s="4"/>
      <c r="F646" s="4"/>
      <c r="G646" s="4"/>
      <c r="H646" s="4"/>
      <c r="I646" s="4"/>
      <c r="J646" s="4"/>
      <c r="K646" s="4"/>
    </row>
    <row r="647" ht="14.25" customHeight="1">
      <c r="E647" s="4"/>
      <c r="F647" s="4"/>
      <c r="G647" s="4"/>
      <c r="H647" s="4"/>
      <c r="I647" s="4"/>
      <c r="J647" s="4"/>
      <c r="K647" s="4"/>
    </row>
    <row r="648" ht="14.25" customHeight="1">
      <c r="E648" s="4"/>
      <c r="F648" s="4"/>
      <c r="G648" s="4"/>
      <c r="H648" s="4"/>
      <c r="I648" s="4"/>
      <c r="J648" s="4"/>
      <c r="K648" s="4"/>
    </row>
    <row r="649" ht="14.25" customHeight="1">
      <c r="E649" s="4"/>
      <c r="F649" s="4"/>
      <c r="G649" s="4"/>
      <c r="H649" s="4"/>
      <c r="I649" s="4"/>
      <c r="J649" s="4"/>
      <c r="K649" s="4"/>
    </row>
    <row r="650" ht="14.25" customHeight="1">
      <c r="E650" s="4"/>
      <c r="F650" s="4"/>
      <c r="G650" s="4"/>
      <c r="H650" s="4"/>
      <c r="I650" s="4"/>
      <c r="J650" s="4"/>
      <c r="K650" s="4"/>
    </row>
    <row r="651" ht="14.25" customHeight="1">
      <c r="E651" s="4"/>
      <c r="F651" s="4"/>
      <c r="G651" s="4"/>
      <c r="H651" s="4"/>
      <c r="I651" s="4"/>
      <c r="J651" s="4"/>
      <c r="K651" s="4"/>
    </row>
    <row r="652" ht="14.25" customHeight="1">
      <c r="E652" s="4"/>
      <c r="F652" s="4"/>
      <c r="G652" s="4"/>
      <c r="H652" s="4"/>
      <c r="I652" s="4"/>
      <c r="J652" s="4"/>
      <c r="K652" s="4"/>
    </row>
    <row r="653" ht="14.25" customHeight="1">
      <c r="E653" s="4"/>
      <c r="F653" s="4"/>
      <c r="G653" s="4"/>
      <c r="H653" s="4"/>
      <c r="I653" s="4"/>
      <c r="J653" s="4"/>
      <c r="K653" s="4"/>
    </row>
    <row r="654" ht="14.25" customHeight="1">
      <c r="E654" s="4"/>
      <c r="F654" s="4"/>
      <c r="G654" s="4"/>
      <c r="H654" s="4"/>
      <c r="I654" s="4"/>
      <c r="J654" s="4"/>
      <c r="K654" s="4"/>
    </row>
    <row r="655" ht="14.25" customHeight="1">
      <c r="E655" s="4"/>
      <c r="F655" s="4"/>
      <c r="G655" s="4"/>
      <c r="H655" s="4"/>
      <c r="I655" s="4"/>
      <c r="J655" s="4"/>
      <c r="K655" s="4"/>
    </row>
    <row r="656" ht="14.25" customHeight="1">
      <c r="E656" s="4"/>
      <c r="F656" s="4"/>
      <c r="G656" s="4"/>
      <c r="H656" s="4"/>
      <c r="I656" s="4"/>
      <c r="J656" s="4"/>
      <c r="K656" s="4"/>
    </row>
    <row r="657" ht="14.25" customHeight="1">
      <c r="E657" s="4"/>
      <c r="F657" s="4"/>
      <c r="G657" s="4"/>
      <c r="H657" s="4"/>
      <c r="I657" s="4"/>
      <c r="J657" s="4"/>
      <c r="K657" s="4"/>
    </row>
    <row r="658" ht="14.25" customHeight="1">
      <c r="E658" s="4"/>
      <c r="F658" s="4"/>
      <c r="G658" s="4"/>
      <c r="H658" s="4"/>
      <c r="I658" s="4"/>
      <c r="J658" s="4"/>
      <c r="K658" s="4"/>
    </row>
    <row r="659" ht="14.25" customHeight="1">
      <c r="E659" s="4"/>
      <c r="F659" s="4"/>
      <c r="G659" s="4"/>
      <c r="H659" s="4"/>
      <c r="I659" s="4"/>
      <c r="J659" s="4"/>
      <c r="K659" s="4"/>
    </row>
    <row r="660" ht="14.25" customHeight="1">
      <c r="E660" s="4"/>
      <c r="F660" s="4"/>
      <c r="G660" s="4"/>
      <c r="H660" s="4"/>
      <c r="I660" s="4"/>
      <c r="J660" s="4"/>
      <c r="K660" s="4"/>
    </row>
    <row r="661" ht="14.25" customHeight="1">
      <c r="E661" s="4"/>
      <c r="F661" s="4"/>
      <c r="G661" s="4"/>
      <c r="H661" s="4"/>
      <c r="I661" s="4"/>
      <c r="J661" s="4"/>
      <c r="K661" s="4"/>
    </row>
    <row r="662" ht="14.25" customHeight="1">
      <c r="E662" s="4"/>
      <c r="F662" s="4"/>
      <c r="G662" s="4"/>
      <c r="H662" s="4"/>
      <c r="I662" s="4"/>
      <c r="J662" s="4"/>
      <c r="K662" s="4"/>
    </row>
    <row r="663" ht="14.25" customHeight="1">
      <c r="E663" s="4"/>
      <c r="F663" s="4"/>
      <c r="G663" s="4"/>
      <c r="H663" s="4"/>
      <c r="I663" s="4"/>
      <c r="J663" s="4"/>
      <c r="K663" s="4"/>
    </row>
    <row r="664" ht="14.25" customHeight="1">
      <c r="E664" s="4"/>
      <c r="F664" s="4"/>
      <c r="G664" s="4"/>
      <c r="H664" s="4"/>
      <c r="I664" s="4"/>
      <c r="J664" s="4"/>
      <c r="K664" s="4"/>
    </row>
    <row r="665" ht="14.25" customHeight="1">
      <c r="E665" s="4"/>
      <c r="F665" s="4"/>
      <c r="G665" s="4"/>
      <c r="H665" s="4"/>
      <c r="I665" s="4"/>
      <c r="J665" s="4"/>
      <c r="K665" s="4"/>
    </row>
    <row r="666" ht="14.25" customHeight="1">
      <c r="E666" s="4"/>
      <c r="F666" s="4"/>
      <c r="G666" s="4"/>
      <c r="H666" s="4"/>
      <c r="I666" s="4"/>
      <c r="J666" s="4"/>
      <c r="K666" s="4"/>
    </row>
    <row r="667" ht="14.25" customHeight="1">
      <c r="E667" s="4"/>
      <c r="F667" s="4"/>
      <c r="G667" s="4"/>
      <c r="H667" s="4"/>
      <c r="I667" s="4"/>
      <c r="J667" s="4"/>
      <c r="K667" s="4"/>
    </row>
    <row r="668" ht="14.25" customHeight="1">
      <c r="E668" s="4"/>
      <c r="F668" s="4"/>
      <c r="G668" s="4"/>
      <c r="H668" s="4"/>
      <c r="I668" s="4"/>
      <c r="J668" s="4"/>
      <c r="K668" s="4"/>
    </row>
    <row r="669" ht="14.25" customHeight="1">
      <c r="E669" s="4"/>
      <c r="F669" s="4"/>
      <c r="G669" s="4"/>
      <c r="H669" s="4"/>
      <c r="I669" s="4"/>
      <c r="J669" s="4"/>
      <c r="K669" s="4"/>
    </row>
    <row r="670" ht="14.25" customHeight="1">
      <c r="E670" s="4"/>
      <c r="F670" s="4"/>
      <c r="G670" s="4"/>
      <c r="H670" s="4"/>
      <c r="I670" s="4"/>
      <c r="J670" s="4"/>
      <c r="K670" s="4"/>
    </row>
    <row r="671" ht="14.25" customHeight="1">
      <c r="E671" s="4"/>
      <c r="F671" s="4"/>
      <c r="G671" s="4"/>
      <c r="H671" s="4"/>
      <c r="I671" s="4"/>
      <c r="J671" s="4"/>
      <c r="K671" s="4"/>
    </row>
    <row r="672" ht="14.25" customHeight="1">
      <c r="E672" s="4"/>
      <c r="F672" s="4"/>
      <c r="G672" s="4"/>
      <c r="H672" s="4"/>
      <c r="I672" s="4"/>
      <c r="J672" s="4"/>
      <c r="K672" s="4"/>
    </row>
    <row r="673" ht="14.25" customHeight="1">
      <c r="E673" s="4"/>
      <c r="F673" s="4"/>
      <c r="G673" s="4"/>
      <c r="H673" s="4"/>
      <c r="I673" s="4"/>
      <c r="J673" s="4"/>
      <c r="K673" s="4"/>
    </row>
    <row r="674" ht="14.25" customHeight="1">
      <c r="E674" s="4"/>
      <c r="F674" s="4"/>
      <c r="G674" s="4"/>
      <c r="H674" s="4"/>
      <c r="I674" s="4"/>
      <c r="J674" s="4"/>
      <c r="K674" s="4"/>
    </row>
    <row r="675" ht="14.25" customHeight="1">
      <c r="E675" s="4"/>
      <c r="F675" s="4"/>
      <c r="G675" s="4"/>
      <c r="H675" s="4"/>
      <c r="I675" s="4"/>
      <c r="J675" s="4"/>
      <c r="K675" s="4"/>
    </row>
    <row r="676" ht="14.25" customHeight="1">
      <c r="E676" s="4"/>
      <c r="F676" s="4"/>
      <c r="G676" s="4"/>
      <c r="H676" s="4"/>
      <c r="I676" s="4"/>
      <c r="J676" s="4"/>
      <c r="K676" s="4"/>
    </row>
    <row r="677" ht="14.25" customHeight="1">
      <c r="E677" s="4"/>
      <c r="F677" s="4"/>
      <c r="G677" s="4"/>
      <c r="H677" s="4"/>
      <c r="I677" s="4"/>
      <c r="J677" s="4"/>
      <c r="K677" s="4"/>
    </row>
    <row r="678" ht="14.25" customHeight="1">
      <c r="E678" s="4"/>
      <c r="F678" s="4"/>
      <c r="G678" s="4"/>
      <c r="H678" s="4"/>
      <c r="I678" s="4"/>
      <c r="J678" s="4"/>
      <c r="K678" s="4"/>
    </row>
    <row r="679" ht="14.25" customHeight="1">
      <c r="E679" s="4"/>
      <c r="F679" s="4"/>
      <c r="G679" s="4"/>
      <c r="H679" s="4"/>
      <c r="I679" s="4"/>
      <c r="J679" s="4"/>
      <c r="K679" s="4"/>
    </row>
    <row r="680" ht="14.25" customHeight="1">
      <c r="E680" s="4"/>
      <c r="F680" s="4"/>
      <c r="G680" s="4"/>
      <c r="H680" s="4"/>
      <c r="I680" s="4"/>
      <c r="J680" s="4"/>
      <c r="K680" s="4"/>
    </row>
    <row r="681" ht="14.25" customHeight="1">
      <c r="E681" s="4"/>
      <c r="F681" s="4"/>
      <c r="G681" s="4"/>
      <c r="H681" s="4"/>
      <c r="I681" s="4"/>
      <c r="J681" s="4"/>
      <c r="K681" s="4"/>
    </row>
    <row r="682" ht="14.25" customHeight="1">
      <c r="E682" s="4"/>
      <c r="F682" s="4"/>
      <c r="G682" s="4"/>
      <c r="H682" s="4"/>
      <c r="I682" s="4"/>
      <c r="J682" s="4"/>
      <c r="K682" s="4"/>
    </row>
    <row r="683" ht="14.25" customHeight="1">
      <c r="E683" s="4"/>
      <c r="F683" s="4"/>
      <c r="G683" s="4"/>
      <c r="H683" s="4"/>
      <c r="I683" s="4"/>
      <c r="J683" s="4"/>
      <c r="K683" s="4"/>
    </row>
    <row r="684" ht="14.25" customHeight="1">
      <c r="E684" s="4"/>
      <c r="F684" s="4"/>
      <c r="G684" s="4"/>
      <c r="H684" s="4"/>
      <c r="I684" s="4"/>
      <c r="J684" s="4"/>
      <c r="K684" s="4"/>
    </row>
    <row r="685" ht="14.25" customHeight="1">
      <c r="E685" s="4"/>
      <c r="F685" s="4"/>
      <c r="G685" s="4"/>
      <c r="H685" s="4"/>
      <c r="I685" s="4"/>
      <c r="J685" s="4"/>
      <c r="K685" s="4"/>
    </row>
    <row r="686" ht="14.25" customHeight="1">
      <c r="E686" s="4"/>
      <c r="F686" s="4"/>
      <c r="G686" s="4"/>
      <c r="H686" s="4"/>
      <c r="I686" s="4"/>
      <c r="J686" s="4"/>
      <c r="K686" s="4"/>
    </row>
    <row r="687" ht="14.25" customHeight="1">
      <c r="E687" s="4"/>
      <c r="F687" s="4"/>
      <c r="G687" s="4"/>
      <c r="H687" s="4"/>
      <c r="I687" s="4"/>
      <c r="J687" s="4"/>
      <c r="K687" s="4"/>
    </row>
    <row r="688" ht="14.25" customHeight="1">
      <c r="E688" s="4"/>
      <c r="F688" s="4"/>
      <c r="G688" s="4"/>
      <c r="H688" s="4"/>
      <c r="I688" s="4"/>
      <c r="J688" s="4"/>
      <c r="K688" s="4"/>
    </row>
    <row r="689" ht="14.25" customHeight="1">
      <c r="E689" s="4"/>
      <c r="F689" s="4"/>
      <c r="G689" s="4"/>
      <c r="H689" s="4"/>
      <c r="I689" s="4"/>
      <c r="J689" s="4"/>
      <c r="K689" s="4"/>
    </row>
    <row r="690" ht="14.25" customHeight="1">
      <c r="E690" s="4"/>
      <c r="F690" s="4"/>
      <c r="G690" s="4"/>
      <c r="H690" s="4"/>
      <c r="I690" s="4"/>
      <c r="J690" s="4"/>
      <c r="K690" s="4"/>
    </row>
    <row r="691" ht="14.25" customHeight="1">
      <c r="E691" s="4"/>
      <c r="F691" s="4"/>
      <c r="G691" s="4"/>
      <c r="H691" s="4"/>
      <c r="I691" s="4"/>
      <c r="J691" s="4"/>
      <c r="K691" s="4"/>
    </row>
    <row r="692" ht="14.25" customHeight="1">
      <c r="E692" s="4"/>
      <c r="F692" s="4"/>
      <c r="G692" s="4"/>
      <c r="H692" s="4"/>
      <c r="I692" s="4"/>
      <c r="J692" s="4"/>
      <c r="K692" s="4"/>
    </row>
    <row r="693" ht="14.25" customHeight="1">
      <c r="E693" s="4"/>
      <c r="F693" s="4"/>
      <c r="G693" s="4"/>
      <c r="H693" s="4"/>
      <c r="I693" s="4"/>
      <c r="J693" s="4"/>
      <c r="K693" s="4"/>
    </row>
    <row r="694" ht="14.25" customHeight="1">
      <c r="E694" s="4"/>
      <c r="F694" s="4"/>
      <c r="G694" s="4"/>
      <c r="H694" s="4"/>
      <c r="I694" s="4"/>
      <c r="J694" s="4"/>
      <c r="K694" s="4"/>
    </row>
    <row r="695" ht="14.25" customHeight="1">
      <c r="E695" s="4"/>
      <c r="F695" s="4"/>
      <c r="G695" s="4"/>
      <c r="H695" s="4"/>
      <c r="I695" s="4"/>
      <c r="J695" s="4"/>
      <c r="K695" s="4"/>
    </row>
    <row r="696" ht="14.25" customHeight="1">
      <c r="E696" s="4"/>
      <c r="F696" s="4"/>
      <c r="G696" s="4"/>
      <c r="H696" s="4"/>
      <c r="I696" s="4"/>
      <c r="J696" s="4"/>
      <c r="K696" s="4"/>
    </row>
    <row r="697" ht="14.25" customHeight="1">
      <c r="E697" s="4"/>
      <c r="F697" s="4"/>
      <c r="G697" s="4"/>
      <c r="H697" s="4"/>
      <c r="I697" s="4"/>
      <c r="J697" s="4"/>
      <c r="K697" s="4"/>
    </row>
    <row r="698" ht="14.25" customHeight="1">
      <c r="E698" s="4"/>
      <c r="F698" s="4"/>
      <c r="G698" s="4"/>
      <c r="H698" s="4"/>
      <c r="I698" s="4"/>
      <c r="J698" s="4"/>
      <c r="K698" s="4"/>
    </row>
    <row r="699" ht="14.25" customHeight="1">
      <c r="E699" s="4"/>
      <c r="F699" s="4"/>
      <c r="G699" s="4"/>
      <c r="H699" s="4"/>
      <c r="I699" s="4"/>
      <c r="J699" s="4"/>
      <c r="K699" s="4"/>
    </row>
    <row r="700" ht="14.25" customHeight="1">
      <c r="E700" s="4"/>
      <c r="F700" s="4"/>
      <c r="G700" s="4"/>
      <c r="H700" s="4"/>
      <c r="I700" s="4"/>
      <c r="J700" s="4"/>
      <c r="K700" s="4"/>
    </row>
    <row r="701" ht="14.25" customHeight="1">
      <c r="E701" s="4"/>
      <c r="F701" s="4"/>
      <c r="G701" s="4"/>
      <c r="H701" s="4"/>
      <c r="I701" s="4"/>
      <c r="J701" s="4"/>
      <c r="K701" s="4"/>
    </row>
    <row r="702" ht="14.25" customHeight="1">
      <c r="E702" s="4"/>
      <c r="F702" s="4"/>
      <c r="G702" s="4"/>
      <c r="H702" s="4"/>
      <c r="I702" s="4"/>
      <c r="J702" s="4"/>
      <c r="K702" s="4"/>
    </row>
    <row r="703" ht="14.25" customHeight="1">
      <c r="E703" s="4"/>
      <c r="F703" s="4"/>
      <c r="G703" s="4"/>
      <c r="H703" s="4"/>
      <c r="I703" s="4"/>
      <c r="J703" s="4"/>
      <c r="K703" s="4"/>
    </row>
    <row r="704" ht="14.25" customHeight="1">
      <c r="E704" s="4"/>
      <c r="F704" s="4"/>
      <c r="G704" s="4"/>
      <c r="H704" s="4"/>
      <c r="I704" s="4"/>
      <c r="J704" s="4"/>
      <c r="K704" s="4"/>
    </row>
    <row r="705" ht="14.25" customHeight="1">
      <c r="E705" s="4"/>
      <c r="F705" s="4"/>
      <c r="G705" s="4"/>
      <c r="H705" s="4"/>
      <c r="I705" s="4"/>
      <c r="J705" s="4"/>
      <c r="K705" s="4"/>
    </row>
    <row r="706" ht="14.25" customHeight="1">
      <c r="E706" s="4"/>
      <c r="F706" s="4"/>
      <c r="G706" s="4"/>
      <c r="H706" s="4"/>
      <c r="I706" s="4"/>
      <c r="J706" s="4"/>
      <c r="K706" s="4"/>
    </row>
    <row r="707" ht="14.25" customHeight="1">
      <c r="E707" s="4"/>
      <c r="F707" s="4"/>
      <c r="G707" s="4"/>
      <c r="H707" s="4"/>
      <c r="I707" s="4"/>
      <c r="J707" s="4"/>
      <c r="K707" s="4"/>
    </row>
    <row r="708" ht="14.25" customHeight="1">
      <c r="E708" s="4"/>
      <c r="F708" s="4"/>
      <c r="G708" s="4"/>
      <c r="H708" s="4"/>
      <c r="I708" s="4"/>
      <c r="J708" s="4"/>
      <c r="K708" s="4"/>
    </row>
    <row r="709" ht="14.25" customHeight="1">
      <c r="E709" s="4"/>
      <c r="F709" s="4"/>
      <c r="G709" s="4"/>
      <c r="H709" s="4"/>
      <c r="I709" s="4"/>
      <c r="J709" s="4"/>
      <c r="K709" s="4"/>
    </row>
    <row r="710" ht="14.25" customHeight="1">
      <c r="E710" s="4"/>
      <c r="F710" s="4"/>
      <c r="G710" s="4"/>
      <c r="H710" s="4"/>
      <c r="I710" s="4"/>
      <c r="J710" s="4"/>
      <c r="K710" s="4"/>
    </row>
    <row r="711" ht="14.25" customHeight="1">
      <c r="E711" s="4"/>
      <c r="F711" s="4"/>
      <c r="G711" s="4"/>
      <c r="H711" s="4"/>
      <c r="I711" s="4"/>
      <c r="J711" s="4"/>
      <c r="K711" s="4"/>
    </row>
    <row r="712" ht="14.25" customHeight="1">
      <c r="E712" s="4"/>
      <c r="F712" s="4"/>
      <c r="G712" s="4"/>
      <c r="H712" s="4"/>
      <c r="I712" s="4"/>
      <c r="J712" s="4"/>
      <c r="K712" s="4"/>
    </row>
    <row r="713" ht="14.25" customHeight="1">
      <c r="E713" s="4"/>
      <c r="F713" s="4"/>
      <c r="G713" s="4"/>
      <c r="H713" s="4"/>
      <c r="I713" s="4"/>
      <c r="J713" s="4"/>
      <c r="K713" s="4"/>
    </row>
    <row r="714" ht="14.25" customHeight="1">
      <c r="E714" s="4"/>
      <c r="F714" s="4"/>
      <c r="G714" s="4"/>
      <c r="H714" s="4"/>
      <c r="I714" s="4"/>
      <c r="J714" s="4"/>
      <c r="K714" s="4"/>
    </row>
    <row r="715" ht="14.25" customHeight="1">
      <c r="E715" s="4"/>
      <c r="F715" s="4"/>
      <c r="G715" s="4"/>
      <c r="H715" s="4"/>
      <c r="I715" s="4"/>
      <c r="J715" s="4"/>
      <c r="K715" s="4"/>
    </row>
    <row r="716" ht="14.25" customHeight="1">
      <c r="E716" s="4"/>
      <c r="F716" s="4"/>
      <c r="G716" s="4"/>
      <c r="H716" s="4"/>
      <c r="I716" s="4"/>
      <c r="J716" s="4"/>
      <c r="K716" s="4"/>
    </row>
    <row r="717" ht="14.25" customHeight="1">
      <c r="E717" s="4"/>
      <c r="F717" s="4"/>
      <c r="G717" s="4"/>
      <c r="H717" s="4"/>
      <c r="I717" s="4"/>
      <c r="J717" s="4"/>
      <c r="K717" s="4"/>
    </row>
    <row r="718" ht="14.25" customHeight="1">
      <c r="E718" s="4"/>
      <c r="F718" s="4"/>
      <c r="G718" s="4"/>
      <c r="H718" s="4"/>
      <c r="I718" s="4"/>
      <c r="J718" s="4"/>
      <c r="K718" s="4"/>
    </row>
    <row r="719" ht="14.25" customHeight="1">
      <c r="E719" s="4"/>
      <c r="F719" s="4"/>
      <c r="G719" s="4"/>
      <c r="H719" s="4"/>
      <c r="I719" s="4"/>
      <c r="J719" s="4"/>
      <c r="K719" s="4"/>
    </row>
    <row r="720" ht="14.25" customHeight="1">
      <c r="E720" s="4"/>
      <c r="F720" s="4"/>
      <c r="G720" s="4"/>
      <c r="H720" s="4"/>
      <c r="I720" s="4"/>
      <c r="J720" s="4"/>
      <c r="K720" s="4"/>
    </row>
    <row r="721" ht="14.25" customHeight="1">
      <c r="E721" s="4"/>
      <c r="F721" s="4"/>
      <c r="G721" s="4"/>
      <c r="H721" s="4"/>
      <c r="I721" s="4"/>
      <c r="J721" s="4"/>
      <c r="K721" s="4"/>
    </row>
    <row r="722" ht="14.25" customHeight="1">
      <c r="E722" s="4"/>
      <c r="F722" s="4"/>
      <c r="G722" s="4"/>
      <c r="H722" s="4"/>
      <c r="I722" s="4"/>
      <c r="J722" s="4"/>
      <c r="K722" s="4"/>
    </row>
    <row r="723" ht="14.25" customHeight="1">
      <c r="E723" s="4"/>
      <c r="F723" s="4"/>
      <c r="G723" s="4"/>
      <c r="H723" s="4"/>
      <c r="I723" s="4"/>
      <c r="J723" s="4"/>
      <c r="K723" s="4"/>
    </row>
    <row r="724" ht="14.25" customHeight="1">
      <c r="E724" s="4"/>
      <c r="F724" s="4"/>
      <c r="G724" s="4"/>
      <c r="H724" s="4"/>
      <c r="I724" s="4"/>
      <c r="J724" s="4"/>
      <c r="K724" s="4"/>
    </row>
    <row r="725" ht="14.25" customHeight="1">
      <c r="E725" s="4"/>
      <c r="F725" s="4"/>
      <c r="G725" s="4"/>
      <c r="H725" s="4"/>
      <c r="I725" s="4"/>
      <c r="J725" s="4"/>
      <c r="K725" s="4"/>
    </row>
    <row r="726" ht="14.25" customHeight="1">
      <c r="E726" s="4"/>
      <c r="F726" s="4"/>
      <c r="G726" s="4"/>
      <c r="H726" s="4"/>
      <c r="I726" s="4"/>
      <c r="J726" s="4"/>
      <c r="K726" s="4"/>
    </row>
    <row r="727" ht="14.25" customHeight="1">
      <c r="E727" s="4"/>
      <c r="F727" s="4"/>
      <c r="G727" s="4"/>
      <c r="H727" s="4"/>
      <c r="I727" s="4"/>
      <c r="J727" s="4"/>
      <c r="K727" s="4"/>
    </row>
    <row r="728" ht="14.25" customHeight="1">
      <c r="E728" s="4"/>
      <c r="F728" s="4"/>
      <c r="G728" s="4"/>
      <c r="H728" s="4"/>
      <c r="I728" s="4"/>
      <c r="J728" s="4"/>
      <c r="K728" s="4"/>
    </row>
    <row r="729" ht="14.25" customHeight="1">
      <c r="E729" s="4"/>
      <c r="F729" s="4"/>
      <c r="G729" s="4"/>
      <c r="H729" s="4"/>
      <c r="I729" s="4"/>
      <c r="J729" s="4"/>
      <c r="K729" s="4"/>
    </row>
    <row r="730" ht="14.25" customHeight="1">
      <c r="E730" s="4"/>
      <c r="F730" s="4"/>
      <c r="G730" s="4"/>
      <c r="H730" s="4"/>
      <c r="I730" s="4"/>
      <c r="J730" s="4"/>
      <c r="K730" s="4"/>
    </row>
    <row r="731" ht="14.25" customHeight="1">
      <c r="E731" s="4"/>
      <c r="F731" s="4"/>
      <c r="G731" s="4"/>
      <c r="H731" s="4"/>
      <c r="I731" s="4"/>
      <c r="J731" s="4"/>
      <c r="K731" s="4"/>
    </row>
    <row r="732" ht="14.25" customHeight="1">
      <c r="E732" s="4"/>
      <c r="F732" s="4"/>
      <c r="G732" s="4"/>
      <c r="H732" s="4"/>
      <c r="I732" s="4"/>
      <c r="J732" s="4"/>
      <c r="K732" s="4"/>
    </row>
    <row r="733" ht="14.25" customHeight="1">
      <c r="E733" s="4"/>
      <c r="F733" s="4"/>
      <c r="G733" s="4"/>
      <c r="H733" s="4"/>
      <c r="I733" s="4"/>
      <c r="J733" s="4"/>
      <c r="K733" s="4"/>
    </row>
    <row r="734" ht="14.25" customHeight="1">
      <c r="E734" s="4"/>
      <c r="F734" s="4"/>
      <c r="G734" s="4"/>
      <c r="H734" s="4"/>
      <c r="I734" s="4"/>
      <c r="J734" s="4"/>
      <c r="K734" s="4"/>
    </row>
    <row r="735" ht="14.25" customHeight="1">
      <c r="E735" s="4"/>
      <c r="F735" s="4"/>
      <c r="G735" s="4"/>
      <c r="H735" s="4"/>
      <c r="I735" s="4"/>
      <c r="J735" s="4"/>
      <c r="K735" s="4"/>
    </row>
    <row r="736" ht="14.25" customHeight="1">
      <c r="E736" s="4"/>
      <c r="F736" s="4"/>
      <c r="G736" s="4"/>
      <c r="H736" s="4"/>
      <c r="I736" s="4"/>
      <c r="J736" s="4"/>
      <c r="K736" s="4"/>
    </row>
    <row r="737" ht="14.25" customHeight="1">
      <c r="E737" s="4"/>
      <c r="F737" s="4"/>
      <c r="G737" s="4"/>
      <c r="H737" s="4"/>
      <c r="I737" s="4"/>
      <c r="J737" s="4"/>
      <c r="K737" s="4"/>
    </row>
    <row r="738" ht="14.25" customHeight="1">
      <c r="E738" s="4"/>
      <c r="F738" s="4"/>
      <c r="G738" s="4"/>
      <c r="H738" s="4"/>
      <c r="I738" s="4"/>
      <c r="J738" s="4"/>
      <c r="K738" s="4"/>
    </row>
    <row r="739" ht="14.25" customHeight="1">
      <c r="E739" s="4"/>
      <c r="F739" s="4"/>
      <c r="G739" s="4"/>
      <c r="H739" s="4"/>
      <c r="I739" s="4"/>
      <c r="J739" s="4"/>
      <c r="K739" s="4"/>
    </row>
    <row r="740" ht="14.25" customHeight="1">
      <c r="E740" s="4"/>
      <c r="F740" s="4"/>
      <c r="G740" s="4"/>
      <c r="H740" s="4"/>
      <c r="I740" s="4"/>
      <c r="J740" s="4"/>
      <c r="K740" s="4"/>
    </row>
    <row r="741" ht="14.25" customHeight="1">
      <c r="E741" s="4"/>
      <c r="F741" s="4"/>
      <c r="G741" s="4"/>
      <c r="H741" s="4"/>
      <c r="I741" s="4"/>
      <c r="J741" s="4"/>
      <c r="K741" s="4"/>
    </row>
    <row r="742" ht="14.25" customHeight="1">
      <c r="E742" s="4"/>
      <c r="F742" s="4"/>
      <c r="G742" s="4"/>
      <c r="H742" s="4"/>
      <c r="I742" s="4"/>
      <c r="J742" s="4"/>
      <c r="K742" s="4"/>
    </row>
    <row r="743" ht="14.25" customHeight="1">
      <c r="E743" s="4"/>
      <c r="F743" s="4"/>
      <c r="G743" s="4"/>
      <c r="H743" s="4"/>
      <c r="I743" s="4"/>
      <c r="J743" s="4"/>
      <c r="K743" s="4"/>
    </row>
    <row r="744" ht="14.25" customHeight="1">
      <c r="E744" s="4"/>
      <c r="F744" s="4"/>
      <c r="G744" s="4"/>
      <c r="H744" s="4"/>
      <c r="I744" s="4"/>
      <c r="J744" s="4"/>
      <c r="K744" s="4"/>
    </row>
    <row r="745" ht="14.25" customHeight="1">
      <c r="E745" s="4"/>
      <c r="F745" s="4"/>
      <c r="G745" s="4"/>
      <c r="H745" s="4"/>
      <c r="I745" s="4"/>
      <c r="J745" s="4"/>
      <c r="K745" s="4"/>
    </row>
    <row r="746" ht="14.25" customHeight="1">
      <c r="E746" s="4"/>
      <c r="F746" s="4"/>
      <c r="G746" s="4"/>
      <c r="H746" s="4"/>
      <c r="I746" s="4"/>
      <c r="J746" s="4"/>
      <c r="K746" s="4"/>
    </row>
    <row r="747" ht="14.25" customHeight="1">
      <c r="E747" s="4"/>
      <c r="F747" s="4"/>
      <c r="G747" s="4"/>
      <c r="H747" s="4"/>
      <c r="I747" s="4"/>
      <c r="J747" s="4"/>
      <c r="K747" s="4"/>
    </row>
    <row r="748" ht="14.25" customHeight="1">
      <c r="E748" s="4"/>
      <c r="F748" s="4"/>
      <c r="G748" s="4"/>
      <c r="H748" s="4"/>
      <c r="I748" s="4"/>
      <c r="J748" s="4"/>
      <c r="K748" s="4"/>
    </row>
    <row r="749" ht="14.25" customHeight="1">
      <c r="E749" s="4"/>
      <c r="F749" s="4"/>
      <c r="G749" s="4"/>
      <c r="H749" s="4"/>
      <c r="I749" s="4"/>
      <c r="J749" s="4"/>
      <c r="K749" s="4"/>
    </row>
    <row r="750" ht="14.25" customHeight="1">
      <c r="E750" s="4"/>
      <c r="F750" s="4"/>
      <c r="G750" s="4"/>
      <c r="H750" s="4"/>
      <c r="I750" s="4"/>
      <c r="J750" s="4"/>
      <c r="K750" s="4"/>
    </row>
    <row r="751" ht="14.25" customHeight="1">
      <c r="E751" s="4"/>
      <c r="F751" s="4"/>
      <c r="G751" s="4"/>
      <c r="H751" s="4"/>
      <c r="I751" s="4"/>
      <c r="J751" s="4"/>
      <c r="K751" s="4"/>
    </row>
    <row r="752" ht="14.25" customHeight="1">
      <c r="E752" s="4"/>
      <c r="F752" s="4"/>
      <c r="G752" s="4"/>
      <c r="H752" s="4"/>
      <c r="I752" s="4"/>
      <c r="J752" s="4"/>
      <c r="K752" s="4"/>
    </row>
    <row r="753" ht="14.25" customHeight="1">
      <c r="E753" s="4"/>
      <c r="F753" s="4"/>
      <c r="G753" s="4"/>
      <c r="H753" s="4"/>
      <c r="I753" s="4"/>
      <c r="J753" s="4"/>
      <c r="K753" s="4"/>
    </row>
    <row r="754" ht="14.25" customHeight="1">
      <c r="E754" s="4"/>
      <c r="F754" s="4"/>
      <c r="G754" s="4"/>
      <c r="H754" s="4"/>
      <c r="I754" s="4"/>
      <c r="J754" s="4"/>
      <c r="K754" s="4"/>
    </row>
    <row r="755" ht="14.25" customHeight="1">
      <c r="E755" s="4"/>
      <c r="F755" s="4"/>
      <c r="G755" s="4"/>
      <c r="H755" s="4"/>
      <c r="I755" s="4"/>
      <c r="J755" s="4"/>
      <c r="K755" s="4"/>
    </row>
    <row r="756" ht="14.25" customHeight="1">
      <c r="E756" s="4"/>
      <c r="F756" s="4"/>
      <c r="G756" s="4"/>
      <c r="H756" s="4"/>
      <c r="I756" s="4"/>
      <c r="J756" s="4"/>
      <c r="K756" s="4"/>
    </row>
    <row r="757" ht="14.25" customHeight="1">
      <c r="E757" s="4"/>
      <c r="F757" s="4"/>
      <c r="G757" s="4"/>
      <c r="H757" s="4"/>
      <c r="I757" s="4"/>
      <c r="J757" s="4"/>
      <c r="K757" s="4"/>
    </row>
    <row r="758" ht="14.25" customHeight="1">
      <c r="E758" s="4"/>
      <c r="F758" s="4"/>
      <c r="G758" s="4"/>
      <c r="H758" s="4"/>
      <c r="I758" s="4"/>
      <c r="J758" s="4"/>
      <c r="K758" s="4"/>
    </row>
    <row r="759" ht="14.25" customHeight="1">
      <c r="E759" s="4"/>
      <c r="F759" s="4"/>
      <c r="G759" s="4"/>
      <c r="H759" s="4"/>
      <c r="I759" s="4"/>
      <c r="J759" s="4"/>
      <c r="K759" s="4"/>
    </row>
    <row r="760" ht="14.25" customHeight="1">
      <c r="E760" s="4"/>
      <c r="F760" s="4"/>
      <c r="G760" s="4"/>
      <c r="H760" s="4"/>
      <c r="I760" s="4"/>
      <c r="J760" s="4"/>
      <c r="K760" s="4"/>
    </row>
    <row r="761" ht="14.25" customHeight="1">
      <c r="E761" s="4"/>
      <c r="F761" s="4"/>
      <c r="G761" s="4"/>
      <c r="H761" s="4"/>
      <c r="I761" s="4"/>
      <c r="J761" s="4"/>
      <c r="K761" s="4"/>
    </row>
    <row r="762" ht="14.25" customHeight="1">
      <c r="E762" s="4"/>
      <c r="F762" s="4"/>
      <c r="G762" s="4"/>
      <c r="H762" s="4"/>
      <c r="I762" s="4"/>
      <c r="J762" s="4"/>
      <c r="K762" s="4"/>
    </row>
    <row r="763" ht="14.25" customHeight="1">
      <c r="E763" s="4"/>
      <c r="F763" s="4"/>
      <c r="G763" s="4"/>
      <c r="H763" s="4"/>
      <c r="I763" s="4"/>
      <c r="J763" s="4"/>
      <c r="K763" s="4"/>
    </row>
    <row r="764" ht="14.25" customHeight="1">
      <c r="E764" s="4"/>
      <c r="F764" s="4"/>
      <c r="G764" s="4"/>
      <c r="H764" s="4"/>
      <c r="I764" s="4"/>
      <c r="J764" s="4"/>
      <c r="K764" s="4"/>
    </row>
    <row r="765" ht="14.25" customHeight="1">
      <c r="E765" s="4"/>
      <c r="F765" s="4"/>
      <c r="G765" s="4"/>
      <c r="H765" s="4"/>
      <c r="I765" s="4"/>
      <c r="J765" s="4"/>
      <c r="K765" s="4"/>
    </row>
    <row r="766" ht="14.25" customHeight="1">
      <c r="E766" s="4"/>
      <c r="F766" s="4"/>
      <c r="G766" s="4"/>
      <c r="H766" s="4"/>
      <c r="I766" s="4"/>
      <c r="J766" s="4"/>
      <c r="K766" s="4"/>
    </row>
    <row r="767" ht="14.25" customHeight="1">
      <c r="E767" s="4"/>
      <c r="F767" s="4"/>
      <c r="G767" s="4"/>
      <c r="H767" s="4"/>
      <c r="I767" s="4"/>
      <c r="J767" s="4"/>
      <c r="K767" s="4"/>
    </row>
    <row r="768" ht="14.25" customHeight="1">
      <c r="E768" s="4"/>
      <c r="F768" s="4"/>
      <c r="G768" s="4"/>
      <c r="H768" s="4"/>
      <c r="I768" s="4"/>
      <c r="J768" s="4"/>
      <c r="K768" s="4"/>
    </row>
    <row r="769" ht="14.25" customHeight="1">
      <c r="E769" s="4"/>
      <c r="F769" s="4"/>
      <c r="G769" s="4"/>
      <c r="H769" s="4"/>
      <c r="I769" s="4"/>
      <c r="J769" s="4"/>
      <c r="K769" s="4"/>
    </row>
    <row r="770" ht="14.25" customHeight="1">
      <c r="E770" s="4"/>
      <c r="F770" s="4"/>
      <c r="G770" s="4"/>
      <c r="H770" s="4"/>
      <c r="I770" s="4"/>
      <c r="J770" s="4"/>
      <c r="K770" s="4"/>
    </row>
    <row r="771" ht="14.25" customHeight="1">
      <c r="E771" s="4"/>
      <c r="F771" s="4"/>
      <c r="G771" s="4"/>
      <c r="H771" s="4"/>
      <c r="I771" s="4"/>
      <c r="J771" s="4"/>
      <c r="K771" s="4"/>
    </row>
    <row r="772" ht="14.25" customHeight="1">
      <c r="E772" s="4"/>
      <c r="F772" s="4"/>
      <c r="G772" s="4"/>
      <c r="H772" s="4"/>
      <c r="I772" s="4"/>
      <c r="J772" s="4"/>
      <c r="K772" s="4"/>
    </row>
    <row r="773" ht="14.25" customHeight="1">
      <c r="E773" s="4"/>
      <c r="F773" s="4"/>
      <c r="G773" s="4"/>
      <c r="H773" s="4"/>
      <c r="I773" s="4"/>
      <c r="J773" s="4"/>
      <c r="K773" s="4"/>
    </row>
    <row r="774" ht="14.25" customHeight="1">
      <c r="E774" s="4"/>
      <c r="F774" s="4"/>
      <c r="G774" s="4"/>
      <c r="H774" s="4"/>
      <c r="I774" s="4"/>
      <c r="J774" s="4"/>
      <c r="K774" s="4"/>
    </row>
    <row r="775" ht="14.25" customHeight="1">
      <c r="E775" s="4"/>
      <c r="F775" s="4"/>
      <c r="G775" s="4"/>
      <c r="H775" s="4"/>
      <c r="I775" s="4"/>
      <c r="J775" s="4"/>
      <c r="K775" s="4"/>
    </row>
    <row r="776" ht="14.25" customHeight="1">
      <c r="E776" s="4"/>
      <c r="F776" s="4"/>
      <c r="G776" s="4"/>
      <c r="H776" s="4"/>
      <c r="I776" s="4"/>
      <c r="J776" s="4"/>
      <c r="K776" s="4"/>
    </row>
    <row r="777" ht="14.25" customHeight="1">
      <c r="E777" s="4"/>
      <c r="F777" s="4"/>
      <c r="G777" s="4"/>
      <c r="H777" s="4"/>
      <c r="I777" s="4"/>
      <c r="J777" s="4"/>
      <c r="K777" s="4"/>
    </row>
    <row r="778" ht="14.25" customHeight="1">
      <c r="E778" s="4"/>
      <c r="F778" s="4"/>
      <c r="G778" s="4"/>
      <c r="H778" s="4"/>
      <c r="I778" s="4"/>
      <c r="J778" s="4"/>
      <c r="K778" s="4"/>
    </row>
    <row r="779" ht="14.25" customHeight="1">
      <c r="E779" s="4"/>
      <c r="F779" s="4"/>
      <c r="G779" s="4"/>
      <c r="H779" s="4"/>
      <c r="I779" s="4"/>
      <c r="J779" s="4"/>
      <c r="K779" s="4"/>
    </row>
    <row r="780" ht="14.25" customHeight="1">
      <c r="E780" s="4"/>
      <c r="F780" s="4"/>
      <c r="G780" s="4"/>
      <c r="H780" s="4"/>
      <c r="I780" s="4"/>
      <c r="J780" s="4"/>
      <c r="K780" s="4"/>
    </row>
    <row r="781" ht="14.25" customHeight="1">
      <c r="E781" s="4"/>
      <c r="F781" s="4"/>
      <c r="G781" s="4"/>
      <c r="H781" s="4"/>
      <c r="I781" s="4"/>
      <c r="J781" s="4"/>
      <c r="K781" s="4"/>
    </row>
    <row r="782" ht="14.25" customHeight="1">
      <c r="E782" s="4"/>
      <c r="F782" s="4"/>
      <c r="G782" s="4"/>
      <c r="H782" s="4"/>
      <c r="I782" s="4"/>
      <c r="J782" s="4"/>
      <c r="K782" s="4"/>
    </row>
    <row r="783" ht="14.25" customHeight="1">
      <c r="E783" s="4"/>
      <c r="F783" s="4"/>
      <c r="G783" s="4"/>
      <c r="H783" s="4"/>
      <c r="I783" s="4"/>
      <c r="J783" s="4"/>
      <c r="K783" s="4"/>
    </row>
    <row r="784" ht="14.25" customHeight="1">
      <c r="E784" s="4"/>
      <c r="F784" s="4"/>
      <c r="G784" s="4"/>
      <c r="H784" s="4"/>
      <c r="I784" s="4"/>
      <c r="J784" s="4"/>
      <c r="K784" s="4"/>
    </row>
    <row r="785" ht="14.25" customHeight="1">
      <c r="E785" s="4"/>
      <c r="F785" s="4"/>
      <c r="G785" s="4"/>
      <c r="H785" s="4"/>
      <c r="I785" s="4"/>
      <c r="J785" s="4"/>
      <c r="K785" s="4"/>
    </row>
    <row r="786" ht="14.25" customHeight="1">
      <c r="E786" s="4"/>
      <c r="F786" s="4"/>
      <c r="G786" s="4"/>
      <c r="H786" s="4"/>
      <c r="I786" s="4"/>
      <c r="J786" s="4"/>
      <c r="K786" s="4"/>
    </row>
    <row r="787" ht="14.25" customHeight="1">
      <c r="E787" s="4"/>
      <c r="F787" s="4"/>
      <c r="G787" s="4"/>
      <c r="H787" s="4"/>
      <c r="I787" s="4"/>
      <c r="J787" s="4"/>
      <c r="K787" s="4"/>
    </row>
    <row r="788" ht="14.25" customHeight="1">
      <c r="E788" s="4"/>
      <c r="F788" s="4"/>
      <c r="G788" s="4"/>
      <c r="H788" s="4"/>
      <c r="I788" s="4"/>
      <c r="J788" s="4"/>
      <c r="K788" s="4"/>
    </row>
    <row r="789" ht="14.25" customHeight="1">
      <c r="E789" s="4"/>
      <c r="F789" s="4"/>
      <c r="G789" s="4"/>
      <c r="H789" s="4"/>
      <c r="I789" s="4"/>
      <c r="J789" s="4"/>
      <c r="K789" s="4"/>
    </row>
    <row r="790" ht="14.25" customHeight="1">
      <c r="E790" s="4"/>
      <c r="F790" s="4"/>
      <c r="G790" s="4"/>
      <c r="H790" s="4"/>
      <c r="I790" s="4"/>
      <c r="J790" s="4"/>
      <c r="K790" s="4"/>
    </row>
    <row r="791" ht="14.25" customHeight="1">
      <c r="E791" s="4"/>
      <c r="F791" s="4"/>
      <c r="G791" s="4"/>
      <c r="H791" s="4"/>
      <c r="I791" s="4"/>
      <c r="J791" s="4"/>
      <c r="K791" s="4"/>
    </row>
    <row r="792" ht="14.25" customHeight="1">
      <c r="E792" s="4"/>
      <c r="F792" s="4"/>
      <c r="G792" s="4"/>
      <c r="H792" s="4"/>
      <c r="I792" s="4"/>
      <c r="J792" s="4"/>
      <c r="K792" s="4"/>
    </row>
    <row r="793" ht="14.25" customHeight="1">
      <c r="E793" s="4"/>
      <c r="F793" s="4"/>
      <c r="G793" s="4"/>
      <c r="H793" s="4"/>
      <c r="I793" s="4"/>
      <c r="J793" s="4"/>
      <c r="K793" s="4"/>
    </row>
    <row r="794" ht="14.25" customHeight="1">
      <c r="E794" s="4"/>
      <c r="F794" s="4"/>
      <c r="G794" s="4"/>
      <c r="H794" s="4"/>
      <c r="I794" s="4"/>
      <c r="J794" s="4"/>
      <c r="K794" s="4"/>
    </row>
    <row r="795" ht="14.25" customHeight="1">
      <c r="E795" s="4"/>
      <c r="F795" s="4"/>
      <c r="G795" s="4"/>
      <c r="H795" s="4"/>
      <c r="I795" s="4"/>
      <c r="J795" s="4"/>
      <c r="K795" s="4"/>
    </row>
    <row r="796" ht="14.25" customHeight="1">
      <c r="E796" s="4"/>
      <c r="F796" s="4"/>
      <c r="G796" s="4"/>
      <c r="H796" s="4"/>
      <c r="I796" s="4"/>
      <c r="J796" s="4"/>
      <c r="K796" s="4"/>
    </row>
    <row r="797" ht="14.25" customHeight="1">
      <c r="E797" s="4"/>
      <c r="F797" s="4"/>
      <c r="G797" s="4"/>
      <c r="H797" s="4"/>
      <c r="I797" s="4"/>
      <c r="J797" s="4"/>
      <c r="K797" s="4"/>
    </row>
    <row r="798" ht="14.25" customHeight="1">
      <c r="E798" s="4"/>
      <c r="F798" s="4"/>
      <c r="G798" s="4"/>
      <c r="H798" s="4"/>
      <c r="I798" s="4"/>
      <c r="J798" s="4"/>
      <c r="K798" s="4"/>
    </row>
    <row r="799" ht="14.25" customHeight="1">
      <c r="E799" s="4"/>
      <c r="F799" s="4"/>
      <c r="G799" s="4"/>
      <c r="H799" s="4"/>
      <c r="I799" s="4"/>
      <c r="J799" s="4"/>
      <c r="K799" s="4"/>
    </row>
    <row r="800" ht="14.25" customHeight="1">
      <c r="E800" s="4"/>
      <c r="F800" s="4"/>
      <c r="G800" s="4"/>
      <c r="H800" s="4"/>
      <c r="I800" s="4"/>
      <c r="J800" s="4"/>
      <c r="K800" s="4"/>
    </row>
    <row r="801" ht="14.25" customHeight="1">
      <c r="E801" s="4"/>
      <c r="F801" s="4"/>
      <c r="G801" s="4"/>
      <c r="H801" s="4"/>
      <c r="I801" s="4"/>
      <c r="J801" s="4"/>
      <c r="K801" s="4"/>
    </row>
    <row r="802" ht="14.25" customHeight="1">
      <c r="E802" s="4"/>
      <c r="F802" s="4"/>
      <c r="G802" s="4"/>
      <c r="H802" s="4"/>
      <c r="I802" s="4"/>
      <c r="J802" s="4"/>
      <c r="K802" s="4"/>
    </row>
    <row r="803" ht="14.25" customHeight="1">
      <c r="E803" s="4"/>
      <c r="F803" s="4"/>
      <c r="G803" s="4"/>
      <c r="H803" s="4"/>
      <c r="I803" s="4"/>
      <c r="J803" s="4"/>
      <c r="K803" s="4"/>
    </row>
    <row r="804" ht="14.25" customHeight="1">
      <c r="E804" s="4"/>
      <c r="F804" s="4"/>
      <c r="G804" s="4"/>
      <c r="H804" s="4"/>
      <c r="I804" s="4"/>
      <c r="J804" s="4"/>
      <c r="K804" s="4"/>
    </row>
    <row r="805" ht="14.25" customHeight="1">
      <c r="E805" s="4"/>
      <c r="F805" s="4"/>
      <c r="G805" s="4"/>
      <c r="H805" s="4"/>
      <c r="I805" s="4"/>
      <c r="J805" s="4"/>
      <c r="K805" s="4"/>
    </row>
    <row r="806" ht="14.25" customHeight="1">
      <c r="E806" s="4"/>
      <c r="F806" s="4"/>
      <c r="G806" s="4"/>
      <c r="H806" s="4"/>
      <c r="I806" s="4"/>
      <c r="J806" s="4"/>
      <c r="K806" s="4"/>
    </row>
    <row r="807" ht="14.25" customHeight="1">
      <c r="E807" s="4"/>
      <c r="F807" s="4"/>
      <c r="G807" s="4"/>
      <c r="H807" s="4"/>
      <c r="I807" s="4"/>
      <c r="J807" s="4"/>
      <c r="K807" s="4"/>
    </row>
    <row r="808" ht="14.25" customHeight="1">
      <c r="E808" s="4"/>
      <c r="F808" s="4"/>
      <c r="G808" s="4"/>
      <c r="H808" s="4"/>
      <c r="I808" s="4"/>
      <c r="J808" s="4"/>
      <c r="K808" s="4"/>
    </row>
    <row r="809" ht="14.25" customHeight="1">
      <c r="E809" s="4"/>
      <c r="F809" s="4"/>
      <c r="G809" s="4"/>
      <c r="H809" s="4"/>
      <c r="I809" s="4"/>
      <c r="J809" s="4"/>
      <c r="K809" s="4"/>
    </row>
    <row r="810" ht="14.25" customHeight="1">
      <c r="E810" s="4"/>
      <c r="F810" s="4"/>
      <c r="G810" s="4"/>
      <c r="H810" s="4"/>
      <c r="I810" s="4"/>
      <c r="J810" s="4"/>
      <c r="K810" s="4"/>
    </row>
    <row r="811" ht="14.25" customHeight="1">
      <c r="E811" s="4"/>
      <c r="F811" s="4"/>
      <c r="G811" s="4"/>
      <c r="H811" s="4"/>
      <c r="I811" s="4"/>
      <c r="J811" s="4"/>
      <c r="K811" s="4"/>
    </row>
    <row r="812" ht="14.25" customHeight="1">
      <c r="E812" s="4"/>
      <c r="F812" s="4"/>
      <c r="G812" s="4"/>
      <c r="H812" s="4"/>
      <c r="I812" s="4"/>
      <c r="J812" s="4"/>
      <c r="K812" s="4"/>
    </row>
    <row r="813" ht="14.25" customHeight="1">
      <c r="E813" s="4"/>
      <c r="F813" s="4"/>
      <c r="G813" s="4"/>
      <c r="H813" s="4"/>
      <c r="I813" s="4"/>
      <c r="J813" s="4"/>
      <c r="K813" s="4"/>
    </row>
    <row r="814" ht="14.25" customHeight="1">
      <c r="E814" s="4"/>
      <c r="F814" s="4"/>
      <c r="G814" s="4"/>
      <c r="H814" s="4"/>
      <c r="I814" s="4"/>
      <c r="J814" s="4"/>
      <c r="K814" s="4"/>
    </row>
    <row r="815" ht="14.25" customHeight="1">
      <c r="E815" s="4"/>
      <c r="F815" s="4"/>
      <c r="G815" s="4"/>
      <c r="H815" s="4"/>
      <c r="I815" s="4"/>
      <c r="J815" s="4"/>
      <c r="K815" s="4"/>
    </row>
    <row r="816" ht="14.25" customHeight="1">
      <c r="E816" s="4"/>
      <c r="F816" s="4"/>
      <c r="G816" s="4"/>
      <c r="H816" s="4"/>
      <c r="I816" s="4"/>
      <c r="J816" s="4"/>
      <c r="K816" s="4"/>
    </row>
    <row r="817" ht="14.25" customHeight="1">
      <c r="E817" s="4"/>
      <c r="F817" s="4"/>
      <c r="G817" s="4"/>
      <c r="H817" s="4"/>
      <c r="I817" s="4"/>
      <c r="J817" s="4"/>
      <c r="K817" s="4"/>
    </row>
    <row r="818" ht="14.25" customHeight="1">
      <c r="E818" s="4"/>
      <c r="F818" s="4"/>
      <c r="G818" s="4"/>
      <c r="H818" s="4"/>
      <c r="I818" s="4"/>
      <c r="J818" s="4"/>
      <c r="K818" s="4"/>
    </row>
    <row r="819" ht="14.25" customHeight="1">
      <c r="E819" s="4"/>
      <c r="F819" s="4"/>
      <c r="G819" s="4"/>
      <c r="H819" s="4"/>
      <c r="I819" s="4"/>
      <c r="J819" s="4"/>
      <c r="K819" s="4"/>
    </row>
    <row r="820" ht="14.25" customHeight="1">
      <c r="E820" s="4"/>
      <c r="F820" s="4"/>
      <c r="G820" s="4"/>
      <c r="H820" s="4"/>
      <c r="I820" s="4"/>
      <c r="J820" s="4"/>
      <c r="K820" s="4"/>
    </row>
    <row r="821" ht="14.25" customHeight="1">
      <c r="E821" s="4"/>
      <c r="F821" s="4"/>
      <c r="G821" s="4"/>
      <c r="H821" s="4"/>
      <c r="I821" s="4"/>
      <c r="J821" s="4"/>
      <c r="K821" s="4"/>
    </row>
    <row r="822" ht="14.25" customHeight="1">
      <c r="E822" s="4"/>
      <c r="F822" s="4"/>
      <c r="G822" s="4"/>
      <c r="H822" s="4"/>
      <c r="I822" s="4"/>
      <c r="J822" s="4"/>
      <c r="K822" s="4"/>
    </row>
    <row r="823" ht="14.25" customHeight="1">
      <c r="E823" s="4"/>
      <c r="F823" s="4"/>
      <c r="G823" s="4"/>
      <c r="H823" s="4"/>
      <c r="I823" s="4"/>
      <c r="J823" s="4"/>
      <c r="K823" s="4"/>
    </row>
    <row r="824" ht="14.25" customHeight="1">
      <c r="E824" s="4"/>
      <c r="F824" s="4"/>
      <c r="G824" s="4"/>
      <c r="H824" s="4"/>
      <c r="I824" s="4"/>
      <c r="J824" s="4"/>
      <c r="K824" s="4"/>
    </row>
    <row r="825" ht="14.25" customHeight="1">
      <c r="E825" s="4"/>
      <c r="F825" s="4"/>
      <c r="G825" s="4"/>
      <c r="H825" s="4"/>
      <c r="I825" s="4"/>
      <c r="J825" s="4"/>
      <c r="K825" s="4"/>
    </row>
    <row r="826" ht="14.25" customHeight="1">
      <c r="E826" s="4"/>
      <c r="F826" s="4"/>
      <c r="G826" s="4"/>
      <c r="H826" s="4"/>
      <c r="I826" s="4"/>
      <c r="J826" s="4"/>
      <c r="K826" s="4"/>
    </row>
    <row r="827" ht="14.25" customHeight="1">
      <c r="E827" s="4"/>
      <c r="F827" s="4"/>
      <c r="G827" s="4"/>
      <c r="H827" s="4"/>
      <c r="I827" s="4"/>
      <c r="J827" s="4"/>
      <c r="K827" s="4"/>
    </row>
    <row r="828" ht="14.25" customHeight="1">
      <c r="E828" s="4"/>
      <c r="F828" s="4"/>
      <c r="G828" s="4"/>
      <c r="H828" s="4"/>
      <c r="I828" s="4"/>
      <c r="J828" s="4"/>
      <c r="K828" s="4"/>
    </row>
    <row r="829" ht="14.25" customHeight="1">
      <c r="E829" s="4"/>
      <c r="F829" s="4"/>
      <c r="G829" s="4"/>
      <c r="H829" s="4"/>
      <c r="I829" s="4"/>
      <c r="J829" s="4"/>
      <c r="K829" s="4"/>
    </row>
    <row r="830" ht="14.25" customHeight="1">
      <c r="E830" s="4"/>
      <c r="F830" s="4"/>
      <c r="G830" s="4"/>
      <c r="H830" s="4"/>
      <c r="I830" s="4"/>
      <c r="J830" s="4"/>
      <c r="K830" s="4"/>
    </row>
    <row r="831" ht="14.25" customHeight="1">
      <c r="E831" s="4"/>
      <c r="F831" s="4"/>
      <c r="G831" s="4"/>
      <c r="H831" s="4"/>
      <c r="I831" s="4"/>
      <c r="J831" s="4"/>
      <c r="K831" s="4"/>
    </row>
    <row r="832" ht="14.25" customHeight="1">
      <c r="E832" s="4"/>
      <c r="F832" s="4"/>
      <c r="G832" s="4"/>
      <c r="H832" s="4"/>
      <c r="I832" s="4"/>
      <c r="J832" s="4"/>
      <c r="K832" s="4"/>
    </row>
    <row r="833" ht="14.25" customHeight="1">
      <c r="E833" s="4"/>
      <c r="F833" s="4"/>
      <c r="G833" s="4"/>
      <c r="H833" s="4"/>
      <c r="I833" s="4"/>
      <c r="J833" s="4"/>
      <c r="K833" s="4"/>
    </row>
    <row r="834" ht="14.25" customHeight="1">
      <c r="E834" s="4"/>
      <c r="F834" s="4"/>
      <c r="G834" s="4"/>
      <c r="H834" s="4"/>
      <c r="I834" s="4"/>
      <c r="J834" s="4"/>
      <c r="K834" s="4"/>
    </row>
    <row r="835" ht="14.25" customHeight="1">
      <c r="E835" s="4"/>
      <c r="F835" s="4"/>
      <c r="G835" s="4"/>
      <c r="H835" s="4"/>
      <c r="I835" s="4"/>
      <c r="J835" s="4"/>
      <c r="K835" s="4"/>
    </row>
    <row r="836" ht="14.25" customHeight="1">
      <c r="E836" s="4"/>
      <c r="F836" s="4"/>
      <c r="G836" s="4"/>
      <c r="H836" s="4"/>
      <c r="I836" s="4"/>
      <c r="J836" s="4"/>
      <c r="K836" s="4"/>
    </row>
    <row r="837" ht="14.25" customHeight="1">
      <c r="E837" s="4"/>
      <c r="F837" s="4"/>
      <c r="G837" s="4"/>
      <c r="H837" s="4"/>
      <c r="I837" s="4"/>
      <c r="J837" s="4"/>
      <c r="K837" s="4"/>
    </row>
    <row r="838" ht="14.25" customHeight="1">
      <c r="E838" s="4"/>
      <c r="F838" s="4"/>
      <c r="G838" s="4"/>
      <c r="H838" s="4"/>
      <c r="I838" s="4"/>
      <c r="J838" s="4"/>
      <c r="K838" s="4"/>
    </row>
    <row r="839" ht="14.25" customHeight="1">
      <c r="E839" s="4"/>
      <c r="F839" s="4"/>
      <c r="G839" s="4"/>
      <c r="H839" s="4"/>
      <c r="I839" s="4"/>
      <c r="J839" s="4"/>
      <c r="K839" s="4"/>
    </row>
    <row r="840" ht="14.25" customHeight="1">
      <c r="E840" s="4"/>
      <c r="F840" s="4"/>
      <c r="G840" s="4"/>
      <c r="H840" s="4"/>
      <c r="I840" s="4"/>
      <c r="J840" s="4"/>
      <c r="K840" s="4"/>
    </row>
    <row r="841" ht="14.25" customHeight="1">
      <c r="E841" s="4"/>
      <c r="F841" s="4"/>
      <c r="G841" s="4"/>
      <c r="H841" s="4"/>
      <c r="I841" s="4"/>
      <c r="J841" s="4"/>
      <c r="K841" s="4"/>
    </row>
    <row r="842" ht="14.25" customHeight="1">
      <c r="E842" s="4"/>
      <c r="F842" s="4"/>
      <c r="G842" s="4"/>
      <c r="H842" s="4"/>
      <c r="I842" s="4"/>
      <c r="J842" s="4"/>
      <c r="K842" s="4"/>
    </row>
    <row r="843" ht="14.25" customHeight="1">
      <c r="E843" s="4"/>
      <c r="F843" s="4"/>
      <c r="G843" s="4"/>
      <c r="H843" s="4"/>
      <c r="I843" s="4"/>
      <c r="J843" s="4"/>
      <c r="K843" s="4"/>
    </row>
    <row r="844" ht="14.25" customHeight="1">
      <c r="E844" s="4"/>
      <c r="F844" s="4"/>
      <c r="G844" s="4"/>
      <c r="H844" s="4"/>
      <c r="I844" s="4"/>
      <c r="J844" s="4"/>
      <c r="K844" s="4"/>
    </row>
    <row r="845" ht="14.25" customHeight="1">
      <c r="E845" s="4"/>
      <c r="F845" s="4"/>
      <c r="G845" s="4"/>
      <c r="H845" s="4"/>
      <c r="I845" s="4"/>
      <c r="J845" s="4"/>
      <c r="K845" s="4"/>
    </row>
    <row r="846" ht="14.25" customHeight="1">
      <c r="E846" s="4"/>
      <c r="F846" s="4"/>
      <c r="G846" s="4"/>
      <c r="H846" s="4"/>
      <c r="I846" s="4"/>
      <c r="J846" s="4"/>
      <c r="K846" s="4"/>
    </row>
    <row r="847" ht="14.25" customHeight="1">
      <c r="E847" s="4"/>
      <c r="F847" s="4"/>
      <c r="G847" s="4"/>
      <c r="H847" s="4"/>
      <c r="I847" s="4"/>
      <c r="J847" s="4"/>
      <c r="K847" s="4"/>
    </row>
    <row r="848" ht="14.25" customHeight="1">
      <c r="E848" s="4"/>
      <c r="F848" s="4"/>
      <c r="G848" s="4"/>
      <c r="H848" s="4"/>
      <c r="I848" s="4"/>
      <c r="J848" s="4"/>
      <c r="K848" s="4"/>
    </row>
    <row r="849" ht="14.25" customHeight="1">
      <c r="E849" s="4"/>
      <c r="F849" s="4"/>
      <c r="G849" s="4"/>
      <c r="H849" s="4"/>
      <c r="I849" s="4"/>
      <c r="J849" s="4"/>
      <c r="K849" s="4"/>
    </row>
    <row r="850" ht="14.25" customHeight="1">
      <c r="E850" s="4"/>
      <c r="F850" s="4"/>
      <c r="G850" s="4"/>
      <c r="H850" s="4"/>
      <c r="I850" s="4"/>
      <c r="J850" s="4"/>
      <c r="K850" s="4"/>
    </row>
    <row r="851" ht="14.25" customHeight="1">
      <c r="E851" s="4"/>
      <c r="F851" s="4"/>
      <c r="G851" s="4"/>
      <c r="H851" s="4"/>
      <c r="I851" s="4"/>
      <c r="J851" s="4"/>
      <c r="K851" s="4"/>
    </row>
    <row r="852" ht="14.25" customHeight="1">
      <c r="E852" s="4"/>
      <c r="F852" s="4"/>
      <c r="G852" s="4"/>
      <c r="H852" s="4"/>
      <c r="I852" s="4"/>
      <c r="J852" s="4"/>
      <c r="K852" s="4"/>
    </row>
    <row r="853" ht="14.25" customHeight="1">
      <c r="E853" s="4"/>
      <c r="F853" s="4"/>
      <c r="G853" s="4"/>
      <c r="H853" s="4"/>
      <c r="I853" s="4"/>
      <c r="J853" s="4"/>
      <c r="K853" s="4"/>
    </row>
    <row r="854" ht="14.25" customHeight="1">
      <c r="E854" s="4"/>
      <c r="F854" s="4"/>
      <c r="G854" s="4"/>
      <c r="H854" s="4"/>
      <c r="I854" s="4"/>
      <c r="J854" s="4"/>
      <c r="K854" s="4"/>
    </row>
    <row r="855" ht="14.25" customHeight="1">
      <c r="E855" s="4"/>
      <c r="F855" s="4"/>
      <c r="G855" s="4"/>
      <c r="H855" s="4"/>
      <c r="I855" s="4"/>
      <c r="J855" s="4"/>
      <c r="K855" s="4"/>
    </row>
    <row r="856" ht="14.25" customHeight="1">
      <c r="E856" s="4"/>
      <c r="F856" s="4"/>
      <c r="G856" s="4"/>
      <c r="H856" s="4"/>
      <c r="I856" s="4"/>
      <c r="J856" s="4"/>
      <c r="K856" s="4"/>
    </row>
    <row r="857" ht="14.25" customHeight="1">
      <c r="E857" s="4"/>
      <c r="F857" s="4"/>
      <c r="G857" s="4"/>
      <c r="H857" s="4"/>
      <c r="I857" s="4"/>
      <c r="J857" s="4"/>
      <c r="K857" s="4"/>
    </row>
    <row r="858" ht="14.25" customHeight="1">
      <c r="E858" s="4"/>
      <c r="F858" s="4"/>
      <c r="G858" s="4"/>
      <c r="H858" s="4"/>
      <c r="I858" s="4"/>
      <c r="J858" s="4"/>
      <c r="K858" s="4"/>
    </row>
    <row r="859" ht="14.25" customHeight="1">
      <c r="E859" s="4"/>
      <c r="F859" s="4"/>
      <c r="G859" s="4"/>
      <c r="H859" s="4"/>
      <c r="I859" s="4"/>
      <c r="J859" s="4"/>
      <c r="K859" s="4"/>
    </row>
    <row r="860" ht="14.25" customHeight="1">
      <c r="E860" s="4"/>
      <c r="F860" s="4"/>
      <c r="G860" s="4"/>
      <c r="H860" s="4"/>
      <c r="I860" s="4"/>
      <c r="J860" s="4"/>
      <c r="K860" s="4"/>
    </row>
    <row r="861" ht="14.25" customHeight="1">
      <c r="E861" s="4"/>
      <c r="F861" s="4"/>
      <c r="G861" s="4"/>
      <c r="H861" s="4"/>
      <c r="I861" s="4"/>
      <c r="J861" s="4"/>
      <c r="K861" s="4"/>
    </row>
    <row r="862" ht="14.25" customHeight="1">
      <c r="E862" s="4"/>
      <c r="F862" s="4"/>
      <c r="G862" s="4"/>
      <c r="H862" s="4"/>
      <c r="I862" s="4"/>
      <c r="J862" s="4"/>
      <c r="K862" s="4"/>
    </row>
    <row r="863" ht="14.25" customHeight="1">
      <c r="E863" s="4"/>
      <c r="F863" s="4"/>
      <c r="G863" s="4"/>
      <c r="H863" s="4"/>
      <c r="I863" s="4"/>
      <c r="J863" s="4"/>
      <c r="K863" s="4"/>
    </row>
    <row r="864" ht="14.25" customHeight="1">
      <c r="E864" s="4"/>
      <c r="F864" s="4"/>
      <c r="G864" s="4"/>
      <c r="H864" s="4"/>
      <c r="I864" s="4"/>
      <c r="J864" s="4"/>
      <c r="K864" s="4"/>
    </row>
    <row r="865" ht="14.25" customHeight="1">
      <c r="E865" s="4"/>
      <c r="F865" s="4"/>
      <c r="G865" s="4"/>
      <c r="H865" s="4"/>
      <c r="I865" s="4"/>
      <c r="J865" s="4"/>
      <c r="K865" s="4"/>
    </row>
    <row r="866" ht="14.25" customHeight="1">
      <c r="E866" s="4"/>
      <c r="F866" s="4"/>
      <c r="G866" s="4"/>
      <c r="H866" s="4"/>
      <c r="I866" s="4"/>
      <c r="J866" s="4"/>
      <c r="K866" s="4"/>
    </row>
    <row r="867" ht="14.25" customHeight="1">
      <c r="E867" s="4"/>
      <c r="F867" s="4"/>
      <c r="G867" s="4"/>
      <c r="H867" s="4"/>
      <c r="I867" s="4"/>
      <c r="J867" s="4"/>
      <c r="K867" s="4"/>
    </row>
    <row r="868" ht="14.25" customHeight="1">
      <c r="E868" s="4"/>
      <c r="F868" s="4"/>
      <c r="G868" s="4"/>
      <c r="H868" s="4"/>
      <c r="I868" s="4"/>
      <c r="J868" s="4"/>
      <c r="K868" s="4"/>
    </row>
    <row r="869" ht="14.25" customHeight="1">
      <c r="E869" s="4"/>
      <c r="F869" s="4"/>
      <c r="G869" s="4"/>
      <c r="H869" s="4"/>
      <c r="I869" s="4"/>
      <c r="J869" s="4"/>
      <c r="K869" s="4"/>
    </row>
    <row r="870" ht="14.25" customHeight="1">
      <c r="E870" s="4"/>
      <c r="F870" s="4"/>
      <c r="G870" s="4"/>
      <c r="H870" s="4"/>
      <c r="I870" s="4"/>
      <c r="J870" s="4"/>
      <c r="K870" s="4"/>
    </row>
    <row r="871" ht="14.25" customHeight="1">
      <c r="E871" s="4"/>
      <c r="F871" s="4"/>
      <c r="G871" s="4"/>
      <c r="H871" s="4"/>
      <c r="I871" s="4"/>
      <c r="J871" s="4"/>
      <c r="K871" s="4"/>
    </row>
    <row r="872" ht="14.25" customHeight="1">
      <c r="E872" s="4"/>
      <c r="F872" s="4"/>
      <c r="G872" s="4"/>
      <c r="H872" s="4"/>
      <c r="I872" s="4"/>
      <c r="J872" s="4"/>
      <c r="K872" s="4"/>
    </row>
    <row r="873" ht="14.25" customHeight="1">
      <c r="E873" s="4"/>
      <c r="F873" s="4"/>
      <c r="G873" s="4"/>
      <c r="H873" s="4"/>
      <c r="I873" s="4"/>
      <c r="J873" s="4"/>
      <c r="K873" s="4"/>
    </row>
    <row r="874" ht="14.25" customHeight="1">
      <c r="E874" s="4"/>
      <c r="F874" s="4"/>
      <c r="G874" s="4"/>
      <c r="H874" s="4"/>
      <c r="I874" s="4"/>
      <c r="J874" s="4"/>
      <c r="K874" s="4"/>
    </row>
    <row r="875" ht="14.25" customHeight="1">
      <c r="E875" s="4"/>
      <c r="F875" s="4"/>
      <c r="G875" s="4"/>
      <c r="H875" s="4"/>
      <c r="I875" s="4"/>
      <c r="J875" s="4"/>
      <c r="K875" s="4"/>
    </row>
    <row r="876" ht="14.25" customHeight="1">
      <c r="E876" s="4"/>
      <c r="F876" s="4"/>
      <c r="G876" s="4"/>
      <c r="H876" s="4"/>
      <c r="I876" s="4"/>
      <c r="J876" s="4"/>
      <c r="K876" s="4"/>
    </row>
    <row r="877" ht="14.25" customHeight="1">
      <c r="E877" s="4"/>
      <c r="F877" s="4"/>
      <c r="G877" s="4"/>
      <c r="H877" s="4"/>
      <c r="I877" s="4"/>
      <c r="J877" s="4"/>
      <c r="K877" s="4"/>
    </row>
    <row r="878" ht="14.25" customHeight="1">
      <c r="E878" s="4"/>
      <c r="F878" s="4"/>
      <c r="G878" s="4"/>
      <c r="H878" s="4"/>
      <c r="I878" s="4"/>
      <c r="J878" s="4"/>
      <c r="K878" s="4"/>
    </row>
    <row r="879" ht="14.25" customHeight="1">
      <c r="E879" s="4"/>
      <c r="F879" s="4"/>
      <c r="G879" s="4"/>
      <c r="H879" s="4"/>
      <c r="I879" s="4"/>
      <c r="J879" s="4"/>
      <c r="K879" s="4"/>
    </row>
    <row r="880" ht="14.25" customHeight="1">
      <c r="E880" s="4"/>
      <c r="F880" s="4"/>
      <c r="G880" s="4"/>
      <c r="H880" s="4"/>
      <c r="I880" s="4"/>
      <c r="J880" s="4"/>
      <c r="K880" s="4"/>
    </row>
    <row r="881" ht="14.25" customHeight="1">
      <c r="E881" s="4"/>
      <c r="F881" s="4"/>
      <c r="G881" s="4"/>
      <c r="H881" s="4"/>
      <c r="I881" s="4"/>
      <c r="J881" s="4"/>
      <c r="K881" s="4"/>
    </row>
    <row r="882" ht="14.25" customHeight="1">
      <c r="E882" s="4"/>
      <c r="F882" s="4"/>
      <c r="G882" s="4"/>
      <c r="H882" s="4"/>
      <c r="I882" s="4"/>
      <c r="J882" s="4"/>
      <c r="K882" s="4"/>
    </row>
    <row r="883" ht="14.25" customHeight="1">
      <c r="E883" s="4"/>
      <c r="F883" s="4"/>
      <c r="G883" s="4"/>
      <c r="H883" s="4"/>
      <c r="I883" s="4"/>
      <c r="J883" s="4"/>
      <c r="K883" s="4"/>
    </row>
    <row r="884" ht="14.25" customHeight="1">
      <c r="E884" s="4"/>
      <c r="F884" s="4"/>
      <c r="G884" s="4"/>
      <c r="H884" s="4"/>
      <c r="I884" s="4"/>
      <c r="J884" s="4"/>
      <c r="K884" s="4"/>
    </row>
    <row r="885" ht="14.25" customHeight="1">
      <c r="E885" s="4"/>
      <c r="F885" s="4"/>
      <c r="G885" s="4"/>
      <c r="H885" s="4"/>
      <c r="I885" s="4"/>
      <c r="J885" s="4"/>
      <c r="K885" s="4"/>
    </row>
    <row r="886" ht="14.25" customHeight="1">
      <c r="E886" s="4"/>
      <c r="F886" s="4"/>
      <c r="G886" s="4"/>
      <c r="H886" s="4"/>
      <c r="I886" s="4"/>
      <c r="J886" s="4"/>
      <c r="K886" s="4"/>
    </row>
    <row r="887" ht="14.25" customHeight="1">
      <c r="E887" s="4"/>
      <c r="F887" s="4"/>
      <c r="G887" s="4"/>
      <c r="H887" s="4"/>
      <c r="I887" s="4"/>
      <c r="J887" s="4"/>
      <c r="K887" s="4"/>
    </row>
    <row r="888" ht="14.25" customHeight="1">
      <c r="E888" s="4"/>
      <c r="F888" s="4"/>
      <c r="G888" s="4"/>
      <c r="H888" s="4"/>
      <c r="I888" s="4"/>
      <c r="J888" s="4"/>
      <c r="K888" s="4"/>
    </row>
    <row r="889" ht="14.25" customHeight="1">
      <c r="E889" s="4"/>
      <c r="F889" s="4"/>
      <c r="G889" s="4"/>
      <c r="H889" s="4"/>
      <c r="I889" s="4"/>
      <c r="J889" s="4"/>
      <c r="K889" s="4"/>
    </row>
    <row r="890" ht="14.25" customHeight="1">
      <c r="E890" s="4"/>
      <c r="F890" s="4"/>
      <c r="G890" s="4"/>
      <c r="H890" s="4"/>
      <c r="I890" s="4"/>
      <c r="J890" s="4"/>
      <c r="K890" s="4"/>
    </row>
    <row r="891" ht="14.25" customHeight="1">
      <c r="E891" s="4"/>
      <c r="F891" s="4"/>
      <c r="G891" s="4"/>
      <c r="H891" s="4"/>
      <c r="I891" s="4"/>
      <c r="J891" s="4"/>
      <c r="K891" s="4"/>
    </row>
    <row r="892" ht="14.25" customHeight="1">
      <c r="E892" s="4"/>
      <c r="F892" s="4"/>
      <c r="G892" s="4"/>
      <c r="H892" s="4"/>
      <c r="I892" s="4"/>
      <c r="J892" s="4"/>
      <c r="K892" s="4"/>
    </row>
    <row r="893" ht="14.25" customHeight="1">
      <c r="E893" s="4"/>
      <c r="F893" s="4"/>
      <c r="G893" s="4"/>
      <c r="H893" s="4"/>
      <c r="I893" s="4"/>
      <c r="J893" s="4"/>
      <c r="K893" s="4"/>
    </row>
    <row r="894" ht="14.25" customHeight="1">
      <c r="E894" s="4"/>
      <c r="F894" s="4"/>
      <c r="G894" s="4"/>
      <c r="H894" s="4"/>
      <c r="I894" s="4"/>
      <c r="J894" s="4"/>
      <c r="K894" s="4"/>
    </row>
    <row r="895" ht="14.25" customHeight="1">
      <c r="E895" s="4"/>
      <c r="F895" s="4"/>
      <c r="G895" s="4"/>
      <c r="H895" s="4"/>
      <c r="I895" s="4"/>
      <c r="J895" s="4"/>
      <c r="K895" s="4"/>
    </row>
    <row r="896" ht="14.25" customHeight="1">
      <c r="E896" s="4"/>
      <c r="F896" s="4"/>
      <c r="G896" s="4"/>
      <c r="H896" s="4"/>
      <c r="I896" s="4"/>
      <c r="J896" s="4"/>
      <c r="K896" s="4"/>
    </row>
    <row r="897" ht="14.25" customHeight="1">
      <c r="E897" s="4"/>
      <c r="F897" s="4"/>
      <c r="G897" s="4"/>
      <c r="H897" s="4"/>
      <c r="I897" s="4"/>
      <c r="J897" s="4"/>
      <c r="K897" s="4"/>
    </row>
    <row r="898" ht="14.25" customHeight="1">
      <c r="E898" s="4"/>
      <c r="F898" s="4"/>
      <c r="G898" s="4"/>
      <c r="H898" s="4"/>
      <c r="I898" s="4"/>
      <c r="J898" s="4"/>
      <c r="K898" s="4"/>
    </row>
    <row r="899" ht="14.25" customHeight="1">
      <c r="E899" s="4"/>
      <c r="F899" s="4"/>
      <c r="G899" s="4"/>
      <c r="H899" s="4"/>
      <c r="I899" s="4"/>
      <c r="J899" s="4"/>
      <c r="K899" s="4"/>
    </row>
    <row r="900" ht="14.25" customHeight="1">
      <c r="E900" s="4"/>
      <c r="F900" s="4"/>
      <c r="G900" s="4"/>
      <c r="H900" s="4"/>
      <c r="I900" s="4"/>
      <c r="J900" s="4"/>
      <c r="K900" s="4"/>
    </row>
    <row r="901" ht="14.25" customHeight="1">
      <c r="E901" s="4"/>
      <c r="F901" s="4"/>
      <c r="G901" s="4"/>
      <c r="H901" s="4"/>
      <c r="I901" s="4"/>
      <c r="J901" s="4"/>
      <c r="K901" s="4"/>
    </row>
    <row r="902" ht="14.25" customHeight="1">
      <c r="E902" s="4"/>
      <c r="F902" s="4"/>
      <c r="G902" s="4"/>
      <c r="H902" s="4"/>
      <c r="I902" s="4"/>
      <c r="J902" s="4"/>
      <c r="K902" s="4"/>
    </row>
    <row r="903" ht="14.25" customHeight="1">
      <c r="E903" s="4"/>
      <c r="F903" s="4"/>
      <c r="G903" s="4"/>
      <c r="H903" s="4"/>
      <c r="I903" s="4"/>
      <c r="J903" s="4"/>
      <c r="K903" s="4"/>
    </row>
    <row r="904" ht="14.25" customHeight="1">
      <c r="E904" s="4"/>
      <c r="F904" s="4"/>
      <c r="G904" s="4"/>
      <c r="H904" s="4"/>
      <c r="I904" s="4"/>
      <c r="J904" s="4"/>
      <c r="K904" s="4"/>
    </row>
    <row r="905" ht="14.25" customHeight="1">
      <c r="E905" s="4"/>
      <c r="F905" s="4"/>
      <c r="G905" s="4"/>
      <c r="H905" s="4"/>
      <c r="I905" s="4"/>
      <c r="J905" s="4"/>
      <c r="K905" s="4"/>
    </row>
    <row r="906" ht="14.25" customHeight="1">
      <c r="E906" s="4"/>
      <c r="F906" s="4"/>
      <c r="G906" s="4"/>
      <c r="H906" s="4"/>
      <c r="I906" s="4"/>
      <c r="J906" s="4"/>
      <c r="K906" s="4"/>
    </row>
    <row r="907" ht="14.25" customHeight="1">
      <c r="E907" s="4"/>
      <c r="F907" s="4"/>
      <c r="G907" s="4"/>
      <c r="H907" s="4"/>
      <c r="I907" s="4"/>
      <c r="J907" s="4"/>
      <c r="K907" s="4"/>
    </row>
    <row r="908" ht="14.25" customHeight="1">
      <c r="E908" s="4"/>
      <c r="F908" s="4"/>
      <c r="G908" s="4"/>
      <c r="H908" s="4"/>
      <c r="I908" s="4"/>
      <c r="J908" s="4"/>
      <c r="K908" s="4"/>
    </row>
    <row r="909" ht="14.25" customHeight="1">
      <c r="E909" s="4"/>
      <c r="F909" s="4"/>
      <c r="G909" s="4"/>
      <c r="H909" s="4"/>
      <c r="I909" s="4"/>
      <c r="J909" s="4"/>
      <c r="K909" s="4"/>
    </row>
    <row r="910" ht="14.25" customHeight="1">
      <c r="E910" s="4"/>
      <c r="F910" s="4"/>
      <c r="G910" s="4"/>
      <c r="H910" s="4"/>
      <c r="I910" s="4"/>
      <c r="J910" s="4"/>
      <c r="K910" s="4"/>
    </row>
    <row r="911" ht="14.25" customHeight="1">
      <c r="E911" s="4"/>
      <c r="F911" s="4"/>
      <c r="G911" s="4"/>
      <c r="H911" s="4"/>
      <c r="I911" s="4"/>
      <c r="J911" s="4"/>
      <c r="K911" s="4"/>
    </row>
    <row r="912" ht="14.25" customHeight="1">
      <c r="E912" s="4"/>
      <c r="F912" s="4"/>
      <c r="G912" s="4"/>
      <c r="H912" s="4"/>
      <c r="I912" s="4"/>
      <c r="J912" s="4"/>
      <c r="K912" s="4"/>
    </row>
    <row r="913" ht="14.25" customHeight="1">
      <c r="E913" s="4"/>
      <c r="F913" s="4"/>
      <c r="G913" s="4"/>
      <c r="H913" s="4"/>
      <c r="I913" s="4"/>
      <c r="J913" s="4"/>
      <c r="K913" s="4"/>
    </row>
    <row r="914" ht="14.25" customHeight="1">
      <c r="E914" s="4"/>
      <c r="F914" s="4"/>
      <c r="G914" s="4"/>
      <c r="H914" s="4"/>
      <c r="I914" s="4"/>
      <c r="J914" s="4"/>
      <c r="K914" s="4"/>
    </row>
    <row r="915" ht="14.25" customHeight="1">
      <c r="E915" s="4"/>
      <c r="F915" s="4"/>
      <c r="G915" s="4"/>
      <c r="H915" s="4"/>
      <c r="I915" s="4"/>
      <c r="J915" s="4"/>
      <c r="K915" s="4"/>
    </row>
    <row r="916" ht="14.25" customHeight="1">
      <c r="E916" s="4"/>
      <c r="F916" s="4"/>
      <c r="G916" s="4"/>
      <c r="H916" s="4"/>
      <c r="I916" s="4"/>
      <c r="J916" s="4"/>
      <c r="K916" s="4"/>
    </row>
    <row r="917" ht="14.25" customHeight="1">
      <c r="E917" s="4"/>
      <c r="F917" s="4"/>
      <c r="G917" s="4"/>
      <c r="H917" s="4"/>
      <c r="I917" s="4"/>
      <c r="J917" s="4"/>
      <c r="K917" s="4"/>
    </row>
    <row r="918" ht="14.25" customHeight="1">
      <c r="E918" s="4"/>
      <c r="F918" s="4"/>
      <c r="G918" s="4"/>
      <c r="H918" s="4"/>
      <c r="I918" s="4"/>
      <c r="J918" s="4"/>
      <c r="K918" s="4"/>
    </row>
    <row r="919" ht="14.25" customHeight="1">
      <c r="E919" s="4"/>
      <c r="F919" s="4"/>
      <c r="G919" s="4"/>
      <c r="H919" s="4"/>
      <c r="I919" s="4"/>
      <c r="J919" s="4"/>
      <c r="K919" s="4"/>
    </row>
    <row r="920" ht="14.25" customHeight="1">
      <c r="E920" s="4"/>
      <c r="F920" s="4"/>
      <c r="G920" s="4"/>
      <c r="H920" s="4"/>
      <c r="I920" s="4"/>
      <c r="J920" s="4"/>
      <c r="K920" s="4"/>
    </row>
    <row r="921" ht="14.25" customHeight="1">
      <c r="E921" s="4"/>
      <c r="F921" s="4"/>
      <c r="G921" s="4"/>
      <c r="H921" s="4"/>
      <c r="I921" s="4"/>
      <c r="J921" s="4"/>
      <c r="K921" s="4"/>
    </row>
    <row r="922" ht="14.25" customHeight="1">
      <c r="E922" s="4"/>
      <c r="F922" s="4"/>
      <c r="G922" s="4"/>
      <c r="H922" s="4"/>
      <c r="I922" s="4"/>
      <c r="J922" s="4"/>
      <c r="K922" s="4"/>
    </row>
    <row r="923" ht="14.25" customHeight="1">
      <c r="E923" s="4"/>
      <c r="F923" s="4"/>
      <c r="G923" s="4"/>
      <c r="H923" s="4"/>
      <c r="I923" s="4"/>
      <c r="J923" s="4"/>
      <c r="K923" s="4"/>
    </row>
    <row r="924" ht="14.25" customHeight="1">
      <c r="E924" s="4"/>
      <c r="F924" s="4"/>
      <c r="G924" s="4"/>
      <c r="H924" s="4"/>
      <c r="I924" s="4"/>
      <c r="J924" s="4"/>
      <c r="K924" s="4"/>
    </row>
    <row r="925" ht="14.25" customHeight="1">
      <c r="E925" s="4"/>
      <c r="F925" s="4"/>
      <c r="G925" s="4"/>
      <c r="H925" s="4"/>
      <c r="I925" s="4"/>
      <c r="J925" s="4"/>
      <c r="K925" s="4"/>
    </row>
    <row r="926" ht="14.25" customHeight="1">
      <c r="E926" s="4"/>
      <c r="F926" s="4"/>
      <c r="G926" s="4"/>
      <c r="H926" s="4"/>
      <c r="I926" s="4"/>
      <c r="J926" s="4"/>
      <c r="K926" s="4"/>
    </row>
    <row r="927" ht="14.25" customHeight="1">
      <c r="E927" s="4"/>
      <c r="F927" s="4"/>
      <c r="G927" s="4"/>
      <c r="H927" s="4"/>
      <c r="I927" s="4"/>
      <c r="J927" s="4"/>
      <c r="K927" s="4"/>
    </row>
    <row r="928" ht="14.25" customHeight="1">
      <c r="E928" s="4"/>
      <c r="F928" s="4"/>
      <c r="G928" s="4"/>
      <c r="H928" s="4"/>
      <c r="I928" s="4"/>
      <c r="J928" s="4"/>
      <c r="K928" s="4"/>
    </row>
    <row r="929" ht="14.25" customHeight="1">
      <c r="E929" s="4"/>
      <c r="F929" s="4"/>
      <c r="G929" s="4"/>
      <c r="H929" s="4"/>
      <c r="I929" s="4"/>
      <c r="J929" s="4"/>
      <c r="K929" s="4"/>
    </row>
    <row r="930" ht="14.25" customHeight="1">
      <c r="E930" s="4"/>
      <c r="F930" s="4"/>
      <c r="G930" s="4"/>
      <c r="H930" s="4"/>
      <c r="I930" s="4"/>
      <c r="J930" s="4"/>
      <c r="K930" s="4"/>
    </row>
    <row r="931" ht="14.25" customHeight="1">
      <c r="E931" s="4"/>
      <c r="F931" s="4"/>
      <c r="G931" s="4"/>
      <c r="H931" s="4"/>
      <c r="I931" s="4"/>
      <c r="J931" s="4"/>
      <c r="K931" s="4"/>
    </row>
    <row r="932" ht="14.25" customHeight="1">
      <c r="E932" s="4"/>
      <c r="F932" s="4"/>
      <c r="G932" s="4"/>
      <c r="H932" s="4"/>
      <c r="I932" s="4"/>
      <c r="J932" s="4"/>
      <c r="K932" s="4"/>
    </row>
    <row r="933" ht="14.25" customHeight="1">
      <c r="E933" s="4"/>
      <c r="F933" s="4"/>
      <c r="G933" s="4"/>
      <c r="H933" s="4"/>
      <c r="I933" s="4"/>
      <c r="J933" s="4"/>
      <c r="K933" s="4"/>
    </row>
    <row r="934" ht="14.25" customHeight="1">
      <c r="E934" s="4"/>
      <c r="F934" s="4"/>
      <c r="G934" s="4"/>
      <c r="H934" s="4"/>
      <c r="I934" s="4"/>
      <c r="J934" s="4"/>
      <c r="K934" s="4"/>
    </row>
    <row r="935" ht="14.25" customHeight="1">
      <c r="E935" s="4"/>
      <c r="F935" s="4"/>
      <c r="G935" s="4"/>
      <c r="H935" s="4"/>
      <c r="I935" s="4"/>
      <c r="J935" s="4"/>
      <c r="K935" s="4"/>
    </row>
    <row r="936" ht="14.25" customHeight="1">
      <c r="E936" s="4"/>
      <c r="F936" s="4"/>
      <c r="G936" s="4"/>
      <c r="H936" s="4"/>
      <c r="I936" s="4"/>
      <c r="J936" s="4"/>
      <c r="K936" s="4"/>
    </row>
    <row r="937" ht="14.25" customHeight="1">
      <c r="E937" s="4"/>
      <c r="F937" s="4"/>
      <c r="G937" s="4"/>
      <c r="H937" s="4"/>
      <c r="I937" s="4"/>
      <c r="J937" s="4"/>
      <c r="K937" s="4"/>
    </row>
    <row r="938" ht="14.25" customHeight="1">
      <c r="E938" s="4"/>
      <c r="F938" s="4"/>
      <c r="G938" s="4"/>
      <c r="H938" s="4"/>
      <c r="I938" s="4"/>
      <c r="J938" s="4"/>
      <c r="K938" s="4"/>
    </row>
    <row r="939" ht="14.25" customHeight="1">
      <c r="E939" s="4"/>
      <c r="F939" s="4"/>
      <c r="G939" s="4"/>
      <c r="H939" s="4"/>
      <c r="I939" s="4"/>
      <c r="J939" s="4"/>
      <c r="K939" s="4"/>
    </row>
    <row r="940" ht="14.25" customHeight="1">
      <c r="E940" s="4"/>
      <c r="F940" s="4"/>
      <c r="G940" s="4"/>
      <c r="H940" s="4"/>
      <c r="I940" s="4"/>
      <c r="J940" s="4"/>
      <c r="K940" s="4"/>
    </row>
    <row r="941" ht="14.25" customHeight="1">
      <c r="E941" s="4"/>
      <c r="F941" s="4"/>
      <c r="G941" s="4"/>
      <c r="H941" s="4"/>
      <c r="I941" s="4"/>
      <c r="J941" s="4"/>
      <c r="K941" s="4"/>
    </row>
    <row r="942" ht="14.25" customHeight="1">
      <c r="E942" s="4"/>
      <c r="F942" s="4"/>
      <c r="G942" s="4"/>
      <c r="H942" s="4"/>
      <c r="I942" s="4"/>
      <c r="J942" s="4"/>
      <c r="K942" s="4"/>
    </row>
    <row r="943" ht="14.25" customHeight="1">
      <c r="E943" s="4"/>
      <c r="F943" s="4"/>
      <c r="G943" s="4"/>
      <c r="H943" s="4"/>
      <c r="I943" s="4"/>
      <c r="J943" s="4"/>
      <c r="K943" s="4"/>
    </row>
    <row r="944" ht="14.25" customHeight="1">
      <c r="E944" s="4"/>
      <c r="F944" s="4"/>
      <c r="G944" s="4"/>
      <c r="H944" s="4"/>
      <c r="I944" s="4"/>
      <c r="J944" s="4"/>
      <c r="K944" s="4"/>
    </row>
    <row r="945" ht="14.25" customHeight="1">
      <c r="E945" s="4"/>
      <c r="F945" s="4"/>
      <c r="G945" s="4"/>
      <c r="H945" s="4"/>
      <c r="I945" s="4"/>
      <c r="J945" s="4"/>
      <c r="K945" s="4"/>
    </row>
    <row r="946" ht="14.25" customHeight="1">
      <c r="E946" s="4"/>
      <c r="F946" s="4"/>
      <c r="G946" s="4"/>
      <c r="H946" s="4"/>
      <c r="I946" s="4"/>
      <c r="J946" s="4"/>
      <c r="K946" s="4"/>
    </row>
    <row r="947" ht="14.25" customHeight="1">
      <c r="E947" s="4"/>
      <c r="F947" s="4"/>
      <c r="G947" s="4"/>
      <c r="H947" s="4"/>
      <c r="I947" s="4"/>
      <c r="J947" s="4"/>
      <c r="K947" s="4"/>
    </row>
    <row r="948" ht="14.25" customHeight="1">
      <c r="E948" s="4"/>
      <c r="F948" s="4"/>
      <c r="G948" s="4"/>
      <c r="H948" s="4"/>
      <c r="I948" s="4"/>
      <c r="J948" s="4"/>
      <c r="K948" s="4"/>
    </row>
    <row r="949" ht="14.25" customHeight="1">
      <c r="E949" s="4"/>
      <c r="F949" s="4"/>
      <c r="G949" s="4"/>
      <c r="H949" s="4"/>
      <c r="I949" s="4"/>
      <c r="J949" s="4"/>
      <c r="K949" s="4"/>
    </row>
    <row r="950" ht="14.25" customHeight="1">
      <c r="E950" s="4"/>
      <c r="F950" s="4"/>
      <c r="G950" s="4"/>
      <c r="H950" s="4"/>
      <c r="I950" s="4"/>
      <c r="J950" s="4"/>
      <c r="K950" s="4"/>
    </row>
    <row r="951" ht="14.25" customHeight="1">
      <c r="E951" s="4"/>
      <c r="F951" s="4"/>
      <c r="G951" s="4"/>
      <c r="H951" s="4"/>
      <c r="I951" s="4"/>
      <c r="J951" s="4"/>
      <c r="K951" s="4"/>
    </row>
    <row r="952" ht="14.25" customHeight="1">
      <c r="E952" s="4"/>
      <c r="F952" s="4"/>
      <c r="G952" s="4"/>
      <c r="H952" s="4"/>
      <c r="I952" s="4"/>
      <c r="J952" s="4"/>
      <c r="K952" s="4"/>
    </row>
    <row r="953" ht="14.25" customHeight="1">
      <c r="E953" s="4"/>
      <c r="F953" s="4"/>
      <c r="G953" s="4"/>
      <c r="H953" s="4"/>
      <c r="I953" s="4"/>
      <c r="J953" s="4"/>
      <c r="K953" s="4"/>
    </row>
    <row r="954" ht="14.25" customHeight="1">
      <c r="E954" s="4"/>
      <c r="F954" s="4"/>
      <c r="G954" s="4"/>
      <c r="H954" s="4"/>
      <c r="I954" s="4"/>
      <c r="J954" s="4"/>
      <c r="K954" s="4"/>
    </row>
    <row r="955" ht="14.25" customHeight="1">
      <c r="E955" s="4"/>
      <c r="F955" s="4"/>
      <c r="G955" s="4"/>
      <c r="H955" s="4"/>
      <c r="I955" s="4"/>
      <c r="J955" s="4"/>
      <c r="K955" s="4"/>
    </row>
    <row r="956" ht="14.25" customHeight="1">
      <c r="E956" s="4"/>
      <c r="F956" s="4"/>
      <c r="G956" s="4"/>
      <c r="H956" s="4"/>
      <c r="I956" s="4"/>
      <c r="J956" s="4"/>
      <c r="K956" s="4"/>
    </row>
    <row r="957" ht="14.25" customHeight="1">
      <c r="E957" s="4"/>
      <c r="F957" s="4"/>
      <c r="G957" s="4"/>
      <c r="H957" s="4"/>
      <c r="I957" s="4"/>
      <c r="J957" s="4"/>
      <c r="K957" s="4"/>
    </row>
    <row r="958" ht="14.25" customHeight="1">
      <c r="E958" s="4"/>
      <c r="F958" s="4"/>
      <c r="G958" s="4"/>
      <c r="H958" s="4"/>
      <c r="I958" s="4"/>
      <c r="J958" s="4"/>
      <c r="K958" s="4"/>
    </row>
    <row r="959" ht="14.25" customHeight="1">
      <c r="E959" s="4"/>
      <c r="F959" s="4"/>
      <c r="G959" s="4"/>
      <c r="H959" s="4"/>
      <c r="I959" s="4"/>
      <c r="J959" s="4"/>
      <c r="K959" s="4"/>
    </row>
    <row r="960" ht="14.25" customHeight="1">
      <c r="E960" s="4"/>
      <c r="F960" s="4"/>
      <c r="G960" s="4"/>
      <c r="H960" s="4"/>
      <c r="I960" s="4"/>
      <c r="J960" s="4"/>
      <c r="K960" s="4"/>
    </row>
    <row r="961" ht="14.25" customHeight="1">
      <c r="E961" s="4"/>
      <c r="F961" s="4"/>
      <c r="G961" s="4"/>
      <c r="H961" s="4"/>
      <c r="I961" s="4"/>
      <c r="J961" s="4"/>
      <c r="K961" s="4"/>
    </row>
    <row r="962" ht="14.25" customHeight="1">
      <c r="E962" s="4"/>
      <c r="F962" s="4"/>
      <c r="G962" s="4"/>
      <c r="H962" s="4"/>
      <c r="I962" s="4"/>
      <c r="J962" s="4"/>
      <c r="K962" s="4"/>
    </row>
    <row r="963" ht="14.25" customHeight="1">
      <c r="E963" s="4"/>
      <c r="F963" s="4"/>
      <c r="G963" s="4"/>
      <c r="H963" s="4"/>
      <c r="I963" s="4"/>
      <c r="J963" s="4"/>
      <c r="K963" s="4"/>
    </row>
    <row r="964" ht="14.25" customHeight="1">
      <c r="E964" s="4"/>
      <c r="F964" s="4"/>
      <c r="G964" s="4"/>
      <c r="H964" s="4"/>
      <c r="I964" s="4"/>
      <c r="J964" s="4"/>
      <c r="K964" s="4"/>
    </row>
    <row r="965" ht="14.25" customHeight="1">
      <c r="E965" s="4"/>
      <c r="F965" s="4"/>
      <c r="G965" s="4"/>
      <c r="H965" s="4"/>
      <c r="I965" s="4"/>
      <c r="J965" s="4"/>
      <c r="K965" s="4"/>
    </row>
    <row r="966" ht="14.25" customHeight="1">
      <c r="E966" s="4"/>
      <c r="F966" s="4"/>
      <c r="G966" s="4"/>
      <c r="H966" s="4"/>
      <c r="I966" s="4"/>
      <c r="J966" s="4"/>
      <c r="K966" s="4"/>
    </row>
    <row r="967" ht="14.25" customHeight="1">
      <c r="E967" s="4"/>
      <c r="F967" s="4"/>
      <c r="G967" s="4"/>
      <c r="H967" s="4"/>
      <c r="I967" s="4"/>
      <c r="J967" s="4"/>
      <c r="K967" s="4"/>
    </row>
    <row r="968" ht="14.25" customHeight="1">
      <c r="E968" s="4"/>
      <c r="F968" s="4"/>
      <c r="G968" s="4"/>
      <c r="H968" s="4"/>
      <c r="I968" s="4"/>
      <c r="J968" s="4"/>
      <c r="K968" s="4"/>
    </row>
    <row r="969" ht="14.25" customHeight="1">
      <c r="E969" s="4"/>
      <c r="F969" s="4"/>
      <c r="G969" s="4"/>
      <c r="H969" s="4"/>
      <c r="I969" s="4"/>
      <c r="J969" s="4"/>
      <c r="K969" s="4"/>
    </row>
    <row r="970" ht="14.25" customHeight="1">
      <c r="E970" s="4"/>
      <c r="F970" s="4"/>
      <c r="G970" s="4"/>
      <c r="H970" s="4"/>
      <c r="I970" s="4"/>
      <c r="J970" s="4"/>
      <c r="K970" s="4"/>
    </row>
    <row r="971" ht="14.25" customHeight="1">
      <c r="E971" s="4"/>
      <c r="F971" s="4"/>
      <c r="G971" s="4"/>
      <c r="H971" s="4"/>
      <c r="I971" s="4"/>
      <c r="J971" s="4"/>
      <c r="K971" s="4"/>
    </row>
    <row r="972" ht="14.25" customHeight="1">
      <c r="E972" s="4"/>
      <c r="F972" s="4"/>
      <c r="G972" s="4"/>
      <c r="H972" s="4"/>
      <c r="I972" s="4"/>
      <c r="J972" s="4"/>
      <c r="K972" s="4"/>
    </row>
    <row r="973" ht="14.25" customHeight="1">
      <c r="E973" s="4"/>
      <c r="F973" s="4"/>
      <c r="G973" s="4"/>
      <c r="H973" s="4"/>
      <c r="I973" s="4"/>
      <c r="J973" s="4"/>
      <c r="K973" s="4"/>
    </row>
    <row r="974" ht="14.25" customHeight="1">
      <c r="E974" s="4"/>
      <c r="F974" s="4"/>
      <c r="G974" s="4"/>
      <c r="H974" s="4"/>
      <c r="I974" s="4"/>
      <c r="J974" s="4"/>
      <c r="K974" s="4"/>
    </row>
    <row r="975" ht="14.25" customHeight="1">
      <c r="E975" s="4"/>
      <c r="F975" s="4"/>
      <c r="G975" s="4"/>
      <c r="H975" s="4"/>
      <c r="I975" s="4"/>
      <c r="J975" s="4"/>
      <c r="K975" s="4"/>
    </row>
    <row r="976" ht="14.25" customHeight="1">
      <c r="E976" s="4"/>
      <c r="F976" s="4"/>
      <c r="G976" s="4"/>
      <c r="H976" s="4"/>
      <c r="I976" s="4"/>
      <c r="J976" s="4"/>
      <c r="K976" s="4"/>
    </row>
    <row r="977" ht="14.25" customHeight="1">
      <c r="E977" s="4"/>
      <c r="F977" s="4"/>
      <c r="G977" s="4"/>
      <c r="H977" s="4"/>
      <c r="I977" s="4"/>
      <c r="J977" s="4"/>
      <c r="K977" s="4"/>
    </row>
    <row r="978" ht="14.25" customHeight="1">
      <c r="E978" s="4"/>
      <c r="F978" s="4"/>
      <c r="G978" s="4"/>
      <c r="H978" s="4"/>
      <c r="I978" s="4"/>
      <c r="J978" s="4"/>
      <c r="K978" s="4"/>
    </row>
    <row r="979" ht="14.25" customHeight="1">
      <c r="E979" s="4"/>
      <c r="F979" s="4"/>
      <c r="G979" s="4"/>
      <c r="H979" s="4"/>
      <c r="I979" s="4"/>
      <c r="J979" s="4"/>
      <c r="K979" s="4"/>
    </row>
    <row r="980" ht="14.25" customHeight="1">
      <c r="E980" s="4"/>
      <c r="F980" s="4"/>
      <c r="G980" s="4"/>
      <c r="H980" s="4"/>
      <c r="I980" s="4"/>
      <c r="J980" s="4"/>
      <c r="K980" s="4"/>
    </row>
    <row r="981" ht="14.25" customHeight="1">
      <c r="E981" s="4"/>
      <c r="F981" s="4"/>
      <c r="G981" s="4"/>
      <c r="H981" s="4"/>
      <c r="I981" s="4"/>
      <c r="J981" s="4"/>
      <c r="K981" s="4"/>
    </row>
    <row r="982" ht="14.25" customHeight="1">
      <c r="E982" s="4"/>
      <c r="F982" s="4"/>
      <c r="G982" s="4"/>
      <c r="H982" s="4"/>
      <c r="I982" s="4"/>
      <c r="J982" s="4"/>
      <c r="K982" s="4"/>
    </row>
    <row r="983" ht="14.25" customHeight="1">
      <c r="E983" s="4"/>
      <c r="F983" s="4"/>
      <c r="G983" s="4"/>
      <c r="H983" s="4"/>
      <c r="I983" s="4"/>
      <c r="J983" s="4"/>
      <c r="K983" s="4"/>
    </row>
    <row r="984" ht="14.25" customHeight="1">
      <c r="E984" s="4"/>
      <c r="F984" s="4"/>
      <c r="G984" s="4"/>
      <c r="H984" s="4"/>
      <c r="I984" s="4"/>
      <c r="J984" s="4"/>
      <c r="K984" s="4"/>
    </row>
    <row r="985" ht="14.25" customHeight="1">
      <c r="E985" s="4"/>
      <c r="F985" s="4"/>
      <c r="G985" s="4"/>
      <c r="H985" s="4"/>
      <c r="I985" s="4"/>
      <c r="J985" s="4"/>
      <c r="K985" s="4"/>
    </row>
    <row r="986" ht="14.25" customHeight="1">
      <c r="E986" s="4"/>
      <c r="F986" s="4"/>
      <c r="G986" s="4"/>
      <c r="H986" s="4"/>
      <c r="I986" s="4"/>
      <c r="J986" s="4"/>
      <c r="K986" s="4"/>
    </row>
    <row r="987" ht="14.25" customHeight="1">
      <c r="E987" s="4"/>
      <c r="F987" s="4"/>
      <c r="G987" s="4"/>
      <c r="H987" s="4"/>
      <c r="I987" s="4"/>
      <c r="J987" s="4"/>
      <c r="K987" s="4"/>
    </row>
    <row r="988" ht="14.25" customHeight="1">
      <c r="E988" s="4"/>
      <c r="F988" s="4"/>
      <c r="G988" s="4"/>
      <c r="H988" s="4"/>
      <c r="I988" s="4"/>
      <c r="J988" s="4"/>
      <c r="K988" s="4"/>
    </row>
    <row r="989" ht="14.25" customHeight="1">
      <c r="E989" s="4"/>
      <c r="F989" s="4"/>
      <c r="G989" s="4"/>
      <c r="H989" s="4"/>
      <c r="I989" s="4"/>
      <c r="J989" s="4"/>
      <c r="K989" s="4"/>
    </row>
    <row r="990" ht="14.25" customHeight="1">
      <c r="E990" s="4"/>
      <c r="F990" s="4"/>
      <c r="G990" s="4"/>
      <c r="H990" s="4"/>
      <c r="I990" s="4"/>
      <c r="J990" s="4"/>
      <c r="K990" s="4"/>
    </row>
    <row r="991" ht="14.25" customHeight="1">
      <c r="E991" s="4"/>
      <c r="F991" s="4"/>
      <c r="G991" s="4"/>
      <c r="H991" s="4"/>
      <c r="I991" s="4"/>
      <c r="J991" s="4"/>
      <c r="K991" s="4"/>
    </row>
    <row r="992" ht="14.25" customHeight="1">
      <c r="E992" s="4"/>
      <c r="F992" s="4"/>
      <c r="G992" s="4"/>
      <c r="H992" s="4"/>
      <c r="I992" s="4"/>
      <c r="J992" s="4"/>
      <c r="K992" s="4"/>
    </row>
    <row r="993" ht="14.25" customHeight="1">
      <c r="E993" s="4"/>
      <c r="F993" s="4"/>
      <c r="G993" s="4"/>
      <c r="H993" s="4"/>
      <c r="I993" s="4"/>
      <c r="J993" s="4"/>
      <c r="K993" s="4"/>
    </row>
    <row r="994" ht="14.25" customHeight="1">
      <c r="E994" s="4"/>
      <c r="F994" s="4"/>
      <c r="G994" s="4"/>
      <c r="H994" s="4"/>
      <c r="I994" s="4"/>
      <c r="J994" s="4"/>
      <c r="K994" s="4"/>
    </row>
    <row r="995" ht="14.25" customHeight="1">
      <c r="E995" s="4"/>
      <c r="F995" s="4"/>
      <c r="G995" s="4"/>
      <c r="H995" s="4"/>
      <c r="I995" s="4"/>
      <c r="J995" s="4"/>
      <c r="K995" s="4"/>
    </row>
    <row r="996" ht="14.25" customHeight="1">
      <c r="E996" s="4"/>
      <c r="F996" s="4"/>
      <c r="G996" s="4"/>
      <c r="H996" s="4"/>
      <c r="I996" s="4"/>
      <c r="J996" s="4"/>
      <c r="K996" s="4"/>
    </row>
    <row r="997" ht="14.25" customHeight="1">
      <c r="E997" s="4"/>
      <c r="F997" s="4"/>
      <c r="G997" s="4"/>
      <c r="H997" s="4"/>
      <c r="I997" s="4"/>
      <c r="J997" s="4"/>
      <c r="K997" s="4"/>
    </row>
    <row r="998" ht="14.25" customHeight="1">
      <c r="E998" s="4"/>
      <c r="F998" s="4"/>
      <c r="G998" s="4"/>
      <c r="H998" s="4"/>
      <c r="I998" s="4"/>
      <c r="J998" s="4"/>
      <c r="K998" s="4"/>
    </row>
    <row r="999" ht="14.25" customHeight="1">
      <c r="E999" s="4"/>
      <c r="F999" s="4"/>
      <c r="G999" s="4"/>
      <c r="H999" s="4"/>
      <c r="I999" s="4"/>
      <c r="J999" s="4"/>
      <c r="K999" s="4"/>
    </row>
    <row r="1000" ht="14.25" customHeight="1">
      <c r="E1000" s="4"/>
      <c r="F1000" s="4"/>
      <c r="G1000" s="4"/>
      <c r="H1000" s="4"/>
      <c r="I1000" s="4"/>
      <c r="J1000" s="4"/>
      <c r="K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29"/>
    <col customWidth="1" min="3" max="4" width="4.0"/>
    <col customWidth="1" min="5" max="5" width="7.57"/>
    <col customWidth="1" min="6" max="7" width="4.0"/>
    <col customWidth="1" min="8" max="8" width="7.86"/>
    <col customWidth="1" min="9" max="10" width="4.0"/>
    <col customWidth="1" min="11" max="11" width="16.57"/>
    <col customWidth="1" min="12" max="22" width="8.71"/>
  </cols>
  <sheetData>
    <row r="1" ht="14.25" customHeight="1">
      <c r="A1" s="1" t="s">
        <v>7808</v>
      </c>
      <c r="B1" s="1" t="s">
        <v>7809</v>
      </c>
      <c r="K1" s="4"/>
      <c r="P1" s="5"/>
      <c r="Q1" s="24"/>
    </row>
    <row r="2" ht="14.25" customHeight="1">
      <c r="A2" s="1">
        <v>142.0</v>
      </c>
      <c r="B2" s="1">
        <v>9.3</v>
      </c>
      <c r="E2" s="25" t="s">
        <v>7810</v>
      </c>
      <c r="F2" s="25"/>
      <c r="G2" s="25"/>
      <c r="H2" s="25" t="s">
        <v>7811</v>
      </c>
      <c r="I2" s="25"/>
      <c r="J2" s="25"/>
      <c r="K2" s="25" t="s">
        <v>7812</v>
      </c>
      <c r="P2" s="5"/>
      <c r="Q2" s="24"/>
    </row>
    <row r="3" ht="14.25" customHeight="1">
      <c r="A3" s="1">
        <v>175.0</v>
      </c>
      <c r="B3" s="1">
        <v>9.2</v>
      </c>
      <c r="E3" s="26">
        <f>AVERAGE(A1:A3848)</f>
        <v>109.9261762</v>
      </c>
      <c r="F3" s="25"/>
      <c r="G3" s="25"/>
      <c r="H3" s="26">
        <f>MEDIAN(A2:A3848)</f>
        <v>106</v>
      </c>
      <c r="I3" s="25"/>
      <c r="J3" s="25"/>
      <c r="K3" s="27">
        <f>STDEV(A2:A3848)</f>
        <v>22.75624887</v>
      </c>
      <c r="P3" s="5"/>
      <c r="Q3" s="24"/>
    </row>
    <row r="4" ht="14.25" customHeight="1">
      <c r="A4" s="1">
        <v>220.0</v>
      </c>
      <c r="B4" s="1">
        <v>9.0</v>
      </c>
      <c r="K4" s="4"/>
      <c r="P4" s="5"/>
      <c r="Q4" s="24"/>
    </row>
    <row r="5" ht="14.25" customHeight="1">
      <c r="A5" s="1">
        <v>152.0</v>
      </c>
      <c r="B5" s="1">
        <v>9.0</v>
      </c>
      <c r="K5" s="4"/>
      <c r="P5" s="5"/>
      <c r="Q5" s="24"/>
    </row>
    <row r="6" ht="14.25" customHeight="1">
      <c r="A6" s="1">
        <v>192.0</v>
      </c>
      <c r="B6" s="1">
        <v>8.9</v>
      </c>
      <c r="K6" s="4"/>
      <c r="P6" s="5"/>
      <c r="Q6" s="24"/>
    </row>
    <row r="7" ht="14.25" customHeight="1">
      <c r="A7" s="1">
        <v>185.0</v>
      </c>
      <c r="B7" s="1">
        <v>8.9</v>
      </c>
      <c r="K7" s="4"/>
      <c r="P7" s="5"/>
      <c r="Q7" s="24"/>
    </row>
    <row r="8" ht="14.25" customHeight="1">
      <c r="A8" s="1">
        <v>178.0</v>
      </c>
      <c r="B8" s="1">
        <v>8.9</v>
      </c>
      <c r="K8" s="4"/>
      <c r="P8" s="5"/>
      <c r="Q8" s="24"/>
    </row>
    <row r="9" ht="14.25" customHeight="1">
      <c r="A9" s="1">
        <v>142.0</v>
      </c>
      <c r="B9" s="1">
        <v>8.9</v>
      </c>
      <c r="K9" s="4"/>
      <c r="P9" s="5"/>
      <c r="Q9" s="24"/>
    </row>
    <row r="10" ht="14.25" customHeight="1">
      <c r="A10" s="1">
        <v>171.0</v>
      </c>
      <c r="B10" s="1">
        <v>8.8</v>
      </c>
      <c r="K10" s="4"/>
      <c r="P10" s="5"/>
      <c r="Q10" s="24"/>
    </row>
    <row r="11" ht="14.25" customHeight="1">
      <c r="A11" s="1">
        <v>151.0</v>
      </c>
      <c r="B11" s="1">
        <v>8.8</v>
      </c>
      <c r="K11" s="4"/>
      <c r="P11" s="5"/>
      <c r="Q11" s="24"/>
    </row>
    <row r="12" ht="14.25" customHeight="1">
      <c r="A12" s="1">
        <v>148.0</v>
      </c>
      <c r="B12" s="1">
        <v>8.8</v>
      </c>
      <c r="K12" s="4"/>
      <c r="P12" s="5"/>
      <c r="Q12" s="24"/>
    </row>
    <row r="13" ht="14.25" customHeight="1">
      <c r="A13" s="1">
        <v>142.0</v>
      </c>
      <c r="B13" s="1">
        <v>8.8</v>
      </c>
      <c r="K13" s="4"/>
      <c r="P13" s="5"/>
      <c r="Q13" s="24"/>
    </row>
    <row r="14" ht="14.25" customHeight="1">
      <c r="A14" s="1">
        <v>127.0</v>
      </c>
      <c r="B14" s="1">
        <v>8.8</v>
      </c>
      <c r="K14" s="4"/>
      <c r="P14" s="5"/>
      <c r="Q14" s="24"/>
    </row>
    <row r="15" ht="14.25" customHeight="1">
      <c r="A15" s="1">
        <v>202.0</v>
      </c>
      <c r="B15" s="1">
        <v>8.7</v>
      </c>
      <c r="K15" s="4"/>
      <c r="P15" s="5"/>
      <c r="Q15" s="24"/>
    </row>
    <row r="16" ht="14.25" customHeight="1">
      <c r="A16" s="1">
        <v>172.0</v>
      </c>
      <c r="B16" s="1">
        <v>8.7</v>
      </c>
      <c r="K16" s="4"/>
      <c r="P16" s="5"/>
      <c r="Q16" s="24"/>
    </row>
    <row r="17" ht="14.25" customHeight="1">
      <c r="A17" s="1">
        <v>146.0</v>
      </c>
      <c r="B17" s="1">
        <v>8.7</v>
      </c>
      <c r="K17" s="4"/>
      <c r="P17" s="5"/>
      <c r="Q17" s="24"/>
    </row>
    <row r="18" ht="14.25" customHeight="1">
      <c r="A18" s="1">
        <v>136.0</v>
      </c>
      <c r="B18" s="1">
        <v>8.7</v>
      </c>
      <c r="K18" s="4"/>
      <c r="P18" s="5"/>
      <c r="Q18" s="24"/>
    </row>
    <row r="19" ht="14.25" customHeight="1">
      <c r="A19" s="1">
        <v>135.0</v>
      </c>
      <c r="B19" s="1">
        <v>8.7</v>
      </c>
      <c r="K19" s="4"/>
      <c r="P19" s="5"/>
      <c r="Q19" s="24"/>
    </row>
    <row r="20" ht="14.25" customHeight="1">
      <c r="A20" s="1">
        <v>133.0</v>
      </c>
      <c r="B20" s="1">
        <v>8.7</v>
      </c>
      <c r="K20" s="4"/>
      <c r="P20" s="5"/>
      <c r="Q20" s="24"/>
    </row>
    <row r="21" ht="14.25" customHeight="1">
      <c r="A21" s="1">
        <v>125.0</v>
      </c>
      <c r="B21" s="1">
        <v>8.7</v>
      </c>
      <c r="K21" s="4"/>
      <c r="P21" s="5"/>
      <c r="Q21" s="24"/>
    </row>
    <row r="22" ht="14.25" customHeight="1">
      <c r="A22" s="1">
        <v>169.0</v>
      </c>
      <c r="B22" s="1">
        <v>8.6</v>
      </c>
      <c r="K22" s="4"/>
      <c r="P22" s="5"/>
      <c r="Q22" s="24"/>
    </row>
    <row r="23" ht="14.25" customHeight="1">
      <c r="A23" s="1">
        <v>169.0</v>
      </c>
      <c r="B23" s="1">
        <v>8.6</v>
      </c>
      <c r="K23" s="4"/>
      <c r="P23" s="5"/>
      <c r="Q23" s="24"/>
    </row>
    <row r="24" ht="14.25" customHeight="1">
      <c r="A24" s="1">
        <v>138.0</v>
      </c>
      <c r="B24" s="1">
        <v>8.6</v>
      </c>
      <c r="K24" s="4"/>
      <c r="P24" s="5"/>
      <c r="Q24" s="24"/>
    </row>
    <row r="25" ht="14.25" customHeight="1">
      <c r="A25" s="1">
        <v>127.0</v>
      </c>
      <c r="B25" s="1">
        <v>8.6</v>
      </c>
      <c r="K25" s="4"/>
      <c r="P25" s="5"/>
      <c r="Q25" s="24"/>
    </row>
    <row r="26" ht="14.25" customHeight="1">
      <c r="A26" s="1">
        <v>125.0</v>
      </c>
      <c r="B26" s="1">
        <v>8.6</v>
      </c>
      <c r="K26" s="4"/>
      <c r="P26" s="5"/>
      <c r="Q26" s="24"/>
    </row>
    <row r="27" ht="14.25" customHeight="1">
      <c r="A27" s="1">
        <v>106.0</v>
      </c>
      <c r="B27" s="1">
        <v>8.6</v>
      </c>
      <c r="K27" s="4"/>
      <c r="P27" s="5"/>
      <c r="Q27" s="24"/>
    </row>
    <row r="28" ht="14.25" customHeight="1">
      <c r="A28" s="1">
        <v>101.0</v>
      </c>
      <c r="B28" s="1">
        <v>8.6</v>
      </c>
      <c r="K28" s="4"/>
      <c r="P28" s="5"/>
      <c r="Q28" s="24"/>
    </row>
    <row r="29" ht="14.25" customHeight="1">
      <c r="A29" s="1">
        <v>87.0</v>
      </c>
      <c r="B29" s="1">
        <v>8.6</v>
      </c>
      <c r="K29" s="4"/>
      <c r="P29" s="5"/>
      <c r="Q29" s="24"/>
    </row>
    <row r="30" ht="14.25" customHeight="1">
      <c r="A30" s="1">
        <v>289.0</v>
      </c>
      <c r="B30" s="1">
        <v>8.5</v>
      </c>
      <c r="K30" s="4"/>
      <c r="P30" s="5"/>
      <c r="Q30" s="24"/>
    </row>
    <row r="31" ht="14.25" customHeight="1">
      <c r="A31" s="1">
        <v>189.0</v>
      </c>
      <c r="B31" s="1">
        <v>8.5</v>
      </c>
      <c r="K31" s="4"/>
      <c r="P31" s="5"/>
      <c r="Q31" s="24"/>
    </row>
    <row r="32" ht="14.25" customHeight="1">
      <c r="A32" s="1">
        <v>171.0</v>
      </c>
      <c r="B32" s="1">
        <v>8.5</v>
      </c>
      <c r="K32" s="4"/>
      <c r="P32" s="5"/>
      <c r="Q32" s="24"/>
    </row>
    <row r="33" ht="14.25" customHeight="1">
      <c r="A33" s="1">
        <v>165.0</v>
      </c>
      <c r="B33" s="1">
        <v>8.5</v>
      </c>
      <c r="K33" s="4"/>
      <c r="P33" s="5"/>
      <c r="Q33" s="24"/>
    </row>
    <row r="34" ht="14.25" customHeight="1">
      <c r="A34" s="1">
        <v>164.0</v>
      </c>
      <c r="B34" s="1">
        <v>8.5</v>
      </c>
      <c r="K34" s="4"/>
      <c r="P34" s="5"/>
      <c r="Q34" s="24"/>
    </row>
    <row r="35" ht="14.25" customHeight="1">
      <c r="A35" s="1">
        <v>153.0</v>
      </c>
      <c r="B35" s="1">
        <v>8.5</v>
      </c>
      <c r="K35" s="4"/>
      <c r="P35" s="5"/>
      <c r="Q35" s="24"/>
    </row>
    <row r="36" ht="14.25" customHeight="1">
      <c r="A36" s="1">
        <v>151.0</v>
      </c>
      <c r="B36" s="1">
        <v>8.5</v>
      </c>
      <c r="K36" s="4"/>
      <c r="P36" s="5"/>
      <c r="Q36" s="24"/>
    </row>
    <row r="37" ht="14.25" customHeight="1">
      <c r="A37" s="1">
        <v>150.0</v>
      </c>
      <c r="B37" s="1">
        <v>8.5</v>
      </c>
      <c r="K37" s="4"/>
      <c r="P37" s="5"/>
      <c r="Q37" s="24"/>
    </row>
    <row r="38" ht="14.25" customHeight="1">
      <c r="A38" s="1">
        <v>137.0</v>
      </c>
      <c r="B38" s="1">
        <v>8.5</v>
      </c>
      <c r="K38" s="4"/>
      <c r="P38" s="5"/>
      <c r="Q38" s="24"/>
    </row>
    <row r="39" ht="14.25" customHeight="1">
      <c r="A39" s="1">
        <v>130.0</v>
      </c>
      <c r="B39" s="1">
        <v>8.5</v>
      </c>
      <c r="K39" s="4"/>
      <c r="P39" s="5"/>
      <c r="Q39" s="24"/>
    </row>
    <row r="40" ht="14.25" customHeight="1">
      <c r="A40" s="1">
        <v>116.0</v>
      </c>
      <c r="B40" s="1">
        <v>8.5</v>
      </c>
      <c r="K40" s="4"/>
      <c r="P40" s="5"/>
      <c r="Q40" s="24"/>
    </row>
    <row r="41" ht="14.25" customHeight="1">
      <c r="A41" s="1">
        <v>116.0</v>
      </c>
      <c r="B41" s="1">
        <v>8.5</v>
      </c>
      <c r="K41" s="4"/>
      <c r="P41" s="5"/>
      <c r="Q41" s="24"/>
    </row>
    <row r="42" ht="14.25" customHeight="1">
      <c r="A42" s="1">
        <v>115.0</v>
      </c>
      <c r="B42" s="1">
        <v>8.5</v>
      </c>
      <c r="K42" s="4"/>
      <c r="P42" s="5"/>
      <c r="Q42" s="24"/>
    </row>
    <row r="43" ht="14.25" customHeight="1">
      <c r="A43" s="1">
        <v>113.0</v>
      </c>
      <c r="B43" s="1">
        <v>8.5</v>
      </c>
      <c r="K43" s="4"/>
      <c r="P43" s="5"/>
      <c r="Q43" s="24"/>
    </row>
    <row r="44" ht="14.25" customHeight="1">
      <c r="A44" s="1">
        <v>108.0</v>
      </c>
      <c r="B44" s="1">
        <v>8.5</v>
      </c>
      <c r="K44" s="4"/>
      <c r="P44" s="5"/>
      <c r="Q44" s="24"/>
    </row>
    <row r="45" ht="14.25" customHeight="1">
      <c r="A45" s="1">
        <v>107.0</v>
      </c>
      <c r="B45" s="1">
        <v>8.5</v>
      </c>
      <c r="K45" s="4"/>
      <c r="P45" s="5"/>
      <c r="Q45" s="24"/>
    </row>
    <row r="46" ht="14.25" customHeight="1">
      <c r="A46" s="1">
        <v>89.0</v>
      </c>
      <c r="B46" s="1">
        <v>8.5</v>
      </c>
      <c r="K46" s="4"/>
      <c r="P46" s="5"/>
      <c r="Q46" s="24"/>
    </row>
    <row r="47" ht="14.25" customHeight="1">
      <c r="A47" s="1">
        <v>73.0</v>
      </c>
      <c r="B47" s="1">
        <v>8.5</v>
      </c>
      <c r="K47" s="4"/>
      <c r="P47" s="5"/>
      <c r="Q47" s="24"/>
    </row>
    <row r="48" ht="14.25" customHeight="1">
      <c r="A48" s="1">
        <v>293.0</v>
      </c>
      <c r="B48" s="1">
        <v>8.4</v>
      </c>
      <c r="K48" s="4"/>
      <c r="P48" s="5"/>
      <c r="Q48" s="24"/>
    </row>
    <row r="49" ht="14.25" customHeight="1">
      <c r="A49" s="1">
        <v>251.0</v>
      </c>
      <c r="B49" s="1">
        <v>8.4</v>
      </c>
      <c r="K49" s="4"/>
      <c r="P49" s="5"/>
      <c r="Q49" s="24"/>
    </row>
    <row r="50" ht="14.25" customHeight="1">
      <c r="A50" s="1">
        <v>227.0</v>
      </c>
      <c r="B50" s="1">
        <v>8.4</v>
      </c>
      <c r="K50" s="4"/>
      <c r="P50" s="5"/>
      <c r="Q50" s="24"/>
    </row>
    <row r="51" ht="14.25" customHeight="1">
      <c r="A51" s="1">
        <v>178.0</v>
      </c>
      <c r="B51" s="1">
        <v>8.4</v>
      </c>
      <c r="K51" s="4"/>
      <c r="P51" s="5"/>
      <c r="Q51" s="24"/>
    </row>
    <row r="52" ht="14.25" customHeight="1">
      <c r="A52" s="1">
        <v>159.0</v>
      </c>
      <c r="B52" s="1">
        <v>8.4</v>
      </c>
      <c r="K52" s="4"/>
      <c r="P52" s="5"/>
      <c r="Q52" s="24"/>
    </row>
    <row r="53" ht="14.25" customHeight="1">
      <c r="A53" s="1">
        <v>154.0</v>
      </c>
      <c r="B53" s="1">
        <v>8.4</v>
      </c>
      <c r="K53" s="4"/>
      <c r="P53" s="5"/>
      <c r="Q53" s="24"/>
    </row>
    <row r="54" ht="14.25" customHeight="1">
      <c r="A54" s="1">
        <v>134.0</v>
      </c>
      <c r="B54" s="1">
        <v>8.4</v>
      </c>
      <c r="K54" s="4"/>
      <c r="P54" s="5"/>
      <c r="Q54" s="24"/>
    </row>
    <row r="55" ht="14.25" customHeight="1">
      <c r="A55" s="1">
        <v>134.0</v>
      </c>
      <c r="B55" s="1">
        <v>8.4</v>
      </c>
      <c r="K55" s="4"/>
      <c r="P55" s="5"/>
      <c r="Q55" s="24"/>
    </row>
    <row r="56" ht="14.25" customHeight="1">
      <c r="A56" s="1">
        <v>123.0</v>
      </c>
      <c r="B56" s="1">
        <v>8.4</v>
      </c>
      <c r="K56" s="4"/>
      <c r="P56" s="5"/>
      <c r="Q56" s="24"/>
    </row>
    <row r="57" ht="14.25" customHeight="1">
      <c r="A57" s="1">
        <v>122.0</v>
      </c>
      <c r="B57" s="1">
        <v>8.4</v>
      </c>
      <c r="K57" s="4"/>
      <c r="P57" s="5"/>
      <c r="Q57" s="24"/>
    </row>
    <row r="58" ht="14.25" customHeight="1">
      <c r="A58" s="1">
        <v>122.0</v>
      </c>
      <c r="B58" s="1">
        <v>8.4</v>
      </c>
      <c r="K58" s="4"/>
      <c r="P58" s="5"/>
      <c r="Q58" s="24"/>
    </row>
    <row r="59" ht="14.25" customHeight="1">
      <c r="A59" s="1">
        <v>120.0</v>
      </c>
      <c r="B59" s="1">
        <v>8.4</v>
      </c>
      <c r="K59" s="4"/>
      <c r="P59" s="5"/>
      <c r="Q59" s="24"/>
    </row>
    <row r="60" ht="14.25" customHeight="1">
      <c r="A60" s="1">
        <v>102.0</v>
      </c>
      <c r="B60" s="1">
        <v>8.4</v>
      </c>
      <c r="K60" s="4"/>
      <c r="P60" s="5"/>
      <c r="Q60" s="24"/>
    </row>
    <row r="61" ht="14.25" customHeight="1">
      <c r="A61" s="1">
        <v>99.0</v>
      </c>
      <c r="B61" s="1">
        <v>8.4</v>
      </c>
      <c r="K61" s="4"/>
      <c r="P61" s="5"/>
      <c r="Q61" s="24"/>
    </row>
    <row r="62" ht="14.25" customHeight="1">
      <c r="A62" s="1">
        <v>98.0</v>
      </c>
      <c r="B62" s="1">
        <v>8.4</v>
      </c>
      <c r="K62" s="4"/>
      <c r="P62" s="5"/>
      <c r="Q62" s="24"/>
    </row>
    <row r="63" ht="14.25" customHeight="1">
      <c r="A63" s="1">
        <v>89.0</v>
      </c>
      <c r="B63" s="1">
        <v>8.4</v>
      </c>
      <c r="K63" s="4"/>
      <c r="P63" s="5"/>
      <c r="Q63" s="24"/>
    </row>
    <row r="64" ht="14.25" customHeight="1">
      <c r="A64" s="1">
        <v>180.0</v>
      </c>
      <c r="B64" s="1">
        <v>8.3</v>
      </c>
      <c r="K64" s="4"/>
      <c r="P64" s="5"/>
      <c r="Q64" s="24"/>
    </row>
    <row r="65" ht="14.25" customHeight="1">
      <c r="A65" s="1">
        <v>178.0</v>
      </c>
      <c r="B65" s="1">
        <v>8.3</v>
      </c>
      <c r="K65" s="4"/>
      <c r="P65" s="5"/>
      <c r="Q65" s="24"/>
    </row>
    <row r="66" ht="14.25" customHeight="1">
      <c r="A66" s="1">
        <v>170.0</v>
      </c>
      <c r="B66" s="1">
        <v>8.3</v>
      </c>
      <c r="K66" s="4"/>
      <c r="P66" s="5"/>
      <c r="Q66" s="24"/>
    </row>
    <row r="67" ht="14.25" customHeight="1">
      <c r="A67" s="1">
        <v>161.0</v>
      </c>
      <c r="B67" s="1">
        <v>8.3</v>
      </c>
      <c r="K67" s="4"/>
      <c r="P67" s="5"/>
      <c r="Q67" s="24"/>
    </row>
    <row r="68" ht="14.25" customHeight="1">
      <c r="A68" s="1">
        <v>153.0</v>
      </c>
      <c r="B68" s="1">
        <v>8.3</v>
      </c>
      <c r="K68" s="4"/>
      <c r="P68" s="5"/>
      <c r="Q68" s="24"/>
    </row>
    <row r="69" ht="14.25" customHeight="1">
      <c r="A69" s="1">
        <v>145.0</v>
      </c>
      <c r="B69" s="1">
        <v>8.3</v>
      </c>
      <c r="K69" s="4"/>
      <c r="P69" s="5"/>
      <c r="Q69" s="24"/>
    </row>
    <row r="70" ht="14.25" customHeight="1">
      <c r="A70" s="1">
        <v>142.0</v>
      </c>
      <c r="B70" s="1">
        <v>8.3</v>
      </c>
      <c r="K70" s="4"/>
      <c r="P70" s="5"/>
      <c r="Q70" s="24"/>
    </row>
    <row r="71" ht="14.25" customHeight="1">
      <c r="A71" s="1">
        <v>138.0</v>
      </c>
      <c r="B71" s="1">
        <v>8.3</v>
      </c>
      <c r="K71" s="4"/>
      <c r="P71" s="5"/>
      <c r="Q71" s="24"/>
    </row>
    <row r="72" ht="14.25" customHeight="1">
      <c r="A72" s="1">
        <v>131.0</v>
      </c>
      <c r="B72" s="1">
        <v>8.3</v>
      </c>
      <c r="K72" s="4"/>
      <c r="P72" s="5"/>
      <c r="Q72" s="24"/>
    </row>
    <row r="73" ht="14.25" customHeight="1">
      <c r="A73" s="1">
        <v>129.0</v>
      </c>
      <c r="B73" s="1">
        <v>8.3</v>
      </c>
      <c r="K73" s="4"/>
      <c r="P73" s="5"/>
      <c r="Q73" s="24"/>
    </row>
    <row r="74" ht="14.25" customHeight="1">
      <c r="A74" s="1">
        <v>128.0</v>
      </c>
      <c r="B74" s="1">
        <v>8.3</v>
      </c>
      <c r="K74" s="4"/>
      <c r="P74" s="5"/>
      <c r="Q74" s="24"/>
    </row>
    <row r="75" ht="14.25" customHeight="1">
      <c r="A75" s="1">
        <v>127.0</v>
      </c>
      <c r="B75" s="1">
        <v>8.3</v>
      </c>
      <c r="K75" s="4"/>
      <c r="P75" s="5"/>
      <c r="Q75" s="24"/>
    </row>
    <row r="76" ht="14.25" customHeight="1">
      <c r="A76" s="1">
        <v>126.0</v>
      </c>
      <c r="B76" s="1">
        <v>8.3</v>
      </c>
      <c r="K76" s="4"/>
      <c r="P76" s="5"/>
      <c r="Q76" s="24"/>
    </row>
    <row r="77" ht="14.25" customHeight="1">
      <c r="A77" s="1">
        <v>121.0</v>
      </c>
      <c r="B77" s="1">
        <v>8.3</v>
      </c>
      <c r="K77" s="4"/>
      <c r="P77" s="5"/>
      <c r="Q77" s="24"/>
    </row>
    <row r="78" ht="14.25" customHeight="1">
      <c r="A78" s="1">
        <v>120.0</v>
      </c>
      <c r="B78" s="1">
        <v>8.3</v>
      </c>
      <c r="K78" s="4"/>
      <c r="P78" s="5"/>
      <c r="Q78" s="24"/>
    </row>
    <row r="79" ht="14.25" customHeight="1">
      <c r="A79" s="1">
        <v>118.0</v>
      </c>
      <c r="B79" s="1">
        <v>8.3</v>
      </c>
      <c r="K79" s="4"/>
      <c r="P79" s="5"/>
      <c r="Q79" s="24"/>
    </row>
    <row r="80" ht="14.25" customHeight="1">
      <c r="A80" s="1">
        <v>115.0</v>
      </c>
      <c r="B80" s="1">
        <v>8.3</v>
      </c>
      <c r="K80" s="4"/>
      <c r="P80" s="5"/>
      <c r="Q80" s="24"/>
    </row>
    <row r="81" ht="14.25" customHeight="1">
      <c r="A81" s="1">
        <v>108.0</v>
      </c>
      <c r="B81" s="1">
        <v>8.3</v>
      </c>
      <c r="K81" s="4"/>
      <c r="P81" s="5"/>
      <c r="Q81" s="24"/>
    </row>
    <row r="82" ht="14.25" customHeight="1">
      <c r="A82" s="1">
        <v>104.0</v>
      </c>
      <c r="B82" s="1">
        <v>8.3</v>
      </c>
      <c r="K82" s="4"/>
      <c r="P82" s="5"/>
      <c r="Q82" s="24"/>
    </row>
    <row r="83" ht="14.25" customHeight="1">
      <c r="A83" s="1">
        <v>103.0</v>
      </c>
      <c r="B83" s="1">
        <v>8.3</v>
      </c>
      <c r="K83" s="4"/>
      <c r="P83" s="5"/>
      <c r="Q83" s="24"/>
    </row>
    <row r="84" ht="14.25" customHeight="1">
      <c r="A84" s="1">
        <v>102.0</v>
      </c>
      <c r="B84" s="1">
        <v>8.3</v>
      </c>
      <c r="K84" s="4"/>
      <c r="P84" s="5"/>
      <c r="Q84" s="24"/>
    </row>
    <row r="85" ht="14.25" customHeight="1">
      <c r="A85" s="1">
        <v>96.0</v>
      </c>
      <c r="B85" s="1">
        <v>8.3</v>
      </c>
      <c r="K85" s="4"/>
      <c r="P85" s="5"/>
      <c r="Q85" s="24"/>
    </row>
    <row r="86" ht="14.25" customHeight="1">
      <c r="A86" s="1">
        <v>95.0</v>
      </c>
      <c r="B86" s="1">
        <v>8.3</v>
      </c>
      <c r="K86" s="4"/>
      <c r="P86" s="5"/>
      <c r="Q86" s="24"/>
    </row>
    <row r="87" ht="14.25" customHeight="1">
      <c r="A87" s="1">
        <v>91.0</v>
      </c>
      <c r="B87" s="1">
        <v>8.3</v>
      </c>
      <c r="K87" s="4"/>
      <c r="P87" s="5"/>
      <c r="Q87" s="24"/>
    </row>
    <row r="88" ht="14.25" customHeight="1">
      <c r="A88" s="1">
        <v>74.0</v>
      </c>
      <c r="B88" s="1">
        <v>8.3</v>
      </c>
      <c r="K88" s="4"/>
      <c r="P88" s="5"/>
      <c r="Q88" s="24"/>
    </row>
    <row r="89" ht="14.25" customHeight="1">
      <c r="A89" s="1">
        <v>240.0</v>
      </c>
      <c r="B89" s="1">
        <v>8.2</v>
      </c>
      <c r="K89" s="4"/>
      <c r="P89" s="5"/>
      <c r="Q89" s="24"/>
    </row>
    <row r="90" ht="14.25" customHeight="1">
      <c r="A90" s="1">
        <v>226.0</v>
      </c>
      <c r="B90" s="1">
        <v>8.2</v>
      </c>
      <c r="K90" s="4"/>
      <c r="P90" s="5"/>
      <c r="Q90" s="24"/>
    </row>
    <row r="91" ht="14.25" customHeight="1">
      <c r="A91" s="1">
        <v>178.0</v>
      </c>
      <c r="B91" s="1">
        <v>8.2</v>
      </c>
      <c r="K91" s="4"/>
      <c r="P91" s="5"/>
      <c r="Q91" s="24"/>
    </row>
    <row r="92" ht="14.25" customHeight="1">
      <c r="A92" s="1">
        <v>161.0</v>
      </c>
      <c r="B92" s="1">
        <v>8.2</v>
      </c>
      <c r="K92" s="4"/>
      <c r="P92" s="5"/>
      <c r="Q92" s="24"/>
    </row>
    <row r="93" ht="14.25" customHeight="1">
      <c r="A93" s="1">
        <v>148.0</v>
      </c>
      <c r="B93" s="1">
        <v>8.2</v>
      </c>
      <c r="K93" s="4"/>
      <c r="P93" s="5"/>
      <c r="Q93" s="24"/>
    </row>
    <row r="94" ht="14.25" customHeight="1">
      <c r="A94" s="1">
        <v>147.0</v>
      </c>
      <c r="B94" s="1">
        <v>8.2</v>
      </c>
      <c r="K94" s="4"/>
      <c r="P94" s="5"/>
      <c r="Q94" s="24"/>
    </row>
    <row r="95" ht="14.25" customHeight="1">
      <c r="A95" s="1">
        <v>140.0</v>
      </c>
      <c r="B95" s="1">
        <v>8.2</v>
      </c>
      <c r="K95" s="4"/>
      <c r="P95" s="5"/>
      <c r="Q95" s="24"/>
    </row>
    <row r="96" ht="14.25" customHeight="1">
      <c r="A96" s="1">
        <v>139.0</v>
      </c>
      <c r="B96" s="1">
        <v>8.2</v>
      </c>
      <c r="K96" s="4"/>
      <c r="P96" s="5"/>
      <c r="Q96" s="24"/>
    </row>
    <row r="97" ht="14.25" customHeight="1">
      <c r="A97" s="1">
        <v>135.0</v>
      </c>
      <c r="B97" s="1">
        <v>8.2</v>
      </c>
      <c r="K97" s="4"/>
      <c r="P97" s="5"/>
      <c r="Q97" s="24"/>
    </row>
    <row r="98" ht="14.25" customHeight="1">
      <c r="A98" s="1">
        <v>132.0</v>
      </c>
      <c r="B98" s="1">
        <v>8.2</v>
      </c>
      <c r="K98" s="4"/>
      <c r="P98" s="5"/>
      <c r="Q98" s="24"/>
    </row>
    <row r="99" ht="14.25" customHeight="1">
      <c r="A99" s="1">
        <v>131.0</v>
      </c>
      <c r="B99" s="1">
        <v>8.2</v>
      </c>
      <c r="K99" s="4"/>
      <c r="P99" s="5"/>
      <c r="Q99" s="24"/>
    </row>
    <row r="100" ht="14.25" customHeight="1">
      <c r="A100" s="1">
        <v>129.0</v>
      </c>
      <c r="B100" s="1">
        <v>8.2</v>
      </c>
      <c r="K100" s="4"/>
      <c r="P100" s="5"/>
      <c r="Q100" s="24"/>
    </row>
    <row r="101" ht="14.25" customHeight="1">
      <c r="A101" s="1">
        <v>120.0</v>
      </c>
      <c r="B101" s="1">
        <v>8.2</v>
      </c>
      <c r="K101" s="4"/>
      <c r="P101" s="5"/>
      <c r="Q101" s="24"/>
    </row>
    <row r="102" ht="14.25" customHeight="1">
      <c r="A102" s="1">
        <v>119.0</v>
      </c>
      <c r="B102" s="1">
        <v>8.2</v>
      </c>
      <c r="K102" s="4"/>
      <c r="P102" s="5"/>
      <c r="Q102" s="24"/>
    </row>
    <row r="103" ht="14.25" customHeight="1">
      <c r="A103" s="1">
        <v>117.0</v>
      </c>
      <c r="B103" s="1">
        <v>8.2</v>
      </c>
      <c r="K103" s="4"/>
      <c r="P103" s="5"/>
      <c r="Q103" s="24"/>
    </row>
    <row r="104" ht="14.25" customHeight="1">
      <c r="A104" s="1">
        <v>117.0</v>
      </c>
      <c r="B104" s="1">
        <v>8.2</v>
      </c>
      <c r="K104" s="4"/>
      <c r="P104" s="5"/>
      <c r="Q104" s="24"/>
    </row>
    <row r="105" ht="14.25" customHeight="1">
      <c r="A105" s="1">
        <v>116.0</v>
      </c>
      <c r="B105" s="1">
        <v>8.2</v>
      </c>
      <c r="K105" s="4"/>
      <c r="P105" s="5"/>
      <c r="Q105" s="24"/>
    </row>
    <row r="106" ht="14.25" customHeight="1">
      <c r="A106" s="1">
        <v>112.0</v>
      </c>
      <c r="B106" s="1">
        <v>8.2</v>
      </c>
      <c r="K106" s="4"/>
      <c r="P106" s="5"/>
      <c r="Q106" s="24"/>
    </row>
    <row r="107" ht="14.25" customHeight="1">
      <c r="A107" s="1">
        <v>109.0</v>
      </c>
      <c r="B107" s="1">
        <v>8.2</v>
      </c>
      <c r="K107" s="4"/>
      <c r="P107" s="5"/>
      <c r="Q107" s="24"/>
    </row>
    <row r="108" ht="14.25" customHeight="1">
      <c r="A108" s="1">
        <v>108.0</v>
      </c>
      <c r="B108" s="1">
        <v>8.2</v>
      </c>
      <c r="K108" s="4"/>
      <c r="P108" s="5"/>
      <c r="Q108" s="24"/>
    </row>
    <row r="109" ht="14.25" customHeight="1">
      <c r="A109" s="1">
        <v>100.0</v>
      </c>
      <c r="B109" s="1">
        <v>8.2</v>
      </c>
      <c r="K109" s="4"/>
      <c r="P109" s="5"/>
      <c r="Q109" s="24"/>
    </row>
    <row r="110" ht="14.25" customHeight="1">
      <c r="A110" s="1">
        <v>98.0</v>
      </c>
      <c r="B110" s="1">
        <v>8.2</v>
      </c>
      <c r="K110" s="4"/>
      <c r="P110" s="5"/>
      <c r="Q110" s="24"/>
    </row>
    <row r="111" ht="14.25" customHeight="1">
      <c r="A111" s="1">
        <v>96.0</v>
      </c>
      <c r="B111" s="1">
        <v>8.2</v>
      </c>
      <c r="K111" s="4"/>
      <c r="P111" s="5"/>
      <c r="Q111" s="24"/>
    </row>
    <row r="112" ht="14.25" customHeight="1">
      <c r="A112" s="1">
        <v>94.0</v>
      </c>
      <c r="B112" s="1">
        <v>8.2</v>
      </c>
      <c r="K112" s="4"/>
      <c r="P112" s="5"/>
      <c r="Q112" s="24"/>
    </row>
    <row r="113" ht="14.25" customHeight="1">
      <c r="A113" s="1">
        <v>215.0</v>
      </c>
      <c r="B113" s="1">
        <v>8.1</v>
      </c>
      <c r="K113" s="4"/>
      <c r="P113" s="5"/>
      <c r="Q113" s="24"/>
    </row>
    <row r="114" ht="14.25" customHeight="1">
      <c r="A114" s="1">
        <v>173.0</v>
      </c>
      <c r="B114" s="1">
        <v>8.1</v>
      </c>
      <c r="K114" s="4"/>
      <c r="P114" s="5"/>
      <c r="Q114" s="24"/>
    </row>
    <row r="115" ht="14.25" customHeight="1">
      <c r="A115" s="1">
        <v>172.0</v>
      </c>
      <c r="B115" s="1">
        <v>8.1</v>
      </c>
      <c r="K115" s="4"/>
      <c r="P115" s="5"/>
      <c r="Q115" s="24"/>
    </row>
    <row r="116" ht="14.25" customHeight="1">
      <c r="A116" s="1">
        <v>158.0</v>
      </c>
      <c r="B116" s="1">
        <v>8.1</v>
      </c>
      <c r="K116" s="4"/>
      <c r="P116" s="5"/>
      <c r="Q116" s="24"/>
    </row>
    <row r="117" ht="14.25" customHeight="1">
      <c r="A117" s="1">
        <v>156.0</v>
      </c>
      <c r="B117" s="1">
        <v>8.1</v>
      </c>
      <c r="K117" s="4"/>
      <c r="P117" s="5"/>
      <c r="Q117" s="24"/>
    </row>
    <row r="118" ht="14.25" customHeight="1">
      <c r="A118" s="1">
        <v>153.0</v>
      </c>
      <c r="B118" s="1">
        <v>8.1</v>
      </c>
      <c r="K118" s="4"/>
      <c r="P118" s="5"/>
      <c r="Q118" s="24"/>
    </row>
    <row r="119" ht="14.25" customHeight="1">
      <c r="A119" s="1">
        <v>151.0</v>
      </c>
      <c r="B119" s="1">
        <v>8.1</v>
      </c>
      <c r="K119" s="4"/>
      <c r="P119" s="5"/>
      <c r="Q119" s="24"/>
    </row>
    <row r="120" ht="14.25" customHeight="1">
      <c r="A120" s="1">
        <v>149.0</v>
      </c>
      <c r="B120" s="1">
        <v>8.1</v>
      </c>
      <c r="K120" s="4"/>
      <c r="P120" s="5"/>
      <c r="Q120" s="24"/>
    </row>
    <row r="121" ht="14.25" customHeight="1">
      <c r="A121" s="1">
        <v>148.0</v>
      </c>
      <c r="B121" s="1">
        <v>8.1</v>
      </c>
      <c r="K121" s="4"/>
      <c r="P121" s="5"/>
      <c r="Q121" s="24"/>
    </row>
    <row r="122" ht="14.25" customHeight="1">
      <c r="A122" s="1">
        <v>147.0</v>
      </c>
      <c r="B122" s="1">
        <v>8.1</v>
      </c>
      <c r="K122" s="4"/>
      <c r="P122" s="5"/>
      <c r="Q122" s="24"/>
    </row>
    <row r="123" ht="14.25" customHeight="1">
      <c r="A123" s="1">
        <v>146.0</v>
      </c>
      <c r="B123" s="1">
        <v>8.1</v>
      </c>
      <c r="K123" s="4"/>
      <c r="P123" s="5"/>
      <c r="Q123" s="24"/>
    </row>
    <row r="124" ht="14.25" customHeight="1">
      <c r="A124" s="1">
        <v>145.0</v>
      </c>
      <c r="B124" s="1">
        <v>8.1</v>
      </c>
      <c r="K124" s="4"/>
      <c r="P124" s="5"/>
      <c r="Q124" s="24"/>
    </row>
    <row r="125" ht="14.25" customHeight="1">
      <c r="A125" s="1">
        <v>143.0</v>
      </c>
      <c r="B125" s="1">
        <v>8.1</v>
      </c>
      <c r="K125" s="4"/>
      <c r="P125" s="5"/>
      <c r="Q125" s="24"/>
    </row>
    <row r="126" ht="14.25" customHeight="1">
      <c r="A126" s="1">
        <v>138.0</v>
      </c>
      <c r="B126" s="1">
        <v>8.1</v>
      </c>
      <c r="K126" s="4"/>
      <c r="P126" s="5"/>
      <c r="Q126" s="24"/>
    </row>
    <row r="127" ht="14.25" customHeight="1">
      <c r="A127" s="1">
        <v>134.0</v>
      </c>
      <c r="B127" s="1">
        <v>8.1</v>
      </c>
      <c r="K127" s="4"/>
      <c r="P127" s="5"/>
      <c r="Q127" s="24"/>
    </row>
    <row r="128" ht="14.25" customHeight="1">
      <c r="A128" s="1">
        <v>133.0</v>
      </c>
      <c r="B128" s="1">
        <v>8.1</v>
      </c>
      <c r="K128" s="4"/>
      <c r="P128" s="5"/>
      <c r="Q128" s="24"/>
    </row>
    <row r="129" ht="14.25" customHeight="1">
      <c r="A129" s="1">
        <v>132.0</v>
      </c>
      <c r="B129" s="1">
        <v>8.1</v>
      </c>
      <c r="K129" s="4"/>
      <c r="P129" s="5"/>
      <c r="Q129" s="24"/>
    </row>
    <row r="130" ht="14.25" customHeight="1">
      <c r="A130" s="1">
        <v>128.0</v>
      </c>
      <c r="B130" s="1">
        <v>8.1</v>
      </c>
      <c r="K130" s="4"/>
      <c r="P130" s="5"/>
      <c r="Q130" s="24"/>
    </row>
    <row r="131" ht="14.25" customHeight="1">
      <c r="A131" s="1">
        <v>127.0</v>
      </c>
      <c r="B131" s="1">
        <v>8.1</v>
      </c>
      <c r="K131" s="4"/>
      <c r="P131" s="5"/>
      <c r="Q131" s="24"/>
    </row>
    <row r="132" ht="14.25" customHeight="1">
      <c r="A132" s="1">
        <v>125.0</v>
      </c>
      <c r="B132" s="1">
        <v>8.1</v>
      </c>
      <c r="K132" s="4"/>
      <c r="P132" s="5"/>
      <c r="Q132" s="24"/>
    </row>
    <row r="133" ht="14.25" customHeight="1">
      <c r="A133" s="1">
        <v>124.0</v>
      </c>
      <c r="B133" s="1">
        <v>8.1</v>
      </c>
      <c r="K133" s="4"/>
      <c r="P133" s="5"/>
      <c r="Q133" s="24"/>
    </row>
    <row r="134" ht="14.25" customHeight="1">
      <c r="A134" s="1">
        <v>123.0</v>
      </c>
      <c r="B134" s="1">
        <v>8.1</v>
      </c>
      <c r="K134" s="4"/>
      <c r="P134" s="5"/>
      <c r="Q134" s="24"/>
    </row>
    <row r="135" ht="14.25" customHeight="1">
      <c r="A135" s="1">
        <v>122.0</v>
      </c>
      <c r="B135" s="1">
        <v>8.1</v>
      </c>
      <c r="K135" s="4"/>
      <c r="P135" s="5"/>
      <c r="Q135" s="24"/>
    </row>
    <row r="136" ht="14.25" customHeight="1">
      <c r="A136" s="1">
        <v>121.0</v>
      </c>
      <c r="B136" s="1">
        <v>8.1</v>
      </c>
      <c r="K136" s="4"/>
      <c r="P136" s="5"/>
      <c r="Q136" s="24"/>
    </row>
    <row r="137" ht="14.25" customHeight="1">
      <c r="A137" s="1">
        <v>121.0</v>
      </c>
      <c r="B137" s="1">
        <v>8.1</v>
      </c>
      <c r="K137" s="4"/>
      <c r="P137" s="5"/>
      <c r="Q137" s="24"/>
    </row>
    <row r="138" ht="14.25" customHeight="1">
      <c r="A138" s="1">
        <v>120.0</v>
      </c>
      <c r="B138" s="1">
        <v>8.1</v>
      </c>
      <c r="K138" s="4"/>
      <c r="P138" s="5"/>
      <c r="Q138" s="24"/>
    </row>
    <row r="139" ht="14.25" customHeight="1">
      <c r="A139" s="1">
        <v>120.0</v>
      </c>
      <c r="B139" s="1">
        <v>8.1</v>
      </c>
      <c r="K139" s="4"/>
      <c r="P139" s="5"/>
      <c r="Q139" s="24"/>
    </row>
    <row r="140" ht="14.25" customHeight="1">
      <c r="A140" s="1">
        <v>115.0</v>
      </c>
      <c r="B140" s="1">
        <v>8.1</v>
      </c>
      <c r="K140" s="4"/>
      <c r="P140" s="5"/>
      <c r="Q140" s="24"/>
    </row>
    <row r="141" ht="14.25" customHeight="1">
      <c r="A141" s="1">
        <v>115.0</v>
      </c>
      <c r="B141" s="1">
        <v>8.1</v>
      </c>
      <c r="K141" s="4"/>
      <c r="P141" s="5"/>
      <c r="Q141" s="24"/>
    </row>
    <row r="142" ht="14.25" customHeight="1">
      <c r="A142" s="1">
        <v>115.0</v>
      </c>
      <c r="B142" s="1">
        <v>8.1</v>
      </c>
      <c r="K142" s="4"/>
      <c r="P142" s="5"/>
      <c r="Q142" s="24"/>
    </row>
    <row r="143" ht="14.25" customHeight="1">
      <c r="A143" s="1">
        <v>114.0</v>
      </c>
      <c r="B143" s="1">
        <v>8.1</v>
      </c>
      <c r="K143" s="4"/>
      <c r="P143" s="5"/>
      <c r="Q143" s="24"/>
    </row>
    <row r="144" ht="14.25" customHeight="1">
      <c r="A144" s="1">
        <v>111.0</v>
      </c>
      <c r="B144" s="1">
        <v>8.1</v>
      </c>
      <c r="K144" s="4"/>
      <c r="P144" s="5"/>
      <c r="Q144" s="24"/>
    </row>
    <row r="145" ht="14.25" customHeight="1">
      <c r="A145" s="1">
        <v>110.0</v>
      </c>
      <c r="B145" s="1">
        <v>8.1</v>
      </c>
      <c r="K145" s="4"/>
      <c r="P145" s="5"/>
      <c r="Q145" s="24"/>
    </row>
    <row r="146" ht="14.25" customHeight="1">
      <c r="A146" s="1">
        <v>108.0</v>
      </c>
      <c r="B146" s="1">
        <v>8.1</v>
      </c>
      <c r="K146" s="4"/>
      <c r="P146" s="5"/>
      <c r="Q146" s="24"/>
    </row>
    <row r="147" ht="14.25" customHeight="1">
      <c r="A147" s="1">
        <v>107.0</v>
      </c>
      <c r="B147" s="1">
        <v>8.1</v>
      </c>
      <c r="K147" s="4"/>
      <c r="P147" s="5"/>
      <c r="Q147" s="24"/>
    </row>
    <row r="148" ht="14.25" customHeight="1">
      <c r="A148" s="1">
        <v>107.0</v>
      </c>
      <c r="B148" s="1">
        <v>8.1</v>
      </c>
      <c r="K148" s="4"/>
      <c r="P148" s="5"/>
      <c r="Q148" s="24"/>
    </row>
    <row r="149" ht="14.25" customHeight="1">
      <c r="A149" s="1">
        <v>105.0</v>
      </c>
      <c r="B149" s="1">
        <v>8.1</v>
      </c>
      <c r="K149" s="4"/>
      <c r="P149" s="5"/>
      <c r="Q149" s="24"/>
    </row>
    <row r="150" ht="14.25" customHeight="1">
      <c r="A150" s="1">
        <v>105.0</v>
      </c>
      <c r="B150" s="1">
        <v>8.1</v>
      </c>
      <c r="K150" s="4"/>
      <c r="P150" s="5"/>
      <c r="Q150" s="24"/>
    </row>
    <row r="151" ht="14.25" customHeight="1">
      <c r="A151" s="1">
        <v>103.0</v>
      </c>
      <c r="B151" s="1">
        <v>8.1</v>
      </c>
      <c r="K151" s="4"/>
      <c r="P151" s="5"/>
      <c r="Q151" s="24"/>
    </row>
    <row r="152" ht="14.25" customHeight="1">
      <c r="A152" s="1">
        <v>102.0</v>
      </c>
      <c r="B152" s="1">
        <v>8.1</v>
      </c>
      <c r="K152" s="4"/>
      <c r="P152" s="5"/>
      <c r="Q152" s="24"/>
    </row>
    <row r="153" ht="14.25" customHeight="1">
      <c r="A153" s="1">
        <v>101.0</v>
      </c>
      <c r="B153" s="1">
        <v>8.1</v>
      </c>
      <c r="K153" s="4"/>
      <c r="P153" s="5"/>
      <c r="Q153" s="24"/>
    </row>
    <row r="154" ht="14.25" customHeight="1">
      <c r="A154" s="1">
        <v>100.0</v>
      </c>
      <c r="B154" s="1">
        <v>8.1</v>
      </c>
      <c r="K154" s="4"/>
      <c r="P154" s="5"/>
      <c r="Q154" s="24"/>
    </row>
    <row r="155" ht="14.25" customHeight="1">
      <c r="A155" s="1">
        <v>99.0</v>
      </c>
      <c r="B155" s="1">
        <v>8.1</v>
      </c>
      <c r="K155" s="4"/>
      <c r="P155" s="5"/>
      <c r="Q155" s="24"/>
    </row>
    <row r="156" ht="14.25" customHeight="1">
      <c r="A156" s="1">
        <v>98.0</v>
      </c>
      <c r="B156" s="1">
        <v>8.1</v>
      </c>
      <c r="K156" s="4"/>
      <c r="P156" s="5"/>
      <c r="Q156" s="24"/>
    </row>
    <row r="157" ht="14.25" customHeight="1">
      <c r="A157" s="1">
        <v>95.0</v>
      </c>
      <c r="B157" s="1">
        <v>8.1</v>
      </c>
      <c r="K157" s="4"/>
      <c r="P157" s="5"/>
      <c r="Q157" s="24"/>
    </row>
    <row r="158" ht="14.25" customHeight="1">
      <c r="A158" s="1">
        <v>93.0</v>
      </c>
      <c r="B158" s="1">
        <v>8.1</v>
      </c>
      <c r="K158" s="4"/>
      <c r="P158" s="5"/>
      <c r="Q158" s="24"/>
    </row>
    <row r="159" ht="14.25" customHeight="1">
      <c r="A159" s="1">
        <v>92.0</v>
      </c>
      <c r="B159" s="1">
        <v>8.1</v>
      </c>
      <c r="K159" s="4"/>
      <c r="P159" s="5"/>
      <c r="Q159" s="24"/>
    </row>
    <row r="160" ht="14.25" customHeight="1">
      <c r="A160" s="1">
        <v>89.0</v>
      </c>
      <c r="B160" s="1">
        <v>8.1</v>
      </c>
      <c r="K160" s="4"/>
      <c r="P160" s="5"/>
      <c r="Q160" s="24"/>
    </row>
    <row r="161" ht="14.25" customHeight="1">
      <c r="A161" s="1">
        <v>330.0</v>
      </c>
      <c r="B161" s="1">
        <v>8.0</v>
      </c>
      <c r="K161" s="4"/>
      <c r="P161" s="5"/>
      <c r="Q161" s="24"/>
    </row>
    <row r="162" ht="14.25" customHeight="1">
      <c r="A162" s="1">
        <v>236.0</v>
      </c>
      <c r="B162" s="1">
        <v>8.0</v>
      </c>
      <c r="K162" s="4"/>
      <c r="P162" s="5"/>
      <c r="Q162" s="24"/>
    </row>
    <row r="163" ht="14.25" customHeight="1">
      <c r="A163" s="1">
        <v>206.0</v>
      </c>
      <c r="B163" s="1">
        <v>8.0</v>
      </c>
      <c r="K163" s="4"/>
      <c r="P163" s="5"/>
      <c r="Q163" s="24"/>
    </row>
    <row r="164" ht="14.25" customHeight="1">
      <c r="A164" s="1">
        <v>200.0</v>
      </c>
      <c r="B164" s="1">
        <v>8.0</v>
      </c>
      <c r="K164" s="4"/>
      <c r="P164" s="5"/>
      <c r="Q164" s="24"/>
    </row>
    <row r="165" ht="14.25" customHeight="1">
      <c r="A165" s="1">
        <v>188.0</v>
      </c>
      <c r="B165" s="1">
        <v>8.0</v>
      </c>
      <c r="K165" s="4"/>
      <c r="P165" s="5"/>
      <c r="Q165" s="24"/>
    </row>
    <row r="166" ht="14.25" customHeight="1">
      <c r="A166" s="1">
        <v>181.0</v>
      </c>
      <c r="B166" s="1">
        <v>8.0</v>
      </c>
      <c r="K166" s="4"/>
      <c r="P166" s="5"/>
      <c r="Q166" s="24"/>
    </row>
    <row r="167" ht="14.25" customHeight="1">
      <c r="A167" s="1">
        <v>174.0</v>
      </c>
      <c r="B167" s="1">
        <v>8.0</v>
      </c>
      <c r="K167" s="4"/>
      <c r="P167" s="5"/>
      <c r="Q167" s="24"/>
    </row>
    <row r="168" ht="14.25" customHeight="1">
      <c r="A168" s="1">
        <v>165.0</v>
      </c>
      <c r="B168" s="1">
        <v>8.0</v>
      </c>
      <c r="K168" s="4"/>
      <c r="P168" s="5"/>
      <c r="Q168" s="24"/>
    </row>
    <row r="169" ht="14.25" customHeight="1">
      <c r="A169" s="1">
        <v>149.0</v>
      </c>
      <c r="B169" s="1">
        <v>8.0</v>
      </c>
      <c r="K169" s="4"/>
      <c r="P169" s="5"/>
      <c r="Q169" s="24"/>
    </row>
    <row r="170" ht="14.25" customHeight="1">
      <c r="A170" s="1">
        <v>148.0</v>
      </c>
      <c r="B170" s="1">
        <v>8.0</v>
      </c>
      <c r="K170" s="4"/>
      <c r="P170" s="5"/>
      <c r="Q170" s="24"/>
    </row>
    <row r="171" ht="14.25" customHeight="1">
      <c r="A171" s="1">
        <v>147.0</v>
      </c>
      <c r="B171" s="1">
        <v>8.0</v>
      </c>
      <c r="K171" s="4"/>
      <c r="P171" s="5"/>
      <c r="Q171" s="24"/>
    </row>
    <row r="172" ht="14.25" customHeight="1">
      <c r="A172" s="1">
        <v>144.0</v>
      </c>
      <c r="B172" s="1">
        <v>8.0</v>
      </c>
      <c r="K172" s="4"/>
      <c r="P172" s="5"/>
      <c r="Q172" s="24"/>
    </row>
    <row r="173" ht="14.25" customHeight="1">
      <c r="A173" s="1">
        <v>144.0</v>
      </c>
      <c r="B173" s="1">
        <v>8.0</v>
      </c>
      <c r="K173" s="4"/>
      <c r="P173" s="5"/>
      <c r="Q173" s="24"/>
    </row>
    <row r="174" ht="14.25" customHeight="1">
      <c r="A174" s="1">
        <v>144.0</v>
      </c>
      <c r="B174" s="1">
        <v>8.0</v>
      </c>
      <c r="K174" s="4"/>
      <c r="P174" s="5"/>
      <c r="Q174" s="24"/>
    </row>
    <row r="175" ht="14.25" customHeight="1">
      <c r="A175" s="1">
        <v>143.0</v>
      </c>
      <c r="B175" s="1">
        <v>8.0</v>
      </c>
      <c r="K175" s="4"/>
      <c r="P175" s="5"/>
      <c r="Q175" s="24"/>
    </row>
    <row r="176" ht="14.25" customHeight="1">
      <c r="A176" s="1">
        <v>142.0</v>
      </c>
      <c r="B176" s="1">
        <v>8.0</v>
      </c>
      <c r="K176" s="4"/>
      <c r="P176" s="5"/>
      <c r="Q176" s="24"/>
    </row>
    <row r="177" ht="14.25" customHeight="1">
      <c r="A177" s="1">
        <v>141.0</v>
      </c>
      <c r="B177" s="1">
        <v>8.0</v>
      </c>
      <c r="K177" s="4"/>
      <c r="P177" s="5"/>
      <c r="Q177" s="24"/>
    </row>
    <row r="178" ht="14.25" customHeight="1">
      <c r="A178" s="1">
        <v>140.0</v>
      </c>
      <c r="B178" s="1">
        <v>8.0</v>
      </c>
      <c r="K178" s="4"/>
      <c r="P178" s="5"/>
      <c r="Q178" s="24"/>
    </row>
    <row r="179" ht="14.25" customHeight="1">
      <c r="A179" s="1">
        <v>138.0</v>
      </c>
      <c r="B179" s="1">
        <v>8.0</v>
      </c>
      <c r="K179" s="4"/>
      <c r="P179" s="5"/>
      <c r="Q179" s="24"/>
    </row>
    <row r="180" ht="14.25" customHeight="1">
      <c r="A180" s="1">
        <v>137.0</v>
      </c>
      <c r="B180" s="1">
        <v>8.0</v>
      </c>
      <c r="K180" s="4"/>
      <c r="P180" s="5"/>
      <c r="Q180" s="24"/>
    </row>
    <row r="181" ht="14.25" customHeight="1">
      <c r="A181" s="1">
        <v>133.0</v>
      </c>
      <c r="B181" s="1">
        <v>8.0</v>
      </c>
      <c r="K181" s="4"/>
      <c r="P181" s="5"/>
      <c r="Q181" s="24"/>
    </row>
    <row r="182" ht="14.25" customHeight="1">
      <c r="A182" s="1">
        <v>132.0</v>
      </c>
      <c r="B182" s="1">
        <v>8.0</v>
      </c>
      <c r="K182" s="4"/>
      <c r="P182" s="5"/>
      <c r="Q182" s="24"/>
    </row>
    <row r="183" ht="14.25" customHeight="1">
      <c r="A183" s="1">
        <v>130.0</v>
      </c>
      <c r="B183" s="1">
        <v>8.0</v>
      </c>
      <c r="K183" s="4"/>
      <c r="P183" s="5"/>
      <c r="Q183" s="24"/>
    </row>
    <row r="184" ht="14.25" customHeight="1">
      <c r="A184" s="1">
        <v>128.0</v>
      </c>
      <c r="B184" s="1">
        <v>8.0</v>
      </c>
      <c r="K184" s="4"/>
      <c r="P184" s="5"/>
      <c r="Q184" s="24"/>
    </row>
    <row r="185" ht="14.25" customHeight="1">
      <c r="A185" s="1">
        <v>128.0</v>
      </c>
      <c r="B185" s="1">
        <v>8.0</v>
      </c>
      <c r="K185" s="4"/>
      <c r="P185" s="5"/>
      <c r="Q185" s="24"/>
    </row>
    <row r="186" ht="14.25" customHeight="1">
      <c r="A186" s="1">
        <v>127.0</v>
      </c>
      <c r="B186" s="1">
        <v>8.0</v>
      </c>
      <c r="K186" s="4"/>
      <c r="P186" s="5"/>
      <c r="Q186" s="24"/>
    </row>
    <row r="187" ht="14.25" customHeight="1">
      <c r="A187" s="1">
        <v>127.0</v>
      </c>
      <c r="B187" s="1">
        <v>8.0</v>
      </c>
      <c r="K187" s="4"/>
      <c r="P187" s="5"/>
      <c r="Q187" s="24"/>
    </row>
    <row r="188" ht="14.25" customHeight="1">
      <c r="A188" s="1">
        <v>126.0</v>
      </c>
      <c r="B188" s="1">
        <v>8.0</v>
      </c>
      <c r="K188" s="4"/>
      <c r="P188" s="5"/>
      <c r="Q188" s="24"/>
    </row>
    <row r="189" ht="14.25" customHeight="1">
      <c r="A189" s="1">
        <v>125.0</v>
      </c>
      <c r="B189" s="1">
        <v>8.0</v>
      </c>
      <c r="K189" s="4"/>
      <c r="P189" s="5"/>
      <c r="Q189" s="24"/>
    </row>
    <row r="190" ht="14.25" customHeight="1">
      <c r="A190" s="1">
        <v>123.0</v>
      </c>
      <c r="B190" s="1">
        <v>8.0</v>
      </c>
      <c r="K190" s="4"/>
      <c r="P190" s="5"/>
      <c r="Q190" s="24"/>
    </row>
    <row r="191" ht="14.25" customHeight="1">
      <c r="A191" s="1">
        <v>121.0</v>
      </c>
      <c r="B191" s="1">
        <v>8.0</v>
      </c>
      <c r="K191" s="4"/>
      <c r="P191" s="5"/>
      <c r="Q191" s="24"/>
    </row>
    <row r="192" ht="14.25" customHeight="1">
      <c r="A192" s="1">
        <v>120.0</v>
      </c>
      <c r="B192" s="1">
        <v>8.0</v>
      </c>
      <c r="K192" s="4"/>
      <c r="P192" s="5"/>
      <c r="Q192" s="24"/>
    </row>
    <row r="193" ht="14.25" customHeight="1">
      <c r="A193" s="1">
        <v>120.0</v>
      </c>
      <c r="B193" s="1">
        <v>8.0</v>
      </c>
      <c r="K193" s="4"/>
      <c r="P193" s="5"/>
      <c r="Q193" s="24"/>
    </row>
    <row r="194" ht="14.25" customHeight="1">
      <c r="A194" s="1">
        <v>119.0</v>
      </c>
      <c r="B194" s="1">
        <v>8.0</v>
      </c>
      <c r="K194" s="4"/>
      <c r="P194" s="5"/>
      <c r="Q194" s="24"/>
    </row>
    <row r="195" ht="14.25" customHeight="1">
      <c r="A195" s="1">
        <v>118.0</v>
      </c>
      <c r="B195" s="1">
        <v>8.0</v>
      </c>
      <c r="K195" s="4"/>
      <c r="P195" s="5"/>
      <c r="Q195" s="24"/>
    </row>
    <row r="196" ht="14.25" customHeight="1">
      <c r="A196" s="1">
        <v>117.0</v>
      </c>
      <c r="B196" s="1">
        <v>8.0</v>
      </c>
      <c r="K196" s="4"/>
      <c r="P196" s="5"/>
      <c r="Q196" s="24"/>
    </row>
    <row r="197" ht="14.25" customHeight="1">
      <c r="A197" s="1">
        <v>117.0</v>
      </c>
      <c r="B197" s="1">
        <v>8.0</v>
      </c>
      <c r="K197" s="4"/>
      <c r="P197" s="5"/>
      <c r="Q197" s="24"/>
    </row>
    <row r="198" ht="14.25" customHeight="1">
      <c r="A198" s="1">
        <v>115.0</v>
      </c>
      <c r="B198" s="1">
        <v>8.0</v>
      </c>
      <c r="K198" s="4"/>
      <c r="P198" s="5"/>
      <c r="Q198" s="24"/>
    </row>
    <row r="199" ht="14.25" customHeight="1">
      <c r="A199" s="1">
        <v>113.0</v>
      </c>
      <c r="B199" s="1">
        <v>8.0</v>
      </c>
      <c r="K199" s="4"/>
      <c r="P199" s="5"/>
      <c r="Q199" s="24"/>
    </row>
    <row r="200" ht="14.25" customHeight="1">
      <c r="A200" s="1">
        <v>112.0</v>
      </c>
      <c r="B200" s="1">
        <v>8.0</v>
      </c>
      <c r="K200" s="4"/>
      <c r="P200" s="5"/>
      <c r="Q200" s="24"/>
    </row>
    <row r="201" ht="14.25" customHeight="1">
      <c r="A201" s="1">
        <v>112.0</v>
      </c>
      <c r="B201" s="1">
        <v>8.0</v>
      </c>
      <c r="K201" s="4"/>
      <c r="P201" s="5"/>
      <c r="Q201" s="24"/>
    </row>
    <row r="202" ht="14.25" customHeight="1">
      <c r="A202" s="1">
        <v>111.0</v>
      </c>
      <c r="B202" s="1">
        <v>8.0</v>
      </c>
      <c r="K202" s="4"/>
      <c r="P202" s="5"/>
      <c r="Q202" s="24"/>
    </row>
    <row r="203" ht="14.25" customHeight="1">
      <c r="A203" s="1">
        <v>108.0</v>
      </c>
      <c r="B203" s="1">
        <v>8.0</v>
      </c>
      <c r="K203" s="4"/>
      <c r="P203" s="5"/>
      <c r="Q203" s="24"/>
    </row>
    <row r="204" ht="14.25" customHeight="1">
      <c r="A204" s="1">
        <v>107.0</v>
      </c>
      <c r="B204" s="1">
        <v>8.0</v>
      </c>
      <c r="K204" s="4"/>
      <c r="P204" s="5"/>
      <c r="Q204" s="24"/>
    </row>
    <row r="205" ht="14.25" customHeight="1">
      <c r="A205" s="1">
        <v>106.0</v>
      </c>
      <c r="B205" s="1">
        <v>8.0</v>
      </c>
      <c r="K205" s="4"/>
      <c r="P205" s="5"/>
      <c r="Q205" s="24"/>
    </row>
    <row r="206" ht="14.25" customHeight="1">
      <c r="A206" s="1">
        <v>102.0</v>
      </c>
      <c r="B206" s="1">
        <v>8.0</v>
      </c>
      <c r="K206" s="4"/>
      <c r="P206" s="5"/>
      <c r="Q206" s="24"/>
    </row>
    <row r="207" ht="14.25" customHeight="1">
      <c r="A207" s="1">
        <v>100.0</v>
      </c>
      <c r="B207" s="1">
        <v>8.0</v>
      </c>
      <c r="K207" s="4"/>
      <c r="P207" s="5"/>
      <c r="Q207" s="24"/>
    </row>
    <row r="208" ht="14.25" customHeight="1">
      <c r="A208" s="1">
        <v>99.0</v>
      </c>
      <c r="B208" s="1">
        <v>8.0</v>
      </c>
      <c r="K208" s="4"/>
      <c r="P208" s="5"/>
      <c r="Q208" s="24"/>
    </row>
    <row r="209" ht="14.25" customHeight="1">
      <c r="A209" s="1">
        <v>99.0</v>
      </c>
      <c r="B209" s="1">
        <v>8.0</v>
      </c>
      <c r="K209" s="4"/>
      <c r="P209" s="5"/>
      <c r="Q209" s="24"/>
    </row>
    <row r="210" ht="14.25" customHeight="1">
      <c r="A210" s="1">
        <v>90.0</v>
      </c>
      <c r="B210" s="1">
        <v>8.0</v>
      </c>
      <c r="K210" s="4"/>
      <c r="P210" s="5"/>
      <c r="Q210" s="24"/>
    </row>
    <row r="211" ht="14.25" customHeight="1">
      <c r="A211" s="1">
        <v>90.0</v>
      </c>
      <c r="B211" s="1">
        <v>8.0</v>
      </c>
      <c r="K211" s="4"/>
      <c r="P211" s="5"/>
      <c r="Q211" s="24"/>
    </row>
    <row r="212" ht="14.25" customHeight="1">
      <c r="A212" s="1">
        <v>90.0</v>
      </c>
      <c r="B212" s="1">
        <v>8.0</v>
      </c>
      <c r="K212" s="4"/>
      <c r="P212" s="5"/>
      <c r="Q212" s="24"/>
    </row>
    <row r="213" ht="14.25" customHeight="1">
      <c r="A213" s="1">
        <v>89.0</v>
      </c>
      <c r="B213" s="1">
        <v>8.0</v>
      </c>
      <c r="K213" s="4"/>
      <c r="P213" s="5"/>
      <c r="Q213" s="24"/>
    </row>
    <row r="214" ht="14.25" customHeight="1">
      <c r="A214" s="1">
        <v>81.0</v>
      </c>
      <c r="B214" s="1">
        <v>8.0</v>
      </c>
      <c r="K214" s="4"/>
      <c r="P214" s="5"/>
      <c r="Q214" s="24"/>
    </row>
    <row r="215" ht="14.25" customHeight="1">
      <c r="A215" s="1">
        <v>80.0</v>
      </c>
      <c r="B215" s="1">
        <v>8.0</v>
      </c>
      <c r="K215" s="4"/>
      <c r="P215" s="5"/>
      <c r="Q215" s="24"/>
    </row>
    <row r="216" ht="14.25" customHeight="1">
      <c r="A216" s="1">
        <v>193.0</v>
      </c>
      <c r="B216" s="1">
        <v>7.9</v>
      </c>
      <c r="K216" s="4"/>
      <c r="P216" s="5"/>
      <c r="Q216" s="24"/>
    </row>
    <row r="217" ht="14.25" customHeight="1">
      <c r="A217" s="1">
        <v>192.0</v>
      </c>
      <c r="B217" s="1">
        <v>7.9</v>
      </c>
      <c r="K217" s="4"/>
      <c r="P217" s="5"/>
      <c r="Q217" s="24"/>
    </row>
    <row r="218" ht="14.25" customHeight="1">
      <c r="A218" s="1">
        <v>187.0</v>
      </c>
      <c r="B218" s="1">
        <v>7.9</v>
      </c>
      <c r="K218" s="4"/>
      <c r="P218" s="5"/>
      <c r="Q218" s="24"/>
    </row>
    <row r="219" ht="14.25" customHeight="1">
      <c r="A219" s="1">
        <v>186.0</v>
      </c>
      <c r="B219" s="1">
        <v>7.9</v>
      </c>
      <c r="K219" s="4"/>
      <c r="P219" s="5"/>
      <c r="Q219" s="24"/>
    </row>
    <row r="220" ht="14.25" customHeight="1">
      <c r="A220" s="1">
        <v>182.0</v>
      </c>
      <c r="B220" s="1">
        <v>7.9</v>
      </c>
      <c r="K220" s="4"/>
      <c r="P220" s="5"/>
      <c r="Q220" s="24"/>
    </row>
    <row r="221" ht="14.25" customHeight="1">
      <c r="A221" s="1">
        <v>178.0</v>
      </c>
      <c r="B221" s="1">
        <v>7.9</v>
      </c>
      <c r="K221" s="4"/>
      <c r="P221" s="5"/>
      <c r="Q221" s="24"/>
    </row>
    <row r="222" ht="14.25" customHeight="1">
      <c r="A222" s="1">
        <v>170.0</v>
      </c>
      <c r="B222" s="1">
        <v>7.9</v>
      </c>
      <c r="K222" s="4"/>
      <c r="P222" s="5"/>
      <c r="Q222" s="24"/>
    </row>
    <row r="223" ht="14.25" customHeight="1">
      <c r="A223" s="1">
        <v>167.0</v>
      </c>
      <c r="B223" s="1">
        <v>7.9</v>
      </c>
      <c r="K223" s="4"/>
      <c r="P223" s="5"/>
      <c r="Q223" s="24"/>
    </row>
    <row r="224" ht="14.25" customHeight="1">
      <c r="A224" s="1">
        <v>157.0</v>
      </c>
      <c r="B224" s="1">
        <v>7.9</v>
      </c>
      <c r="K224" s="4"/>
      <c r="P224" s="5"/>
      <c r="Q224" s="24"/>
    </row>
    <row r="225" ht="14.25" customHeight="1">
      <c r="A225" s="1">
        <v>155.0</v>
      </c>
      <c r="B225" s="1">
        <v>7.9</v>
      </c>
      <c r="K225" s="4"/>
      <c r="P225" s="5"/>
      <c r="Q225" s="24"/>
    </row>
    <row r="226" ht="14.25" customHeight="1">
      <c r="A226" s="1">
        <v>153.0</v>
      </c>
      <c r="B226" s="1">
        <v>7.9</v>
      </c>
      <c r="K226" s="4"/>
      <c r="P226" s="5"/>
      <c r="Q226" s="24"/>
    </row>
    <row r="227" ht="14.25" customHeight="1">
      <c r="A227" s="1">
        <v>152.0</v>
      </c>
      <c r="B227" s="1">
        <v>7.9</v>
      </c>
      <c r="K227" s="4"/>
      <c r="P227" s="5"/>
      <c r="Q227" s="24"/>
    </row>
    <row r="228" ht="14.25" customHeight="1">
      <c r="A228" s="1">
        <v>148.0</v>
      </c>
      <c r="B228" s="1">
        <v>7.9</v>
      </c>
      <c r="K228" s="4"/>
      <c r="P228" s="5"/>
      <c r="Q228" s="24"/>
    </row>
    <row r="229" ht="14.25" customHeight="1">
      <c r="A229" s="1">
        <v>141.0</v>
      </c>
      <c r="B229" s="1">
        <v>7.9</v>
      </c>
      <c r="K229" s="4"/>
      <c r="P229" s="5"/>
      <c r="Q229" s="24"/>
    </row>
    <row r="230" ht="14.25" customHeight="1">
      <c r="A230" s="1">
        <v>134.0</v>
      </c>
      <c r="B230" s="1">
        <v>7.9</v>
      </c>
      <c r="K230" s="4"/>
      <c r="P230" s="5"/>
      <c r="Q230" s="24"/>
    </row>
    <row r="231" ht="14.25" customHeight="1">
      <c r="A231" s="1">
        <v>134.0</v>
      </c>
      <c r="B231" s="1">
        <v>7.9</v>
      </c>
      <c r="K231" s="4"/>
      <c r="P231" s="5"/>
      <c r="Q231" s="24"/>
    </row>
    <row r="232" ht="14.25" customHeight="1">
      <c r="A232" s="1">
        <v>127.0</v>
      </c>
      <c r="B232" s="1">
        <v>7.9</v>
      </c>
      <c r="K232" s="4"/>
      <c r="P232" s="5"/>
      <c r="Q232" s="24"/>
    </row>
    <row r="233" ht="14.25" customHeight="1">
      <c r="A233" s="1">
        <v>127.0</v>
      </c>
      <c r="B233" s="1">
        <v>7.9</v>
      </c>
      <c r="K233" s="4"/>
      <c r="P233" s="5"/>
      <c r="Q233" s="24"/>
    </row>
    <row r="234" ht="14.25" customHeight="1">
      <c r="A234" s="1">
        <v>127.0</v>
      </c>
      <c r="B234" s="1">
        <v>7.9</v>
      </c>
      <c r="K234" s="4"/>
      <c r="P234" s="5"/>
      <c r="Q234" s="24"/>
    </row>
    <row r="235" ht="14.25" customHeight="1">
      <c r="A235" s="1">
        <v>126.0</v>
      </c>
      <c r="B235" s="1">
        <v>7.9</v>
      </c>
      <c r="K235" s="4"/>
      <c r="P235" s="5"/>
      <c r="Q235" s="24"/>
    </row>
    <row r="236" ht="14.25" customHeight="1">
      <c r="A236" s="1">
        <v>123.0</v>
      </c>
      <c r="B236" s="1">
        <v>7.9</v>
      </c>
      <c r="K236" s="4"/>
      <c r="P236" s="5"/>
      <c r="Q236" s="24"/>
    </row>
    <row r="237" ht="14.25" customHeight="1">
      <c r="A237" s="1">
        <v>122.0</v>
      </c>
      <c r="B237" s="1">
        <v>7.9</v>
      </c>
      <c r="K237" s="4"/>
      <c r="P237" s="5"/>
      <c r="Q237" s="24"/>
    </row>
    <row r="238" ht="14.25" customHeight="1">
      <c r="A238" s="1">
        <v>122.0</v>
      </c>
      <c r="B238" s="1">
        <v>7.9</v>
      </c>
      <c r="K238" s="4"/>
      <c r="P238" s="5"/>
      <c r="Q238" s="24"/>
    </row>
    <row r="239" ht="14.25" customHeight="1">
      <c r="A239" s="1">
        <v>121.0</v>
      </c>
      <c r="B239" s="1">
        <v>7.9</v>
      </c>
      <c r="K239" s="4"/>
      <c r="P239" s="5"/>
      <c r="Q239" s="24"/>
    </row>
    <row r="240" ht="14.25" customHeight="1">
      <c r="A240" s="1">
        <v>120.0</v>
      </c>
      <c r="B240" s="1">
        <v>7.9</v>
      </c>
      <c r="K240" s="4"/>
      <c r="P240" s="5"/>
      <c r="Q240" s="24"/>
    </row>
    <row r="241" ht="14.25" customHeight="1">
      <c r="A241" s="1">
        <v>120.0</v>
      </c>
      <c r="B241" s="1">
        <v>7.9</v>
      </c>
      <c r="K241" s="4"/>
      <c r="P241" s="5"/>
      <c r="Q241" s="24"/>
    </row>
    <row r="242" ht="14.25" customHeight="1">
      <c r="A242" s="1">
        <v>120.0</v>
      </c>
      <c r="B242" s="1">
        <v>7.9</v>
      </c>
      <c r="K242" s="4"/>
      <c r="P242" s="5"/>
      <c r="Q242" s="24"/>
    </row>
    <row r="243" ht="14.25" customHeight="1">
      <c r="A243" s="1">
        <v>119.0</v>
      </c>
      <c r="B243" s="1">
        <v>7.9</v>
      </c>
      <c r="K243" s="4"/>
      <c r="P243" s="5"/>
      <c r="Q243" s="24"/>
    </row>
    <row r="244" ht="14.25" customHeight="1">
      <c r="A244" s="1">
        <v>119.0</v>
      </c>
      <c r="B244" s="1">
        <v>7.9</v>
      </c>
      <c r="K244" s="4"/>
      <c r="P244" s="5"/>
      <c r="Q244" s="24"/>
    </row>
    <row r="245" ht="14.25" customHeight="1">
      <c r="A245" s="1">
        <v>117.0</v>
      </c>
      <c r="B245" s="1">
        <v>7.9</v>
      </c>
      <c r="K245" s="4"/>
      <c r="P245" s="5"/>
      <c r="Q245" s="24"/>
    </row>
    <row r="246" ht="14.25" customHeight="1">
      <c r="A246" s="1">
        <v>116.0</v>
      </c>
      <c r="B246" s="1">
        <v>7.9</v>
      </c>
      <c r="K246" s="4"/>
      <c r="P246" s="5"/>
      <c r="Q246" s="24"/>
    </row>
    <row r="247" ht="14.25" customHeight="1">
      <c r="A247" s="1">
        <v>115.0</v>
      </c>
      <c r="B247" s="1">
        <v>7.9</v>
      </c>
      <c r="K247" s="4"/>
      <c r="P247" s="5"/>
      <c r="Q247" s="24"/>
    </row>
    <row r="248" ht="14.25" customHeight="1">
      <c r="A248" s="1">
        <v>114.0</v>
      </c>
      <c r="B248" s="1">
        <v>7.9</v>
      </c>
      <c r="K248" s="4"/>
      <c r="P248" s="5"/>
      <c r="Q248" s="24"/>
    </row>
    <row r="249" ht="14.25" customHeight="1">
      <c r="A249" s="1">
        <v>113.0</v>
      </c>
      <c r="B249" s="1">
        <v>7.9</v>
      </c>
      <c r="K249" s="4"/>
      <c r="P249" s="5"/>
      <c r="Q249" s="24"/>
    </row>
    <row r="250" ht="14.25" customHeight="1">
      <c r="A250" s="1">
        <v>113.0</v>
      </c>
      <c r="B250" s="1">
        <v>7.9</v>
      </c>
      <c r="K250" s="4"/>
      <c r="P250" s="5"/>
      <c r="Q250" s="24"/>
    </row>
    <row r="251" ht="14.25" customHeight="1">
      <c r="A251" s="1">
        <v>112.0</v>
      </c>
      <c r="B251" s="1">
        <v>7.9</v>
      </c>
      <c r="K251" s="4"/>
      <c r="P251" s="5"/>
      <c r="Q251" s="24"/>
    </row>
    <row r="252" ht="14.25" customHeight="1">
      <c r="A252" s="1">
        <v>109.0</v>
      </c>
      <c r="B252" s="1">
        <v>7.9</v>
      </c>
      <c r="K252" s="4"/>
      <c r="P252" s="5"/>
      <c r="Q252" s="24"/>
    </row>
    <row r="253" ht="14.25" customHeight="1">
      <c r="A253" s="1">
        <v>109.0</v>
      </c>
      <c r="B253" s="1">
        <v>7.9</v>
      </c>
      <c r="K253" s="4"/>
      <c r="P253" s="5"/>
      <c r="Q253" s="24"/>
    </row>
    <row r="254" ht="14.25" customHeight="1">
      <c r="A254" s="1">
        <v>109.0</v>
      </c>
      <c r="B254" s="1">
        <v>7.9</v>
      </c>
      <c r="K254" s="4"/>
      <c r="P254" s="5"/>
      <c r="Q254" s="24"/>
    </row>
    <row r="255" ht="14.25" customHeight="1">
      <c r="A255" s="1">
        <v>105.0</v>
      </c>
      <c r="B255" s="1">
        <v>7.9</v>
      </c>
      <c r="K255" s="4"/>
      <c r="P255" s="5"/>
      <c r="Q255" s="24"/>
    </row>
    <row r="256" ht="14.25" customHeight="1">
      <c r="A256" s="1">
        <v>102.0</v>
      </c>
      <c r="B256" s="1">
        <v>7.9</v>
      </c>
      <c r="K256" s="4"/>
      <c r="P256" s="5"/>
      <c r="Q256" s="24"/>
    </row>
    <row r="257" ht="14.25" customHeight="1">
      <c r="A257" s="1">
        <v>102.0</v>
      </c>
      <c r="B257" s="1">
        <v>7.9</v>
      </c>
      <c r="K257" s="4"/>
      <c r="P257" s="5"/>
      <c r="Q257" s="24"/>
    </row>
    <row r="258" ht="14.25" customHeight="1">
      <c r="A258" s="1">
        <v>101.0</v>
      </c>
      <c r="B258" s="1">
        <v>7.9</v>
      </c>
      <c r="K258" s="4"/>
      <c r="P258" s="5"/>
      <c r="Q258" s="24"/>
    </row>
    <row r="259" ht="14.25" customHeight="1">
      <c r="A259" s="1">
        <v>101.0</v>
      </c>
      <c r="B259" s="1">
        <v>7.9</v>
      </c>
      <c r="K259" s="4"/>
      <c r="P259" s="5"/>
      <c r="Q259" s="24"/>
    </row>
    <row r="260" ht="14.25" customHeight="1">
      <c r="A260" s="1">
        <v>101.0</v>
      </c>
      <c r="B260" s="1">
        <v>7.9</v>
      </c>
      <c r="K260" s="4"/>
      <c r="P260" s="5"/>
      <c r="Q260" s="24"/>
    </row>
    <row r="261" ht="14.25" customHeight="1">
      <c r="A261" s="1">
        <v>97.0</v>
      </c>
      <c r="B261" s="1">
        <v>7.9</v>
      </c>
      <c r="K261" s="4"/>
      <c r="P261" s="5"/>
      <c r="Q261" s="24"/>
    </row>
    <row r="262" ht="14.25" customHeight="1">
      <c r="A262" s="1">
        <v>97.0</v>
      </c>
      <c r="B262" s="1">
        <v>7.9</v>
      </c>
      <c r="K262" s="4"/>
      <c r="P262" s="5"/>
      <c r="Q262" s="24"/>
    </row>
    <row r="263" ht="14.25" customHeight="1">
      <c r="A263" s="1">
        <v>93.0</v>
      </c>
      <c r="B263" s="1">
        <v>7.9</v>
      </c>
      <c r="K263" s="4"/>
      <c r="P263" s="5"/>
      <c r="Q263" s="24"/>
    </row>
    <row r="264" ht="14.25" customHeight="1">
      <c r="A264" s="1">
        <v>90.0</v>
      </c>
      <c r="B264" s="1">
        <v>7.9</v>
      </c>
      <c r="K264" s="4"/>
      <c r="P264" s="5"/>
      <c r="Q264" s="24"/>
    </row>
    <row r="265" ht="14.25" customHeight="1">
      <c r="A265" s="1">
        <v>85.0</v>
      </c>
      <c r="B265" s="1">
        <v>7.9</v>
      </c>
      <c r="K265" s="4"/>
      <c r="P265" s="5"/>
      <c r="Q265" s="24"/>
    </row>
    <row r="266" ht="14.25" customHeight="1">
      <c r="A266" s="1">
        <v>82.0</v>
      </c>
      <c r="B266" s="1">
        <v>7.9</v>
      </c>
      <c r="K266" s="4"/>
      <c r="P266" s="5"/>
      <c r="Q266" s="24"/>
    </row>
    <row r="267" ht="14.25" customHeight="1">
      <c r="A267" s="1">
        <v>80.0</v>
      </c>
      <c r="B267" s="1">
        <v>7.9</v>
      </c>
      <c r="K267" s="4"/>
      <c r="P267" s="5"/>
      <c r="Q267" s="24"/>
    </row>
    <row r="268" ht="14.25" customHeight="1">
      <c r="A268" s="1">
        <v>80.0</v>
      </c>
      <c r="B268" s="1">
        <v>7.9</v>
      </c>
      <c r="K268" s="4"/>
      <c r="P268" s="5"/>
      <c r="Q268" s="24"/>
    </row>
    <row r="269" ht="14.25" customHeight="1">
      <c r="A269" s="1">
        <v>219.0</v>
      </c>
      <c r="B269" s="1">
        <v>7.8</v>
      </c>
      <c r="K269" s="4"/>
      <c r="P269" s="5"/>
      <c r="Q269" s="24"/>
    </row>
    <row r="270" ht="14.25" customHeight="1">
      <c r="A270" s="1">
        <v>176.0</v>
      </c>
      <c r="B270" s="1">
        <v>7.8</v>
      </c>
      <c r="K270" s="4"/>
      <c r="P270" s="5"/>
      <c r="Q270" s="24"/>
    </row>
    <row r="271" ht="14.25" customHeight="1">
      <c r="A271" s="1">
        <v>166.0</v>
      </c>
      <c r="B271" s="1">
        <v>7.8</v>
      </c>
      <c r="K271" s="4"/>
      <c r="P271" s="5"/>
      <c r="Q271" s="24"/>
    </row>
    <row r="272" ht="14.25" customHeight="1">
      <c r="A272" s="1">
        <v>158.0</v>
      </c>
      <c r="B272" s="1">
        <v>7.8</v>
      </c>
      <c r="K272" s="4"/>
      <c r="P272" s="5"/>
      <c r="Q272" s="24"/>
    </row>
    <row r="273" ht="14.25" customHeight="1">
      <c r="A273" s="1">
        <v>154.0</v>
      </c>
      <c r="B273" s="1">
        <v>7.8</v>
      </c>
      <c r="K273" s="4"/>
      <c r="P273" s="5"/>
      <c r="Q273" s="24"/>
    </row>
    <row r="274" ht="14.25" customHeight="1">
      <c r="A274" s="1">
        <v>150.0</v>
      </c>
      <c r="B274" s="1">
        <v>7.8</v>
      </c>
      <c r="K274" s="4"/>
      <c r="P274" s="5"/>
      <c r="Q274" s="24"/>
    </row>
    <row r="275" ht="14.25" customHeight="1">
      <c r="A275" s="1">
        <v>147.0</v>
      </c>
      <c r="B275" s="1">
        <v>7.8</v>
      </c>
      <c r="K275" s="4"/>
      <c r="P275" s="5"/>
      <c r="Q275" s="24"/>
    </row>
    <row r="276" ht="14.25" customHeight="1">
      <c r="A276" s="1">
        <v>145.0</v>
      </c>
      <c r="B276" s="1">
        <v>7.8</v>
      </c>
      <c r="K276" s="4"/>
      <c r="P276" s="5"/>
      <c r="Q276" s="24"/>
    </row>
    <row r="277" ht="14.25" customHeight="1">
      <c r="A277" s="1">
        <v>144.0</v>
      </c>
      <c r="B277" s="1">
        <v>7.8</v>
      </c>
      <c r="K277" s="4"/>
      <c r="P277" s="5"/>
      <c r="Q277" s="24"/>
    </row>
    <row r="278" ht="14.25" customHeight="1">
      <c r="A278" s="1">
        <v>143.0</v>
      </c>
      <c r="B278" s="1">
        <v>7.8</v>
      </c>
      <c r="K278" s="4"/>
      <c r="P278" s="5"/>
      <c r="Q278" s="24"/>
    </row>
    <row r="279" ht="14.25" customHeight="1">
      <c r="A279" s="1">
        <v>143.0</v>
      </c>
      <c r="B279" s="1">
        <v>7.8</v>
      </c>
      <c r="K279" s="4"/>
      <c r="P279" s="5"/>
      <c r="Q279" s="24"/>
    </row>
    <row r="280" ht="14.25" customHeight="1">
      <c r="A280" s="1">
        <v>142.0</v>
      </c>
      <c r="B280" s="1">
        <v>7.8</v>
      </c>
      <c r="K280" s="4"/>
      <c r="P280" s="5"/>
      <c r="Q280" s="24"/>
    </row>
    <row r="281" ht="14.25" customHeight="1">
      <c r="A281" s="1">
        <v>141.0</v>
      </c>
      <c r="B281" s="1">
        <v>7.8</v>
      </c>
      <c r="K281" s="4"/>
      <c r="P281" s="5"/>
      <c r="Q281" s="24"/>
    </row>
    <row r="282" ht="14.25" customHeight="1">
      <c r="A282" s="1">
        <v>140.0</v>
      </c>
      <c r="B282" s="1">
        <v>7.8</v>
      </c>
      <c r="K282" s="4"/>
      <c r="P282" s="5"/>
      <c r="Q282" s="24"/>
    </row>
    <row r="283" ht="14.25" customHeight="1">
      <c r="A283" s="1">
        <v>139.0</v>
      </c>
      <c r="B283" s="1">
        <v>7.8</v>
      </c>
      <c r="K283" s="4"/>
      <c r="P283" s="5"/>
      <c r="Q283" s="24"/>
    </row>
    <row r="284" ht="14.25" customHeight="1">
      <c r="A284" s="1">
        <v>139.0</v>
      </c>
      <c r="B284" s="1">
        <v>7.8</v>
      </c>
      <c r="K284" s="4"/>
      <c r="P284" s="5"/>
      <c r="Q284" s="24"/>
    </row>
    <row r="285" ht="14.25" customHeight="1">
      <c r="A285" s="1">
        <v>136.0</v>
      </c>
      <c r="B285" s="1">
        <v>7.8</v>
      </c>
      <c r="K285" s="4"/>
      <c r="P285" s="5"/>
      <c r="Q285" s="24"/>
    </row>
    <row r="286" ht="14.25" customHeight="1">
      <c r="A286" s="1">
        <v>135.0</v>
      </c>
      <c r="B286" s="1">
        <v>7.8</v>
      </c>
      <c r="K286" s="4"/>
      <c r="P286" s="5"/>
      <c r="Q286" s="24"/>
    </row>
    <row r="287" ht="14.25" customHeight="1">
      <c r="A287" s="1">
        <v>134.0</v>
      </c>
      <c r="B287" s="1">
        <v>7.8</v>
      </c>
      <c r="K287" s="4"/>
      <c r="P287" s="5"/>
      <c r="Q287" s="24"/>
    </row>
    <row r="288" ht="14.25" customHeight="1">
      <c r="A288" s="1">
        <v>134.0</v>
      </c>
      <c r="B288" s="1">
        <v>7.8</v>
      </c>
      <c r="K288" s="4"/>
      <c r="P288" s="5"/>
      <c r="Q288" s="24"/>
    </row>
    <row r="289" ht="14.25" customHeight="1">
      <c r="A289" s="1">
        <v>134.0</v>
      </c>
      <c r="B289" s="1">
        <v>7.8</v>
      </c>
      <c r="K289" s="4"/>
      <c r="P289" s="5"/>
      <c r="Q289" s="24"/>
    </row>
    <row r="290" ht="14.25" customHeight="1">
      <c r="A290" s="1">
        <v>133.0</v>
      </c>
      <c r="B290" s="1">
        <v>7.8</v>
      </c>
      <c r="K290" s="4"/>
      <c r="P290" s="5"/>
      <c r="Q290" s="24"/>
    </row>
    <row r="291" ht="14.25" customHeight="1">
      <c r="A291" s="1">
        <v>132.0</v>
      </c>
      <c r="B291" s="1">
        <v>7.8</v>
      </c>
      <c r="K291" s="4"/>
      <c r="P291" s="5"/>
      <c r="Q291" s="24"/>
    </row>
    <row r="292" ht="14.25" customHeight="1">
      <c r="A292" s="1">
        <v>132.0</v>
      </c>
      <c r="B292" s="1">
        <v>7.8</v>
      </c>
      <c r="K292" s="4"/>
      <c r="P292" s="5"/>
      <c r="Q292" s="24"/>
    </row>
    <row r="293" ht="14.25" customHeight="1">
      <c r="A293" s="1">
        <v>131.0</v>
      </c>
      <c r="B293" s="1">
        <v>7.8</v>
      </c>
      <c r="K293" s="4"/>
      <c r="P293" s="5"/>
      <c r="Q293" s="24"/>
    </row>
    <row r="294" ht="14.25" customHeight="1">
      <c r="A294" s="1">
        <v>130.0</v>
      </c>
      <c r="B294" s="1">
        <v>7.8</v>
      </c>
      <c r="K294" s="4"/>
      <c r="P294" s="5"/>
      <c r="Q294" s="24"/>
    </row>
    <row r="295" ht="14.25" customHeight="1">
      <c r="A295" s="1">
        <v>130.0</v>
      </c>
      <c r="B295" s="1">
        <v>7.8</v>
      </c>
      <c r="K295" s="4"/>
      <c r="P295" s="5"/>
      <c r="Q295" s="24"/>
    </row>
    <row r="296" ht="14.25" customHeight="1">
      <c r="A296" s="1">
        <v>129.0</v>
      </c>
      <c r="B296" s="1">
        <v>7.8</v>
      </c>
      <c r="K296" s="4"/>
      <c r="P296" s="5"/>
      <c r="Q296" s="24"/>
    </row>
    <row r="297" ht="14.25" customHeight="1">
      <c r="A297" s="1">
        <v>129.0</v>
      </c>
      <c r="B297" s="1">
        <v>7.8</v>
      </c>
      <c r="K297" s="4"/>
      <c r="P297" s="5"/>
      <c r="Q297" s="24"/>
    </row>
    <row r="298" ht="14.25" customHeight="1">
      <c r="A298" s="1">
        <v>124.0</v>
      </c>
      <c r="B298" s="1">
        <v>7.8</v>
      </c>
      <c r="K298" s="4"/>
      <c r="P298" s="5"/>
      <c r="Q298" s="24"/>
    </row>
    <row r="299" ht="14.25" customHeight="1">
      <c r="A299" s="1">
        <v>123.0</v>
      </c>
      <c r="B299" s="1">
        <v>7.8</v>
      </c>
      <c r="K299" s="4"/>
      <c r="P299" s="5"/>
      <c r="Q299" s="24"/>
    </row>
    <row r="300" ht="14.25" customHeight="1">
      <c r="A300" s="1">
        <v>123.0</v>
      </c>
      <c r="B300" s="1">
        <v>7.8</v>
      </c>
      <c r="K300" s="4"/>
      <c r="P300" s="5"/>
      <c r="Q300" s="24"/>
    </row>
    <row r="301" ht="14.25" customHeight="1">
      <c r="A301" s="1">
        <v>122.0</v>
      </c>
      <c r="B301" s="1">
        <v>7.8</v>
      </c>
      <c r="K301" s="4"/>
      <c r="P301" s="5"/>
      <c r="Q301" s="24"/>
    </row>
    <row r="302" ht="14.25" customHeight="1">
      <c r="A302" s="1">
        <v>122.0</v>
      </c>
      <c r="B302" s="1">
        <v>7.8</v>
      </c>
      <c r="K302" s="4"/>
      <c r="P302" s="5"/>
      <c r="Q302" s="24"/>
    </row>
    <row r="303" ht="14.25" customHeight="1">
      <c r="A303" s="1">
        <v>122.0</v>
      </c>
      <c r="B303" s="1">
        <v>7.8</v>
      </c>
      <c r="K303" s="4"/>
      <c r="P303" s="5"/>
      <c r="Q303" s="24"/>
    </row>
    <row r="304" ht="14.25" customHeight="1">
      <c r="A304" s="1">
        <v>120.0</v>
      </c>
      <c r="B304" s="1">
        <v>7.8</v>
      </c>
      <c r="K304" s="4"/>
      <c r="P304" s="5"/>
      <c r="Q304" s="24"/>
    </row>
    <row r="305" ht="14.25" customHeight="1">
      <c r="A305" s="1">
        <v>120.0</v>
      </c>
      <c r="B305" s="1">
        <v>7.8</v>
      </c>
      <c r="K305" s="4"/>
      <c r="P305" s="5"/>
      <c r="Q305" s="24"/>
    </row>
    <row r="306" ht="14.25" customHeight="1">
      <c r="A306" s="1">
        <v>119.0</v>
      </c>
      <c r="B306" s="1">
        <v>7.8</v>
      </c>
      <c r="K306" s="4"/>
      <c r="P306" s="5"/>
      <c r="Q306" s="24"/>
    </row>
    <row r="307" ht="14.25" customHeight="1">
      <c r="A307" s="1">
        <v>119.0</v>
      </c>
      <c r="B307" s="1">
        <v>7.8</v>
      </c>
      <c r="K307" s="4"/>
      <c r="P307" s="5"/>
      <c r="Q307" s="24"/>
    </row>
    <row r="308" ht="14.25" customHeight="1">
      <c r="A308" s="1">
        <v>118.0</v>
      </c>
      <c r="B308" s="1">
        <v>7.8</v>
      </c>
      <c r="K308" s="4"/>
      <c r="P308" s="5"/>
      <c r="Q308" s="24"/>
    </row>
    <row r="309" ht="14.25" customHeight="1">
      <c r="A309" s="1">
        <v>117.0</v>
      </c>
      <c r="B309" s="1">
        <v>7.8</v>
      </c>
      <c r="K309" s="4"/>
      <c r="P309" s="5"/>
      <c r="Q309" s="24"/>
    </row>
    <row r="310" ht="14.25" customHeight="1">
      <c r="A310" s="1">
        <v>116.0</v>
      </c>
      <c r="B310" s="1">
        <v>7.8</v>
      </c>
      <c r="K310" s="4"/>
      <c r="P310" s="5"/>
      <c r="Q310" s="24"/>
    </row>
    <row r="311" ht="14.25" customHeight="1">
      <c r="A311" s="1">
        <v>116.0</v>
      </c>
      <c r="B311" s="1">
        <v>7.8</v>
      </c>
      <c r="K311" s="4"/>
      <c r="P311" s="5"/>
      <c r="Q311" s="24"/>
    </row>
    <row r="312" ht="14.25" customHeight="1">
      <c r="A312" s="1">
        <v>115.0</v>
      </c>
      <c r="B312" s="1">
        <v>7.8</v>
      </c>
      <c r="K312" s="4"/>
      <c r="P312" s="5"/>
      <c r="Q312" s="24"/>
    </row>
    <row r="313" ht="14.25" customHeight="1">
      <c r="A313" s="1">
        <v>112.0</v>
      </c>
      <c r="B313" s="1">
        <v>7.8</v>
      </c>
      <c r="K313" s="4"/>
      <c r="P313" s="5"/>
      <c r="Q313" s="24"/>
    </row>
    <row r="314" ht="14.25" customHeight="1">
      <c r="A314" s="1">
        <v>112.0</v>
      </c>
      <c r="B314" s="1">
        <v>7.8</v>
      </c>
      <c r="K314" s="4"/>
      <c r="P314" s="5"/>
      <c r="Q314" s="24"/>
    </row>
    <row r="315" ht="14.25" customHeight="1">
      <c r="A315" s="1">
        <v>110.0</v>
      </c>
      <c r="B315" s="1">
        <v>7.8</v>
      </c>
      <c r="K315" s="4"/>
      <c r="P315" s="5"/>
      <c r="Q315" s="24"/>
    </row>
    <row r="316" ht="14.25" customHeight="1">
      <c r="A316" s="1">
        <v>110.0</v>
      </c>
      <c r="B316" s="1">
        <v>7.8</v>
      </c>
      <c r="K316" s="4"/>
      <c r="P316" s="5"/>
      <c r="Q316" s="24"/>
    </row>
    <row r="317" ht="14.25" customHeight="1">
      <c r="A317" s="1">
        <v>110.0</v>
      </c>
      <c r="B317" s="1">
        <v>7.8</v>
      </c>
      <c r="K317" s="4"/>
      <c r="P317" s="5"/>
      <c r="Q317" s="24"/>
    </row>
    <row r="318" ht="14.25" customHeight="1">
      <c r="A318" s="1">
        <v>108.0</v>
      </c>
      <c r="B318" s="1">
        <v>7.8</v>
      </c>
      <c r="K318" s="4"/>
      <c r="P318" s="5"/>
      <c r="Q318" s="24"/>
    </row>
    <row r="319" ht="14.25" customHeight="1">
      <c r="A319" s="1">
        <v>108.0</v>
      </c>
      <c r="B319" s="1">
        <v>7.8</v>
      </c>
      <c r="K319" s="4"/>
      <c r="P319" s="5"/>
      <c r="Q319" s="24"/>
    </row>
    <row r="320" ht="14.25" customHeight="1">
      <c r="A320" s="1">
        <v>108.0</v>
      </c>
      <c r="B320" s="1">
        <v>7.8</v>
      </c>
      <c r="K320" s="4"/>
      <c r="P320" s="5"/>
      <c r="Q320" s="24"/>
    </row>
    <row r="321" ht="14.25" customHeight="1">
      <c r="A321" s="1">
        <v>108.0</v>
      </c>
      <c r="B321" s="1">
        <v>7.8</v>
      </c>
      <c r="K321" s="4"/>
      <c r="P321" s="5"/>
      <c r="Q321" s="24"/>
    </row>
    <row r="322" ht="14.25" customHeight="1">
      <c r="A322" s="1">
        <v>107.0</v>
      </c>
      <c r="B322" s="1">
        <v>7.8</v>
      </c>
      <c r="K322" s="4"/>
      <c r="P322" s="5"/>
      <c r="Q322" s="24"/>
    </row>
    <row r="323" ht="14.25" customHeight="1">
      <c r="A323" s="1">
        <v>107.0</v>
      </c>
      <c r="B323" s="1">
        <v>7.8</v>
      </c>
      <c r="K323" s="4"/>
      <c r="P323" s="5"/>
      <c r="Q323" s="24"/>
    </row>
    <row r="324" ht="14.25" customHeight="1">
      <c r="A324" s="1">
        <v>106.0</v>
      </c>
      <c r="B324" s="1">
        <v>7.8</v>
      </c>
      <c r="K324" s="4"/>
      <c r="P324" s="5"/>
      <c r="Q324" s="24"/>
    </row>
    <row r="325" ht="14.25" customHeight="1">
      <c r="A325" s="1">
        <v>106.0</v>
      </c>
      <c r="B325" s="1">
        <v>7.8</v>
      </c>
      <c r="K325" s="4"/>
      <c r="P325" s="5"/>
      <c r="Q325" s="24"/>
    </row>
    <row r="326" ht="14.25" customHeight="1">
      <c r="A326" s="1">
        <v>106.0</v>
      </c>
      <c r="B326" s="1">
        <v>7.8</v>
      </c>
      <c r="K326" s="4"/>
      <c r="P326" s="5"/>
      <c r="Q326" s="24"/>
    </row>
    <row r="327" ht="14.25" customHeight="1">
      <c r="A327" s="1">
        <v>104.0</v>
      </c>
      <c r="B327" s="1">
        <v>7.8</v>
      </c>
      <c r="K327" s="4"/>
      <c r="P327" s="5"/>
      <c r="Q327" s="24"/>
    </row>
    <row r="328" ht="14.25" customHeight="1">
      <c r="A328" s="1">
        <v>104.0</v>
      </c>
      <c r="B328" s="1">
        <v>7.8</v>
      </c>
      <c r="K328" s="4"/>
      <c r="P328" s="5"/>
      <c r="Q328" s="24"/>
    </row>
    <row r="329" ht="14.25" customHeight="1">
      <c r="A329" s="1">
        <v>102.0</v>
      </c>
      <c r="B329" s="1">
        <v>7.8</v>
      </c>
      <c r="K329" s="4"/>
      <c r="P329" s="5"/>
      <c r="Q329" s="24"/>
    </row>
    <row r="330" ht="14.25" customHeight="1">
      <c r="A330" s="1">
        <v>101.0</v>
      </c>
      <c r="B330" s="1">
        <v>7.8</v>
      </c>
      <c r="K330" s="4"/>
      <c r="P330" s="5"/>
      <c r="Q330" s="24"/>
    </row>
    <row r="331" ht="14.25" customHeight="1">
      <c r="A331" s="1">
        <v>101.0</v>
      </c>
      <c r="B331" s="1">
        <v>7.8</v>
      </c>
      <c r="K331" s="4"/>
      <c r="P331" s="5"/>
      <c r="Q331" s="24"/>
    </row>
    <row r="332" ht="14.25" customHeight="1">
      <c r="A332" s="1">
        <v>101.0</v>
      </c>
      <c r="B332" s="1">
        <v>7.8</v>
      </c>
      <c r="K332" s="4"/>
      <c r="P332" s="5"/>
      <c r="Q332" s="24"/>
    </row>
    <row r="333" ht="14.25" customHeight="1">
      <c r="A333" s="1">
        <v>100.0</v>
      </c>
      <c r="B333" s="1">
        <v>7.8</v>
      </c>
      <c r="K333" s="4"/>
      <c r="P333" s="5"/>
      <c r="Q333" s="24"/>
    </row>
    <row r="334" ht="14.25" customHeight="1">
      <c r="A334" s="1">
        <v>100.0</v>
      </c>
      <c r="B334" s="1">
        <v>7.8</v>
      </c>
      <c r="K334" s="4"/>
      <c r="P334" s="5"/>
      <c r="Q334" s="24"/>
    </row>
    <row r="335" ht="14.25" customHeight="1">
      <c r="A335" s="1">
        <v>100.0</v>
      </c>
      <c r="B335" s="1">
        <v>7.8</v>
      </c>
      <c r="K335" s="4"/>
      <c r="P335" s="5"/>
      <c r="Q335" s="24"/>
    </row>
    <row r="336" ht="14.25" customHeight="1">
      <c r="A336" s="1">
        <v>100.0</v>
      </c>
      <c r="B336" s="1">
        <v>7.8</v>
      </c>
      <c r="K336" s="4"/>
      <c r="P336" s="5"/>
      <c r="Q336" s="24"/>
    </row>
    <row r="337" ht="14.25" customHeight="1">
      <c r="A337" s="1">
        <v>99.0</v>
      </c>
      <c r="B337" s="1">
        <v>7.8</v>
      </c>
      <c r="K337" s="4"/>
      <c r="P337" s="5"/>
      <c r="Q337" s="24"/>
    </row>
    <row r="338" ht="14.25" customHeight="1">
      <c r="A338" s="1">
        <v>95.0</v>
      </c>
      <c r="B338" s="1">
        <v>7.8</v>
      </c>
      <c r="K338" s="4"/>
      <c r="P338" s="5"/>
      <c r="Q338" s="24"/>
    </row>
    <row r="339" ht="14.25" customHeight="1">
      <c r="A339" s="1">
        <v>94.0</v>
      </c>
      <c r="B339" s="1">
        <v>7.8</v>
      </c>
      <c r="K339" s="4"/>
      <c r="P339" s="5"/>
      <c r="Q339" s="24"/>
    </row>
    <row r="340" ht="14.25" customHeight="1">
      <c r="A340" s="1">
        <v>94.0</v>
      </c>
      <c r="B340" s="1">
        <v>7.8</v>
      </c>
      <c r="K340" s="4"/>
      <c r="P340" s="5"/>
      <c r="Q340" s="24"/>
    </row>
    <row r="341" ht="14.25" customHeight="1">
      <c r="A341" s="1">
        <v>93.0</v>
      </c>
      <c r="B341" s="1">
        <v>7.8</v>
      </c>
      <c r="K341" s="4"/>
      <c r="P341" s="5"/>
      <c r="Q341" s="24"/>
    </row>
    <row r="342" ht="14.25" customHeight="1">
      <c r="A342" s="1">
        <v>91.0</v>
      </c>
      <c r="B342" s="1">
        <v>7.8</v>
      </c>
      <c r="K342" s="4"/>
      <c r="P342" s="5"/>
      <c r="Q342" s="24"/>
    </row>
    <row r="343" ht="14.25" customHeight="1">
      <c r="A343" s="1">
        <v>90.0</v>
      </c>
      <c r="B343" s="1">
        <v>7.8</v>
      </c>
      <c r="K343" s="4"/>
      <c r="P343" s="5"/>
      <c r="Q343" s="24"/>
    </row>
    <row r="344" ht="14.25" customHeight="1">
      <c r="A344" s="1">
        <v>89.0</v>
      </c>
      <c r="B344" s="1">
        <v>7.8</v>
      </c>
      <c r="K344" s="4"/>
      <c r="P344" s="5"/>
      <c r="Q344" s="24"/>
    </row>
    <row r="345" ht="14.25" customHeight="1">
      <c r="A345" s="1">
        <v>88.0</v>
      </c>
      <c r="B345" s="1">
        <v>7.8</v>
      </c>
      <c r="K345" s="4"/>
      <c r="P345" s="5"/>
      <c r="Q345" s="24"/>
    </row>
    <row r="346" ht="14.25" customHeight="1">
      <c r="A346" s="1">
        <v>88.0</v>
      </c>
      <c r="B346" s="1">
        <v>7.8</v>
      </c>
      <c r="K346" s="4"/>
      <c r="P346" s="5"/>
      <c r="Q346" s="24"/>
    </row>
    <row r="347" ht="14.25" customHeight="1">
      <c r="A347" s="1">
        <v>87.0</v>
      </c>
      <c r="B347" s="1">
        <v>7.8</v>
      </c>
      <c r="K347" s="4"/>
      <c r="P347" s="5"/>
      <c r="Q347" s="24"/>
    </row>
    <row r="348" ht="14.25" customHeight="1">
      <c r="A348" s="1">
        <v>81.0</v>
      </c>
      <c r="B348" s="1">
        <v>7.8</v>
      </c>
      <c r="K348" s="4"/>
      <c r="P348" s="5"/>
      <c r="Q348" s="24"/>
    </row>
    <row r="349" ht="14.25" customHeight="1">
      <c r="A349" s="1">
        <v>81.0</v>
      </c>
      <c r="B349" s="1">
        <v>7.8</v>
      </c>
      <c r="K349" s="4"/>
      <c r="P349" s="5"/>
      <c r="Q349" s="24"/>
    </row>
    <row r="350" ht="14.25" customHeight="1">
      <c r="A350" s="1">
        <v>81.0</v>
      </c>
      <c r="B350" s="1">
        <v>7.8</v>
      </c>
      <c r="K350" s="4"/>
      <c r="P350" s="5"/>
      <c r="Q350" s="24"/>
    </row>
    <row r="351" ht="14.25" customHeight="1">
      <c r="A351" s="1">
        <v>80.0</v>
      </c>
      <c r="B351" s="1">
        <v>7.8</v>
      </c>
      <c r="K351" s="4"/>
      <c r="P351" s="5"/>
      <c r="Q351" s="24"/>
    </row>
    <row r="352" ht="14.25" customHeight="1">
      <c r="A352" s="1">
        <v>37.0</v>
      </c>
      <c r="B352" s="1">
        <v>7.8</v>
      </c>
      <c r="K352" s="4"/>
      <c r="P352" s="5"/>
      <c r="Q352" s="24"/>
    </row>
    <row r="353" ht="14.25" customHeight="1">
      <c r="A353" s="1">
        <v>271.0</v>
      </c>
      <c r="B353" s="1">
        <v>7.7</v>
      </c>
      <c r="K353" s="4"/>
      <c r="P353" s="5"/>
      <c r="Q353" s="24"/>
    </row>
    <row r="354" ht="14.25" customHeight="1">
      <c r="A354" s="1">
        <v>215.0</v>
      </c>
      <c r="B354" s="1">
        <v>7.7</v>
      </c>
      <c r="K354" s="4"/>
      <c r="P354" s="5"/>
      <c r="Q354" s="24"/>
    </row>
    <row r="355" ht="14.25" customHeight="1">
      <c r="A355" s="1">
        <v>202.0</v>
      </c>
      <c r="B355" s="1">
        <v>7.7</v>
      </c>
      <c r="K355" s="4"/>
      <c r="P355" s="5"/>
      <c r="Q355" s="24"/>
    </row>
    <row r="356" ht="14.25" customHeight="1">
      <c r="A356" s="1">
        <v>194.0</v>
      </c>
      <c r="B356" s="1">
        <v>7.7</v>
      </c>
      <c r="K356" s="4"/>
      <c r="P356" s="5"/>
      <c r="Q356" s="24"/>
    </row>
    <row r="357" ht="14.25" customHeight="1">
      <c r="A357" s="1">
        <v>178.0</v>
      </c>
      <c r="B357" s="1">
        <v>7.7</v>
      </c>
      <c r="K357" s="4"/>
      <c r="P357" s="5"/>
      <c r="Q357" s="24"/>
    </row>
    <row r="358" ht="14.25" customHeight="1">
      <c r="A358" s="1">
        <v>172.0</v>
      </c>
      <c r="B358" s="1">
        <v>7.7</v>
      </c>
      <c r="K358" s="4"/>
      <c r="P358" s="5"/>
      <c r="Q358" s="24"/>
    </row>
    <row r="359" ht="14.25" customHeight="1">
      <c r="A359" s="1">
        <v>162.0</v>
      </c>
      <c r="B359" s="1">
        <v>7.7</v>
      </c>
      <c r="K359" s="4"/>
      <c r="P359" s="5"/>
      <c r="Q359" s="24"/>
    </row>
    <row r="360" ht="14.25" customHeight="1">
      <c r="A360" s="1">
        <v>154.0</v>
      </c>
      <c r="B360" s="1">
        <v>7.7</v>
      </c>
      <c r="K360" s="4"/>
      <c r="P360" s="5"/>
      <c r="Q360" s="24"/>
    </row>
    <row r="361" ht="14.25" customHeight="1">
      <c r="A361" s="1">
        <v>152.0</v>
      </c>
      <c r="B361" s="1">
        <v>7.7</v>
      </c>
      <c r="K361" s="4"/>
      <c r="P361" s="5"/>
      <c r="Q361" s="24"/>
    </row>
    <row r="362" ht="14.25" customHeight="1">
      <c r="A362" s="1">
        <v>146.0</v>
      </c>
      <c r="B362" s="1">
        <v>7.7</v>
      </c>
      <c r="K362" s="4"/>
      <c r="P362" s="5"/>
      <c r="Q362" s="24"/>
    </row>
    <row r="363" ht="14.25" customHeight="1">
      <c r="A363" s="1">
        <v>145.0</v>
      </c>
      <c r="B363" s="1">
        <v>7.7</v>
      </c>
      <c r="K363" s="4"/>
      <c r="P363" s="5"/>
      <c r="Q363" s="24"/>
    </row>
    <row r="364" ht="14.25" customHeight="1">
      <c r="A364" s="1">
        <v>143.0</v>
      </c>
      <c r="B364" s="1">
        <v>7.7</v>
      </c>
      <c r="K364" s="4"/>
      <c r="P364" s="5"/>
      <c r="Q364" s="24"/>
    </row>
    <row r="365" ht="14.25" customHeight="1">
      <c r="A365" s="1">
        <v>141.0</v>
      </c>
      <c r="B365" s="1">
        <v>7.7</v>
      </c>
      <c r="K365" s="4"/>
      <c r="P365" s="5"/>
      <c r="Q365" s="24"/>
    </row>
    <row r="366" ht="14.25" customHeight="1">
      <c r="A366" s="1">
        <v>139.0</v>
      </c>
      <c r="B366" s="1">
        <v>7.7</v>
      </c>
      <c r="K366" s="4"/>
      <c r="P366" s="5"/>
      <c r="Q366" s="24"/>
    </row>
    <row r="367" ht="14.25" customHeight="1">
      <c r="A367" s="1">
        <v>137.0</v>
      </c>
      <c r="B367" s="1">
        <v>7.7</v>
      </c>
      <c r="K367" s="4"/>
      <c r="P367" s="5"/>
      <c r="Q367" s="24"/>
    </row>
    <row r="368" ht="14.25" customHeight="1">
      <c r="A368" s="1">
        <v>136.0</v>
      </c>
      <c r="B368" s="1">
        <v>7.7</v>
      </c>
      <c r="K368" s="4"/>
      <c r="P368" s="5"/>
      <c r="Q368" s="24"/>
    </row>
    <row r="369" ht="14.25" customHeight="1">
      <c r="A369" s="1">
        <v>135.0</v>
      </c>
      <c r="B369" s="1">
        <v>7.7</v>
      </c>
      <c r="K369" s="4"/>
      <c r="P369" s="5"/>
      <c r="Q369" s="24"/>
    </row>
    <row r="370" ht="14.25" customHeight="1">
      <c r="A370" s="1">
        <v>134.0</v>
      </c>
      <c r="B370" s="1">
        <v>7.7</v>
      </c>
      <c r="K370" s="4"/>
      <c r="P370" s="5"/>
      <c r="Q370" s="24"/>
    </row>
    <row r="371" ht="14.25" customHeight="1">
      <c r="A371" s="1">
        <v>133.0</v>
      </c>
      <c r="B371" s="1">
        <v>7.7</v>
      </c>
      <c r="K371" s="4"/>
      <c r="P371" s="5"/>
      <c r="Q371" s="24"/>
    </row>
    <row r="372" ht="14.25" customHeight="1">
      <c r="A372" s="1">
        <v>133.0</v>
      </c>
      <c r="B372" s="1">
        <v>7.7</v>
      </c>
      <c r="K372" s="4"/>
      <c r="P372" s="5"/>
      <c r="Q372" s="24"/>
    </row>
    <row r="373" ht="14.25" customHeight="1">
      <c r="A373" s="1">
        <v>132.0</v>
      </c>
      <c r="B373" s="1">
        <v>7.7</v>
      </c>
      <c r="K373" s="4"/>
      <c r="P373" s="5"/>
      <c r="Q373" s="24"/>
    </row>
    <row r="374" ht="14.25" customHeight="1">
      <c r="A374" s="1">
        <v>131.0</v>
      </c>
      <c r="B374" s="1">
        <v>7.7</v>
      </c>
      <c r="K374" s="4"/>
      <c r="P374" s="5"/>
      <c r="Q374" s="24"/>
    </row>
    <row r="375" ht="14.25" customHeight="1">
      <c r="A375" s="1">
        <v>130.0</v>
      </c>
      <c r="B375" s="1">
        <v>7.7</v>
      </c>
      <c r="K375" s="4"/>
      <c r="P375" s="5"/>
      <c r="Q375" s="24"/>
    </row>
    <row r="376" ht="14.25" customHeight="1">
      <c r="A376" s="1">
        <v>130.0</v>
      </c>
      <c r="B376" s="1">
        <v>7.7</v>
      </c>
      <c r="K376" s="4"/>
      <c r="P376" s="5"/>
      <c r="Q376" s="24"/>
    </row>
    <row r="377" ht="14.25" customHeight="1">
      <c r="A377" s="1">
        <v>129.0</v>
      </c>
      <c r="B377" s="1">
        <v>7.7</v>
      </c>
      <c r="K377" s="4"/>
      <c r="P377" s="5"/>
      <c r="Q377" s="24"/>
    </row>
    <row r="378" ht="14.25" customHeight="1">
      <c r="A378" s="1">
        <v>129.0</v>
      </c>
      <c r="B378" s="1">
        <v>7.7</v>
      </c>
      <c r="K378" s="4"/>
      <c r="P378" s="5"/>
      <c r="Q378" s="24"/>
    </row>
    <row r="379" ht="14.25" customHeight="1">
      <c r="A379" s="1">
        <v>127.0</v>
      </c>
      <c r="B379" s="1">
        <v>7.7</v>
      </c>
      <c r="K379" s="4"/>
      <c r="P379" s="5"/>
      <c r="Q379" s="24"/>
    </row>
    <row r="380" ht="14.25" customHeight="1">
      <c r="A380" s="1">
        <v>126.0</v>
      </c>
      <c r="B380" s="1">
        <v>7.7</v>
      </c>
      <c r="K380" s="4"/>
      <c r="P380" s="5"/>
      <c r="Q380" s="24"/>
    </row>
    <row r="381" ht="14.25" customHeight="1">
      <c r="A381" s="1">
        <v>125.0</v>
      </c>
      <c r="B381" s="1">
        <v>7.7</v>
      </c>
      <c r="K381" s="4"/>
      <c r="P381" s="5"/>
      <c r="Q381" s="24"/>
    </row>
    <row r="382" ht="14.25" customHeight="1">
      <c r="A382" s="1">
        <v>125.0</v>
      </c>
      <c r="B382" s="1">
        <v>7.7</v>
      </c>
      <c r="K382" s="4"/>
      <c r="P382" s="5"/>
      <c r="Q382" s="24"/>
    </row>
    <row r="383" ht="14.25" customHeight="1">
      <c r="A383" s="1">
        <v>125.0</v>
      </c>
      <c r="B383" s="1">
        <v>7.7</v>
      </c>
      <c r="K383" s="4"/>
      <c r="P383" s="5"/>
      <c r="Q383" s="24"/>
    </row>
    <row r="384" ht="14.25" customHeight="1">
      <c r="A384" s="1">
        <v>124.0</v>
      </c>
      <c r="B384" s="1">
        <v>7.7</v>
      </c>
      <c r="K384" s="4"/>
      <c r="P384" s="5"/>
      <c r="Q384" s="24"/>
    </row>
    <row r="385" ht="14.25" customHeight="1">
      <c r="A385" s="1">
        <v>123.0</v>
      </c>
      <c r="B385" s="1">
        <v>7.7</v>
      </c>
      <c r="K385" s="4"/>
      <c r="P385" s="5"/>
      <c r="Q385" s="24"/>
    </row>
    <row r="386" ht="14.25" customHeight="1">
      <c r="A386" s="1">
        <v>123.0</v>
      </c>
      <c r="B386" s="1">
        <v>7.7</v>
      </c>
      <c r="K386" s="4"/>
      <c r="P386" s="5"/>
      <c r="Q386" s="24"/>
    </row>
    <row r="387" ht="14.25" customHeight="1">
      <c r="A387" s="1">
        <v>122.0</v>
      </c>
      <c r="B387" s="1">
        <v>7.7</v>
      </c>
      <c r="K387" s="4"/>
      <c r="P387" s="5"/>
      <c r="Q387" s="24"/>
    </row>
    <row r="388" ht="14.25" customHeight="1">
      <c r="A388" s="1">
        <v>122.0</v>
      </c>
      <c r="B388" s="1">
        <v>7.7</v>
      </c>
      <c r="K388" s="4"/>
      <c r="P388" s="5"/>
      <c r="Q388" s="24"/>
    </row>
    <row r="389" ht="14.25" customHeight="1">
      <c r="A389" s="1">
        <v>122.0</v>
      </c>
      <c r="B389" s="1">
        <v>7.7</v>
      </c>
      <c r="K389" s="4"/>
      <c r="P389" s="5"/>
      <c r="Q389" s="24"/>
    </row>
    <row r="390" ht="14.25" customHeight="1">
      <c r="A390" s="1">
        <v>121.0</v>
      </c>
      <c r="B390" s="1">
        <v>7.7</v>
      </c>
      <c r="K390" s="4"/>
      <c r="P390" s="5"/>
      <c r="Q390" s="24"/>
    </row>
    <row r="391" ht="14.25" customHeight="1">
      <c r="A391" s="1">
        <v>121.0</v>
      </c>
      <c r="B391" s="1">
        <v>7.7</v>
      </c>
      <c r="K391" s="4"/>
      <c r="P391" s="5"/>
      <c r="Q391" s="24"/>
    </row>
    <row r="392" ht="14.25" customHeight="1">
      <c r="A392" s="1">
        <v>120.0</v>
      </c>
      <c r="B392" s="1">
        <v>7.7</v>
      </c>
      <c r="K392" s="4"/>
      <c r="P392" s="5"/>
      <c r="Q392" s="24"/>
    </row>
    <row r="393" ht="14.25" customHeight="1">
      <c r="A393" s="1">
        <v>120.0</v>
      </c>
      <c r="B393" s="1">
        <v>7.7</v>
      </c>
      <c r="K393" s="4"/>
      <c r="P393" s="5"/>
      <c r="Q393" s="24"/>
    </row>
    <row r="394" ht="14.25" customHeight="1">
      <c r="A394" s="1">
        <v>120.0</v>
      </c>
      <c r="B394" s="1">
        <v>7.7</v>
      </c>
      <c r="K394" s="4"/>
      <c r="P394" s="5"/>
      <c r="Q394" s="24"/>
    </row>
    <row r="395" ht="14.25" customHeight="1">
      <c r="A395" s="1">
        <v>119.0</v>
      </c>
      <c r="B395" s="1">
        <v>7.7</v>
      </c>
      <c r="K395" s="4"/>
      <c r="P395" s="5"/>
      <c r="Q395" s="24"/>
    </row>
    <row r="396" ht="14.25" customHeight="1">
      <c r="A396" s="1">
        <v>119.0</v>
      </c>
      <c r="B396" s="1">
        <v>7.7</v>
      </c>
      <c r="K396" s="4"/>
      <c r="P396" s="5"/>
      <c r="Q396" s="24"/>
    </row>
    <row r="397" ht="14.25" customHeight="1">
      <c r="A397" s="1">
        <v>118.0</v>
      </c>
      <c r="B397" s="1">
        <v>7.7</v>
      </c>
      <c r="K397" s="4"/>
      <c r="P397" s="5"/>
      <c r="Q397" s="24"/>
    </row>
    <row r="398" ht="14.25" customHeight="1">
      <c r="A398" s="1">
        <v>117.0</v>
      </c>
      <c r="B398" s="1">
        <v>7.7</v>
      </c>
      <c r="K398" s="4"/>
      <c r="P398" s="5"/>
      <c r="Q398" s="24"/>
    </row>
    <row r="399" ht="14.25" customHeight="1">
      <c r="A399" s="1">
        <v>117.0</v>
      </c>
      <c r="B399" s="1">
        <v>7.7</v>
      </c>
      <c r="K399" s="4"/>
      <c r="P399" s="5"/>
      <c r="Q399" s="24"/>
    </row>
    <row r="400" ht="14.25" customHeight="1">
      <c r="A400" s="1">
        <v>117.0</v>
      </c>
      <c r="B400" s="1">
        <v>7.7</v>
      </c>
      <c r="K400" s="4"/>
      <c r="P400" s="5"/>
      <c r="Q400" s="24"/>
    </row>
    <row r="401" ht="14.25" customHeight="1">
      <c r="A401" s="1">
        <v>116.0</v>
      </c>
      <c r="B401" s="1">
        <v>7.7</v>
      </c>
      <c r="K401" s="4"/>
      <c r="P401" s="5"/>
      <c r="Q401" s="24"/>
    </row>
    <row r="402" ht="14.25" customHeight="1">
      <c r="A402" s="1">
        <v>113.0</v>
      </c>
      <c r="B402" s="1">
        <v>7.7</v>
      </c>
      <c r="K402" s="4"/>
      <c r="P402" s="5"/>
      <c r="Q402" s="24"/>
    </row>
    <row r="403" ht="14.25" customHeight="1">
      <c r="A403" s="1">
        <v>112.0</v>
      </c>
      <c r="B403" s="1">
        <v>7.7</v>
      </c>
      <c r="K403" s="4"/>
      <c r="P403" s="5"/>
      <c r="Q403" s="24"/>
    </row>
    <row r="404" ht="14.25" customHeight="1">
      <c r="A404" s="1">
        <v>112.0</v>
      </c>
      <c r="B404" s="1">
        <v>7.7</v>
      </c>
      <c r="K404" s="4"/>
      <c r="P404" s="5"/>
      <c r="Q404" s="24"/>
    </row>
    <row r="405" ht="14.25" customHeight="1">
      <c r="A405" s="1">
        <v>112.0</v>
      </c>
      <c r="B405" s="1">
        <v>7.7</v>
      </c>
      <c r="K405" s="4"/>
      <c r="P405" s="5"/>
      <c r="Q405" s="24"/>
    </row>
    <row r="406" ht="14.25" customHeight="1">
      <c r="A406" s="1">
        <v>111.0</v>
      </c>
      <c r="B406" s="1">
        <v>7.7</v>
      </c>
      <c r="K406" s="4"/>
      <c r="P406" s="5"/>
      <c r="Q406" s="24"/>
    </row>
    <row r="407" ht="14.25" customHeight="1">
      <c r="A407" s="1">
        <v>111.0</v>
      </c>
      <c r="B407" s="1">
        <v>7.7</v>
      </c>
      <c r="K407" s="4"/>
      <c r="P407" s="5"/>
      <c r="Q407" s="24"/>
    </row>
    <row r="408" ht="14.25" customHeight="1">
      <c r="A408" s="1">
        <v>110.0</v>
      </c>
      <c r="B408" s="1">
        <v>7.7</v>
      </c>
      <c r="K408" s="4"/>
      <c r="P408" s="5"/>
      <c r="Q408" s="24"/>
    </row>
    <row r="409" ht="14.25" customHeight="1">
      <c r="A409" s="1">
        <v>110.0</v>
      </c>
      <c r="B409" s="1">
        <v>7.7</v>
      </c>
      <c r="K409" s="4"/>
      <c r="P409" s="5"/>
      <c r="Q409" s="24"/>
    </row>
    <row r="410" ht="14.25" customHeight="1">
      <c r="A410" s="1">
        <v>109.0</v>
      </c>
      <c r="B410" s="1">
        <v>7.7</v>
      </c>
      <c r="K410" s="4"/>
      <c r="P410" s="5"/>
      <c r="Q410" s="24"/>
    </row>
    <row r="411" ht="14.25" customHeight="1">
      <c r="A411" s="1">
        <v>108.0</v>
      </c>
      <c r="B411" s="1">
        <v>7.7</v>
      </c>
      <c r="K411" s="4"/>
      <c r="P411" s="5"/>
      <c r="Q411" s="24"/>
    </row>
    <row r="412" ht="14.25" customHeight="1">
      <c r="A412" s="1">
        <v>108.0</v>
      </c>
      <c r="B412" s="1">
        <v>7.7</v>
      </c>
      <c r="K412" s="4"/>
      <c r="P412" s="5"/>
      <c r="Q412" s="24"/>
    </row>
    <row r="413" ht="14.25" customHeight="1">
      <c r="A413" s="1">
        <v>107.0</v>
      </c>
      <c r="B413" s="1">
        <v>7.7</v>
      </c>
      <c r="K413" s="4"/>
      <c r="P413" s="5"/>
      <c r="Q413" s="24"/>
    </row>
    <row r="414" ht="14.25" customHeight="1">
      <c r="A414" s="1">
        <v>106.0</v>
      </c>
      <c r="B414" s="1">
        <v>7.7</v>
      </c>
      <c r="K414" s="4"/>
      <c r="P414" s="5"/>
      <c r="Q414" s="24"/>
    </row>
    <row r="415" ht="14.25" customHeight="1">
      <c r="A415" s="1">
        <v>106.0</v>
      </c>
      <c r="B415" s="1">
        <v>7.7</v>
      </c>
      <c r="K415" s="4"/>
      <c r="P415" s="5"/>
      <c r="Q415" s="24"/>
    </row>
    <row r="416" ht="14.25" customHeight="1">
      <c r="A416" s="1">
        <v>105.0</v>
      </c>
      <c r="B416" s="1">
        <v>7.7</v>
      </c>
      <c r="K416" s="4"/>
      <c r="P416" s="5"/>
      <c r="Q416" s="24"/>
    </row>
    <row r="417" ht="14.25" customHeight="1">
      <c r="A417" s="1">
        <v>103.0</v>
      </c>
      <c r="B417" s="1">
        <v>7.7</v>
      </c>
      <c r="K417" s="4"/>
      <c r="P417" s="5"/>
      <c r="Q417" s="24"/>
    </row>
    <row r="418" ht="14.25" customHeight="1">
      <c r="A418" s="1">
        <v>102.0</v>
      </c>
      <c r="B418" s="1">
        <v>7.7</v>
      </c>
      <c r="K418" s="4"/>
      <c r="P418" s="5"/>
      <c r="Q418" s="24"/>
    </row>
    <row r="419" ht="14.25" customHeight="1">
      <c r="A419" s="1">
        <v>101.0</v>
      </c>
      <c r="B419" s="1">
        <v>7.7</v>
      </c>
      <c r="K419" s="4"/>
      <c r="P419" s="5"/>
      <c r="Q419" s="24"/>
    </row>
    <row r="420" ht="14.25" customHeight="1">
      <c r="A420" s="1">
        <v>101.0</v>
      </c>
      <c r="B420" s="1">
        <v>7.7</v>
      </c>
      <c r="K420" s="4"/>
      <c r="P420" s="5"/>
      <c r="Q420" s="24"/>
    </row>
    <row r="421" ht="14.25" customHeight="1">
      <c r="A421" s="1">
        <v>101.0</v>
      </c>
      <c r="B421" s="1">
        <v>7.7</v>
      </c>
      <c r="K421" s="4"/>
      <c r="P421" s="5"/>
      <c r="Q421" s="24"/>
    </row>
    <row r="422" ht="14.25" customHeight="1">
      <c r="A422" s="1">
        <v>100.0</v>
      </c>
      <c r="B422" s="1">
        <v>7.7</v>
      </c>
      <c r="K422" s="4"/>
      <c r="P422" s="5"/>
      <c r="Q422" s="24"/>
    </row>
    <row r="423" ht="14.25" customHeight="1">
      <c r="A423" s="1">
        <v>100.0</v>
      </c>
      <c r="B423" s="1">
        <v>7.7</v>
      </c>
      <c r="K423" s="4"/>
      <c r="P423" s="5"/>
      <c r="Q423" s="24"/>
    </row>
    <row r="424" ht="14.25" customHeight="1">
      <c r="A424" s="1">
        <v>97.0</v>
      </c>
      <c r="B424" s="1">
        <v>7.7</v>
      </c>
      <c r="K424" s="4"/>
      <c r="P424" s="5"/>
      <c r="Q424" s="24"/>
    </row>
    <row r="425" ht="14.25" customHeight="1">
      <c r="A425" s="1">
        <v>96.0</v>
      </c>
      <c r="B425" s="1">
        <v>7.7</v>
      </c>
      <c r="K425" s="4"/>
      <c r="P425" s="5"/>
      <c r="Q425" s="24"/>
    </row>
    <row r="426" ht="14.25" customHeight="1">
      <c r="A426" s="1">
        <v>95.0</v>
      </c>
      <c r="B426" s="1">
        <v>7.7</v>
      </c>
      <c r="K426" s="4"/>
      <c r="P426" s="5"/>
      <c r="Q426" s="24"/>
    </row>
    <row r="427" ht="14.25" customHeight="1">
      <c r="A427" s="1">
        <v>94.0</v>
      </c>
      <c r="B427" s="1">
        <v>7.7</v>
      </c>
      <c r="K427" s="4"/>
      <c r="P427" s="5"/>
      <c r="Q427" s="24"/>
    </row>
    <row r="428" ht="14.25" customHeight="1">
      <c r="A428" s="1">
        <v>94.0</v>
      </c>
      <c r="B428" s="1">
        <v>7.7</v>
      </c>
      <c r="K428" s="4"/>
      <c r="P428" s="5"/>
      <c r="Q428" s="24"/>
    </row>
    <row r="429" ht="14.25" customHeight="1">
      <c r="A429" s="1">
        <v>93.0</v>
      </c>
      <c r="B429" s="1">
        <v>7.7</v>
      </c>
      <c r="K429" s="4"/>
      <c r="P429" s="5"/>
      <c r="Q429" s="24"/>
    </row>
    <row r="430" ht="14.25" customHeight="1">
      <c r="A430" s="1">
        <v>92.0</v>
      </c>
      <c r="B430" s="1">
        <v>7.7</v>
      </c>
      <c r="K430" s="4"/>
      <c r="P430" s="5"/>
      <c r="Q430" s="24"/>
    </row>
    <row r="431" ht="14.25" customHeight="1">
      <c r="A431" s="1">
        <v>92.0</v>
      </c>
      <c r="B431" s="1">
        <v>7.7</v>
      </c>
      <c r="K431" s="4"/>
      <c r="P431" s="5"/>
      <c r="Q431" s="24"/>
    </row>
    <row r="432" ht="14.25" customHeight="1">
      <c r="A432" s="1">
        <v>90.0</v>
      </c>
      <c r="B432" s="1">
        <v>7.7</v>
      </c>
      <c r="K432" s="4"/>
      <c r="P432" s="5"/>
      <c r="Q432" s="24"/>
    </row>
    <row r="433" ht="14.25" customHeight="1">
      <c r="A433" s="1">
        <v>90.0</v>
      </c>
      <c r="B433" s="1">
        <v>7.7</v>
      </c>
      <c r="K433" s="4"/>
      <c r="P433" s="5"/>
      <c r="Q433" s="24"/>
    </row>
    <row r="434" ht="14.25" customHeight="1">
      <c r="A434" s="1">
        <v>89.0</v>
      </c>
      <c r="B434" s="1">
        <v>7.7</v>
      </c>
      <c r="K434" s="4"/>
      <c r="P434" s="5"/>
      <c r="Q434" s="24"/>
    </row>
    <row r="435" ht="14.25" customHeight="1">
      <c r="A435" s="1">
        <v>89.0</v>
      </c>
      <c r="B435" s="1">
        <v>7.7</v>
      </c>
      <c r="K435" s="4"/>
      <c r="P435" s="5"/>
      <c r="Q435" s="24"/>
    </row>
    <row r="436" ht="14.25" customHeight="1">
      <c r="A436" s="1">
        <v>89.0</v>
      </c>
      <c r="B436" s="1">
        <v>7.7</v>
      </c>
      <c r="K436" s="4"/>
      <c r="P436" s="5"/>
      <c r="Q436" s="24"/>
    </row>
    <row r="437" ht="14.25" customHeight="1">
      <c r="A437" s="1">
        <v>88.0</v>
      </c>
      <c r="B437" s="1">
        <v>7.7</v>
      </c>
      <c r="K437" s="4"/>
      <c r="P437" s="5"/>
      <c r="Q437" s="24"/>
    </row>
    <row r="438" ht="14.25" customHeight="1">
      <c r="A438" s="1">
        <v>87.0</v>
      </c>
      <c r="B438" s="1">
        <v>7.7</v>
      </c>
      <c r="K438" s="4"/>
      <c r="P438" s="5"/>
      <c r="Q438" s="24"/>
    </row>
    <row r="439" ht="14.25" customHeight="1">
      <c r="A439" s="1">
        <v>87.0</v>
      </c>
      <c r="B439" s="1">
        <v>7.7</v>
      </c>
      <c r="K439" s="4"/>
      <c r="P439" s="5"/>
      <c r="Q439" s="24"/>
    </row>
    <row r="440" ht="14.25" customHeight="1">
      <c r="A440" s="1">
        <v>83.0</v>
      </c>
      <c r="B440" s="1">
        <v>7.7</v>
      </c>
      <c r="K440" s="4"/>
      <c r="P440" s="5"/>
      <c r="Q440" s="24"/>
    </row>
    <row r="441" ht="14.25" customHeight="1">
      <c r="A441" s="1">
        <v>81.0</v>
      </c>
      <c r="B441" s="1">
        <v>7.7</v>
      </c>
      <c r="K441" s="4"/>
      <c r="P441" s="5"/>
      <c r="Q441" s="24"/>
    </row>
    <row r="442" ht="14.25" customHeight="1">
      <c r="A442" s="1">
        <v>75.0</v>
      </c>
      <c r="B442" s="1">
        <v>7.7</v>
      </c>
      <c r="K442" s="4"/>
      <c r="P442" s="5"/>
      <c r="Q442" s="24"/>
    </row>
    <row r="443" ht="14.25" customHeight="1">
      <c r="A443" s="1">
        <v>53.0</v>
      </c>
      <c r="B443" s="1">
        <v>7.7</v>
      </c>
      <c r="K443" s="4"/>
      <c r="P443" s="5"/>
      <c r="Q443" s="24"/>
    </row>
    <row r="444" ht="14.25" customHeight="1">
      <c r="A444" s="1">
        <v>215.0</v>
      </c>
      <c r="B444" s="1">
        <v>7.6</v>
      </c>
      <c r="K444" s="4"/>
      <c r="P444" s="5"/>
      <c r="Q444" s="24"/>
    </row>
    <row r="445" ht="14.25" customHeight="1">
      <c r="A445" s="1">
        <v>197.0</v>
      </c>
      <c r="B445" s="1">
        <v>7.6</v>
      </c>
      <c r="K445" s="4"/>
      <c r="P445" s="5"/>
      <c r="Q445" s="24"/>
    </row>
    <row r="446" ht="14.25" customHeight="1">
      <c r="A446" s="1">
        <v>190.0</v>
      </c>
      <c r="B446" s="1">
        <v>7.6</v>
      </c>
      <c r="K446" s="4"/>
      <c r="P446" s="5"/>
      <c r="Q446" s="24"/>
    </row>
    <row r="447" ht="14.25" customHeight="1">
      <c r="A447" s="1">
        <v>189.0</v>
      </c>
      <c r="B447" s="1">
        <v>7.6</v>
      </c>
      <c r="K447" s="4"/>
      <c r="P447" s="5"/>
      <c r="Q447" s="24"/>
    </row>
    <row r="448" ht="14.25" customHeight="1">
      <c r="A448" s="1">
        <v>171.0</v>
      </c>
      <c r="B448" s="1">
        <v>7.6</v>
      </c>
      <c r="K448" s="4"/>
      <c r="P448" s="5"/>
      <c r="Q448" s="24"/>
    </row>
    <row r="449" ht="14.25" customHeight="1">
      <c r="A449" s="1">
        <v>170.0</v>
      </c>
      <c r="B449" s="1">
        <v>7.6</v>
      </c>
      <c r="K449" s="4"/>
      <c r="P449" s="5"/>
      <c r="Q449" s="24"/>
    </row>
    <row r="450" ht="14.25" customHeight="1">
      <c r="A450" s="1">
        <v>164.0</v>
      </c>
      <c r="B450" s="1">
        <v>7.6</v>
      </c>
      <c r="K450" s="4"/>
      <c r="P450" s="5"/>
      <c r="Q450" s="24"/>
    </row>
    <row r="451" ht="14.25" customHeight="1">
      <c r="A451" s="1">
        <v>163.0</v>
      </c>
      <c r="B451" s="1">
        <v>7.6</v>
      </c>
      <c r="K451" s="4"/>
      <c r="P451" s="5"/>
      <c r="Q451" s="24"/>
    </row>
    <row r="452" ht="14.25" customHeight="1">
      <c r="A452" s="1">
        <v>158.0</v>
      </c>
      <c r="B452" s="1">
        <v>7.6</v>
      </c>
      <c r="K452" s="4"/>
      <c r="P452" s="5"/>
      <c r="Q452" s="24"/>
    </row>
    <row r="453" ht="14.25" customHeight="1">
      <c r="A453" s="1">
        <v>157.0</v>
      </c>
      <c r="B453" s="1">
        <v>7.6</v>
      </c>
      <c r="K453" s="4"/>
      <c r="P453" s="5"/>
      <c r="Q453" s="24"/>
    </row>
    <row r="454" ht="14.25" customHeight="1">
      <c r="A454" s="1">
        <v>152.0</v>
      </c>
      <c r="B454" s="1">
        <v>7.6</v>
      </c>
      <c r="K454" s="4"/>
      <c r="P454" s="5"/>
      <c r="Q454" s="24"/>
    </row>
    <row r="455" ht="14.25" customHeight="1">
      <c r="A455" s="1">
        <v>150.0</v>
      </c>
      <c r="B455" s="1">
        <v>7.6</v>
      </c>
      <c r="K455" s="4"/>
      <c r="P455" s="5"/>
      <c r="Q455" s="24"/>
    </row>
    <row r="456" ht="14.25" customHeight="1">
      <c r="A456" s="1">
        <v>146.0</v>
      </c>
      <c r="B456" s="1">
        <v>7.6</v>
      </c>
      <c r="K456" s="4"/>
      <c r="P456" s="5"/>
      <c r="Q456" s="24"/>
    </row>
    <row r="457" ht="14.25" customHeight="1">
      <c r="A457" s="1">
        <v>146.0</v>
      </c>
      <c r="B457" s="1">
        <v>7.6</v>
      </c>
      <c r="K457" s="4"/>
      <c r="P457" s="5"/>
      <c r="Q457" s="24"/>
    </row>
    <row r="458" ht="14.25" customHeight="1">
      <c r="A458" s="1">
        <v>146.0</v>
      </c>
      <c r="B458" s="1">
        <v>7.6</v>
      </c>
      <c r="K458" s="4"/>
      <c r="P458" s="5"/>
      <c r="Q458" s="24"/>
    </row>
    <row r="459" ht="14.25" customHeight="1">
      <c r="A459" s="1">
        <v>142.0</v>
      </c>
      <c r="B459" s="1">
        <v>7.6</v>
      </c>
      <c r="K459" s="4"/>
      <c r="P459" s="5"/>
      <c r="Q459" s="24"/>
    </row>
    <row r="460" ht="14.25" customHeight="1">
      <c r="A460" s="1">
        <v>140.0</v>
      </c>
      <c r="B460" s="1">
        <v>7.6</v>
      </c>
      <c r="K460" s="4"/>
      <c r="P460" s="5"/>
      <c r="Q460" s="24"/>
    </row>
    <row r="461" ht="14.25" customHeight="1">
      <c r="A461" s="1">
        <v>140.0</v>
      </c>
      <c r="B461" s="1">
        <v>7.6</v>
      </c>
      <c r="K461" s="4"/>
      <c r="P461" s="5"/>
      <c r="Q461" s="24"/>
    </row>
    <row r="462" ht="14.25" customHeight="1">
      <c r="A462" s="1">
        <v>138.0</v>
      </c>
      <c r="B462" s="1">
        <v>7.6</v>
      </c>
      <c r="K462" s="4"/>
      <c r="P462" s="5"/>
      <c r="Q462" s="24"/>
    </row>
    <row r="463" ht="14.25" customHeight="1">
      <c r="A463" s="1">
        <v>137.0</v>
      </c>
      <c r="B463" s="1">
        <v>7.6</v>
      </c>
      <c r="K463" s="4"/>
      <c r="P463" s="5"/>
      <c r="Q463" s="24"/>
    </row>
    <row r="464" ht="14.25" customHeight="1">
      <c r="A464" s="1">
        <v>137.0</v>
      </c>
      <c r="B464" s="1">
        <v>7.6</v>
      </c>
      <c r="K464" s="4"/>
      <c r="P464" s="5"/>
      <c r="Q464" s="24"/>
    </row>
    <row r="465" ht="14.25" customHeight="1">
      <c r="A465" s="1">
        <v>135.0</v>
      </c>
      <c r="B465" s="1">
        <v>7.6</v>
      </c>
      <c r="K465" s="4"/>
      <c r="P465" s="5"/>
      <c r="Q465" s="24"/>
    </row>
    <row r="466" ht="14.25" customHeight="1">
      <c r="A466" s="1">
        <v>135.0</v>
      </c>
      <c r="B466" s="1">
        <v>7.6</v>
      </c>
      <c r="K466" s="4"/>
      <c r="P466" s="5"/>
      <c r="Q466" s="24"/>
    </row>
    <row r="467" ht="14.25" customHeight="1">
      <c r="A467" s="1">
        <v>134.0</v>
      </c>
      <c r="B467" s="1">
        <v>7.6</v>
      </c>
      <c r="K467" s="4"/>
      <c r="P467" s="5"/>
      <c r="Q467" s="24"/>
    </row>
    <row r="468" ht="14.25" customHeight="1">
      <c r="A468" s="1">
        <v>133.0</v>
      </c>
      <c r="B468" s="1">
        <v>7.6</v>
      </c>
      <c r="K468" s="4"/>
      <c r="P468" s="5"/>
      <c r="Q468" s="24"/>
    </row>
    <row r="469" ht="14.25" customHeight="1">
      <c r="A469" s="1">
        <v>133.0</v>
      </c>
      <c r="B469" s="1">
        <v>7.6</v>
      </c>
      <c r="K469" s="4"/>
      <c r="P469" s="5"/>
      <c r="Q469" s="24"/>
    </row>
    <row r="470" ht="14.25" customHeight="1">
      <c r="A470" s="1">
        <v>132.0</v>
      </c>
      <c r="B470" s="1">
        <v>7.6</v>
      </c>
      <c r="K470" s="4"/>
      <c r="P470" s="5"/>
      <c r="Q470" s="24"/>
    </row>
    <row r="471" ht="14.25" customHeight="1">
      <c r="A471" s="1">
        <v>131.0</v>
      </c>
      <c r="B471" s="1">
        <v>7.6</v>
      </c>
      <c r="K471" s="4"/>
      <c r="P471" s="5"/>
      <c r="Q471" s="24"/>
    </row>
    <row r="472" ht="14.25" customHeight="1">
      <c r="A472" s="1">
        <v>131.0</v>
      </c>
      <c r="B472" s="1">
        <v>7.6</v>
      </c>
      <c r="K472" s="4"/>
      <c r="P472" s="5"/>
      <c r="Q472" s="24"/>
    </row>
    <row r="473" ht="14.25" customHeight="1">
      <c r="A473" s="1">
        <v>131.0</v>
      </c>
      <c r="B473" s="1">
        <v>7.6</v>
      </c>
      <c r="K473" s="4"/>
      <c r="P473" s="5"/>
      <c r="Q473" s="24"/>
    </row>
    <row r="474" ht="14.25" customHeight="1">
      <c r="A474" s="1">
        <v>130.0</v>
      </c>
      <c r="B474" s="1">
        <v>7.6</v>
      </c>
      <c r="K474" s="4"/>
      <c r="P474" s="5"/>
      <c r="Q474" s="24"/>
    </row>
    <row r="475" ht="14.25" customHeight="1">
      <c r="A475" s="1">
        <v>129.0</v>
      </c>
      <c r="B475" s="1">
        <v>7.6</v>
      </c>
      <c r="K475" s="4"/>
      <c r="P475" s="5"/>
      <c r="Q475" s="24"/>
    </row>
    <row r="476" ht="14.25" customHeight="1">
      <c r="A476" s="1">
        <v>128.0</v>
      </c>
      <c r="B476" s="1">
        <v>7.6</v>
      </c>
      <c r="K476" s="4"/>
      <c r="P476" s="5"/>
      <c r="Q476" s="24"/>
    </row>
    <row r="477" ht="14.25" customHeight="1">
      <c r="A477" s="1">
        <v>128.0</v>
      </c>
      <c r="B477" s="1">
        <v>7.6</v>
      </c>
      <c r="K477" s="4"/>
      <c r="P477" s="5"/>
      <c r="Q477" s="24"/>
    </row>
    <row r="478" ht="14.25" customHeight="1">
      <c r="A478" s="1">
        <v>128.0</v>
      </c>
      <c r="B478" s="1">
        <v>7.6</v>
      </c>
      <c r="K478" s="4"/>
      <c r="P478" s="5"/>
      <c r="Q478" s="24"/>
    </row>
    <row r="479" ht="14.25" customHeight="1">
      <c r="A479" s="1">
        <v>128.0</v>
      </c>
      <c r="B479" s="1">
        <v>7.6</v>
      </c>
      <c r="K479" s="4"/>
      <c r="P479" s="5"/>
      <c r="Q479" s="24"/>
    </row>
    <row r="480" ht="14.25" customHeight="1">
      <c r="A480" s="1">
        <v>127.0</v>
      </c>
      <c r="B480" s="1">
        <v>7.6</v>
      </c>
      <c r="K480" s="4"/>
      <c r="P480" s="5"/>
      <c r="Q480" s="24"/>
    </row>
    <row r="481" ht="14.25" customHeight="1">
      <c r="A481" s="1">
        <v>126.0</v>
      </c>
      <c r="B481" s="1">
        <v>7.6</v>
      </c>
      <c r="K481" s="4"/>
      <c r="P481" s="5"/>
      <c r="Q481" s="24"/>
    </row>
    <row r="482" ht="14.25" customHeight="1">
      <c r="A482" s="1">
        <v>126.0</v>
      </c>
      <c r="B482" s="1">
        <v>7.6</v>
      </c>
      <c r="K482" s="4"/>
      <c r="P482" s="5"/>
      <c r="Q482" s="24"/>
    </row>
    <row r="483" ht="14.25" customHeight="1">
      <c r="A483" s="1">
        <v>126.0</v>
      </c>
      <c r="B483" s="1">
        <v>7.6</v>
      </c>
      <c r="K483" s="4"/>
      <c r="P483" s="5"/>
      <c r="Q483" s="24"/>
    </row>
    <row r="484" ht="14.25" customHeight="1">
      <c r="A484" s="1">
        <v>126.0</v>
      </c>
      <c r="B484" s="1">
        <v>7.6</v>
      </c>
      <c r="K484" s="4"/>
      <c r="P484" s="5"/>
      <c r="Q484" s="24"/>
    </row>
    <row r="485" ht="14.25" customHeight="1">
      <c r="A485" s="1">
        <v>124.0</v>
      </c>
      <c r="B485" s="1">
        <v>7.6</v>
      </c>
      <c r="K485" s="4"/>
      <c r="P485" s="5"/>
      <c r="Q485" s="24"/>
    </row>
    <row r="486" ht="14.25" customHeight="1">
      <c r="A486" s="1">
        <v>124.0</v>
      </c>
      <c r="B486" s="1">
        <v>7.6</v>
      </c>
      <c r="K486" s="4"/>
      <c r="P486" s="5"/>
      <c r="Q486" s="24"/>
    </row>
    <row r="487" ht="14.25" customHeight="1">
      <c r="A487" s="1">
        <v>123.0</v>
      </c>
      <c r="B487" s="1">
        <v>7.6</v>
      </c>
      <c r="K487" s="4"/>
      <c r="P487" s="5"/>
      <c r="Q487" s="24"/>
    </row>
    <row r="488" ht="14.25" customHeight="1">
      <c r="A488" s="1">
        <v>122.0</v>
      </c>
      <c r="B488" s="1">
        <v>7.6</v>
      </c>
      <c r="K488" s="4"/>
      <c r="P488" s="5"/>
      <c r="Q488" s="24"/>
    </row>
    <row r="489" ht="14.25" customHeight="1">
      <c r="A489" s="1">
        <v>122.0</v>
      </c>
      <c r="B489" s="1">
        <v>7.6</v>
      </c>
      <c r="K489" s="4"/>
      <c r="P489" s="5"/>
      <c r="Q489" s="24"/>
    </row>
    <row r="490" ht="14.25" customHeight="1">
      <c r="A490" s="1">
        <v>121.0</v>
      </c>
      <c r="B490" s="1">
        <v>7.6</v>
      </c>
      <c r="K490" s="4"/>
      <c r="P490" s="5"/>
      <c r="Q490" s="24"/>
    </row>
    <row r="491" ht="14.25" customHeight="1">
      <c r="A491" s="1">
        <v>121.0</v>
      </c>
      <c r="B491" s="1">
        <v>7.6</v>
      </c>
      <c r="K491" s="4"/>
      <c r="P491" s="5"/>
      <c r="Q491" s="24"/>
    </row>
    <row r="492" ht="14.25" customHeight="1">
      <c r="A492" s="1">
        <v>121.0</v>
      </c>
      <c r="B492" s="1">
        <v>7.6</v>
      </c>
      <c r="K492" s="4"/>
      <c r="P492" s="5"/>
      <c r="Q492" s="24"/>
    </row>
    <row r="493" ht="14.25" customHeight="1">
      <c r="A493" s="1">
        <v>121.0</v>
      </c>
      <c r="B493" s="1">
        <v>7.6</v>
      </c>
      <c r="K493" s="4"/>
      <c r="P493" s="5"/>
      <c r="Q493" s="24"/>
    </row>
    <row r="494" ht="14.25" customHeight="1">
      <c r="A494" s="1">
        <v>120.0</v>
      </c>
      <c r="B494" s="1">
        <v>7.6</v>
      </c>
      <c r="K494" s="4"/>
      <c r="P494" s="5"/>
      <c r="Q494" s="24"/>
    </row>
    <row r="495" ht="14.25" customHeight="1">
      <c r="A495" s="1">
        <v>119.0</v>
      </c>
      <c r="B495" s="1">
        <v>7.6</v>
      </c>
      <c r="K495" s="4"/>
      <c r="P495" s="5"/>
      <c r="Q495" s="24"/>
    </row>
    <row r="496" ht="14.25" customHeight="1">
      <c r="A496" s="1">
        <v>119.0</v>
      </c>
      <c r="B496" s="1">
        <v>7.6</v>
      </c>
      <c r="K496" s="4"/>
      <c r="P496" s="5"/>
      <c r="Q496" s="24"/>
    </row>
    <row r="497" ht="14.25" customHeight="1">
      <c r="A497" s="1">
        <v>118.0</v>
      </c>
      <c r="B497" s="1">
        <v>7.6</v>
      </c>
      <c r="K497" s="4"/>
      <c r="P497" s="5"/>
      <c r="Q497" s="24"/>
    </row>
    <row r="498" ht="14.25" customHeight="1">
      <c r="A498" s="1">
        <v>118.0</v>
      </c>
      <c r="B498" s="1">
        <v>7.6</v>
      </c>
      <c r="K498" s="4"/>
      <c r="P498" s="5"/>
      <c r="Q498" s="24"/>
    </row>
    <row r="499" ht="14.25" customHeight="1">
      <c r="A499" s="1">
        <v>115.0</v>
      </c>
      <c r="B499" s="1">
        <v>7.6</v>
      </c>
      <c r="K499" s="4"/>
      <c r="P499" s="5"/>
      <c r="Q499" s="24"/>
    </row>
    <row r="500" ht="14.25" customHeight="1">
      <c r="A500" s="1">
        <v>114.0</v>
      </c>
      <c r="B500" s="1">
        <v>7.6</v>
      </c>
      <c r="K500" s="4"/>
      <c r="P500" s="5"/>
      <c r="Q500" s="24"/>
    </row>
    <row r="501" ht="14.25" customHeight="1">
      <c r="A501" s="1">
        <v>114.0</v>
      </c>
      <c r="B501" s="1">
        <v>7.6</v>
      </c>
      <c r="K501" s="4"/>
      <c r="P501" s="5"/>
      <c r="Q501" s="24"/>
    </row>
    <row r="502" ht="14.25" customHeight="1">
      <c r="A502" s="1">
        <v>113.0</v>
      </c>
      <c r="B502" s="1">
        <v>7.6</v>
      </c>
      <c r="K502" s="4"/>
      <c r="P502" s="5"/>
      <c r="Q502" s="24"/>
    </row>
    <row r="503" ht="14.25" customHeight="1">
      <c r="A503" s="1">
        <v>113.0</v>
      </c>
      <c r="B503" s="1">
        <v>7.6</v>
      </c>
      <c r="K503" s="4"/>
      <c r="P503" s="5"/>
      <c r="Q503" s="24"/>
    </row>
    <row r="504" ht="14.25" customHeight="1">
      <c r="A504" s="1">
        <v>113.0</v>
      </c>
      <c r="B504" s="1">
        <v>7.6</v>
      </c>
      <c r="K504" s="4"/>
      <c r="P504" s="5"/>
      <c r="Q504" s="24"/>
    </row>
    <row r="505" ht="14.25" customHeight="1">
      <c r="A505" s="1">
        <v>112.0</v>
      </c>
      <c r="B505" s="1">
        <v>7.6</v>
      </c>
      <c r="K505" s="4"/>
      <c r="P505" s="5"/>
      <c r="Q505" s="24"/>
    </row>
    <row r="506" ht="14.25" customHeight="1">
      <c r="A506" s="1">
        <v>112.0</v>
      </c>
      <c r="B506" s="1">
        <v>7.6</v>
      </c>
      <c r="K506" s="4"/>
      <c r="P506" s="5"/>
      <c r="Q506" s="24"/>
    </row>
    <row r="507" ht="14.25" customHeight="1">
      <c r="A507" s="1">
        <v>111.0</v>
      </c>
      <c r="B507" s="1">
        <v>7.6</v>
      </c>
      <c r="K507" s="4"/>
      <c r="P507" s="5"/>
      <c r="Q507" s="24"/>
    </row>
    <row r="508" ht="14.25" customHeight="1">
      <c r="A508" s="1">
        <v>111.0</v>
      </c>
      <c r="B508" s="1">
        <v>7.6</v>
      </c>
      <c r="K508" s="4"/>
      <c r="P508" s="5"/>
      <c r="Q508" s="24"/>
    </row>
    <row r="509" ht="14.25" customHeight="1">
      <c r="A509" s="1">
        <v>111.0</v>
      </c>
      <c r="B509" s="1">
        <v>7.6</v>
      </c>
      <c r="K509" s="4"/>
      <c r="P509" s="5"/>
      <c r="Q509" s="24"/>
    </row>
    <row r="510" ht="14.25" customHeight="1">
      <c r="A510" s="1">
        <v>111.0</v>
      </c>
      <c r="B510" s="1">
        <v>7.6</v>
      </c>
      <c r="K510" s="4"/>
      <c r="P510" s="5"/>
      <c r="Q510" s="24"/>
    </row>
    <row r="511" ht="14.25" customHeight="1">
      <c r="A511" s="1">
        <v>110.0</v>
      </c>
      <c r="B511" s="1">
        <v>7.6</v>
      </c>
      <c r="K511" s="4"/>
      <c r="P511" s="5"/>
      <c r="Q511" s="24"/>
    </row>
    <row r="512" ht="14.25" customHeight="1">
      <c r="A512" s="1">
        <v>110.0</v>
      </c>
      <c r="B512" s="1">
        <v>7.6</v>
      </c>
      <c r="K512" s="4"/>
      <c r="P512" s="5"/>
      <c r="Q512" s="24"/>
    </row>
    <row r="513" ht="14.25" customHeight="1">
      <c r="A513" s="1">
        <v>110.0</v>
      </c>
      <c r="B513" s="1">
        <v>7.6</v>
      </c>
      <c r="K513" s="4"/>
      <c r="P513" s="5"/>
      <c r="Q513" s="24"/>
    </row>
    <row r="514" ht="14.25" customHeight="1">
      <c r="A514" s="1">
        <v>109.0</v>
      </c>
      <c r="B514" s="1">
        <v>7.6</v>
      </c>
      <c r="K514" s="4"/>
      <c r="P514" s="5"/>
      <c r="Q514" s="24"/>
    </row>
    <row r="515" ht="14.25" customHeight="1">
      <c r="A515" s="1">
        <v>108.0</v>
      </c>
      <c r="B515" s="1">
        <v>7.6</v>
      </c>
      <c r="K515" s="4"/>
      <c r="P515" s="5"/>
      <c r="Q515" s="24"/>
    </row>
    <row r="516" ht="14.25" customHeight="1">
      <c r="A516" s="1">
        <v>106.0</v>
      </c>
      <c r="B516" s="1">
        <v>7.6</v>
      </c>
      <c r="K516" s="4"/>
      <c r="P516" s="5"/>
      <c r="Q516" s="24"/>
    </row>
    <row r="517" ht="14.25" customHeight="1">
      <c r="A517" s="1">
        <v>105.0</v>
      </c>
      <c r="B517" s="1">
        <v>7.6</v>
      </c>
      <c r="K517" s="4"/>
      <c r="P517" s="5"/>
      <c r="Q517" s="24"/>
    </row>
    <row r="518" ht="14.25" customHeight="1">
      <c r="A518" s="1">
        <v>103.0</v>
      </c>
      <c r="B518" s="1">
        <v>7.6</v>
      </c>
      <c r="K518" s="4"/>
      <c r="P518" s="5"/>
      <c r="Q518" s="24"/>
    </row>
    <row r="519" ht="14.25" customHeight="1">
      <c r="A519" s="1">
        <v>103.0</v>
      </c>
      <c r="B519" s="1">
        <v>7.6</v>
      </c>
      <c r="K519" s="4"/>
      <c r="P519" s="5"/>
      <c r="Q519" s="24"/>
    </row>
    <row r="520" ht="14.25" customHeight="1">
      <c r="A520" s="1">
        <v>102.0</v>
      </c>
      <c r="B520" s="1">
        <v>7.6</v>
      </c>
      <c r="K520" s="4"/>
      <c r="P520" s="5"/>
      <c r="Q520" s="24"/>
    </row>
    <row r="521" ht="14.25" customHeight="1">
      <c r="A521" s="1">
        <v>102.0</v>
      </c>
      <c r="B521" s="1">
        <v>7.6</v>
      </c>
      <c r="K521" s="4"/>
      <c r="P521" s="5"/>
      <c r="Q521" s="24"/>
    </row>
    <row r="522" ht="14.25" customHeight="1">
      <c r="A522" s="1">
        <v>102.0</v>
      </c>
      <c r="B522" s="1">
        <v>7.6</v>
      </c>
      <c r="K522" s="4"/>
      <c r="P522" s="5"/>
      <c r="Q522" s="24"/>
    </row>
    <row r="523" ht="14.25" customHeight="1">
      <c r="A523" s="1">
        <v>102.0</v>
      </c>
      <c r="B523" s="1">
        <v>7.6</v>
      </c>
      <c r="K523" s="4"/>
      <c r="P523" s="5"/>
      <c r="Q523" s="24"/>
    </row>
    <row r="524" ht="14.25" customHeight="1">
      <c r="A524" s="1">
        <v>102.0</v>
      </c>
      <c r="B524" s="1">
        <v>7.6</v>
      </c>
      <c r="K524" s="4"/>
      <c r="P524" s="5"/>
      <c r="Q524" s="24"/>
    </row>
    <row r="525" ht="14.25" customHeight="1">
      <c r="A525" s="1">
        <v>101.0</v>
      </c>
      <c r="B525" s="1">
        <v>7.6</v>
      </c>
      <c r="K525" s="4"/>
      <c r="P525" s="5"/>
      <c r="Q525" s="24"/>
    </row>
    <row r="526" ht="14.25" customHeight="1">
      <c r="A526" s="1">
        <v>101.0</v>
      </c>
      <c r="B526" s="1">
        <v>7.6</v>
      </c>
      <c r="K526" s="4"/>
      <c r="P526" s="5"/>
      <c r="Q526" s="24"/>
    </row>
    <row r="527" ht="14.25" customHeight="1">
      <c r="A527" s="1">
        <v>100.0</v>
      </c>
      <c r="B527" s="1">
        <v>7.6</v>
      </c>
      <c r="K527" s="4"/>
      <c r="P527" s="5"/>
      <c r="Q527" s="24"/>
    </row>
    <row r="528" ht="14.25" customHeight="1">
      <c r="A528" s="1">
        <v>99.0</v>
      </c>
      <c r="B528" s="1">
        <v>7.6</v>
      </c>
      <c r="K528" s="4"/>
      <c r="P528" s="5"/>
      <c r="Q528" s="24"/>
    </row>
    <row r="529" ht="14.25" customHeight="1">
      <c r="A529" s="1">
        <v>98.0</v>
      </c>
      <c r="B529" s="1">
        <v>7.6</v>
      </c>
      <c r="K529" s="4"/>
      <c r="P529" s="5"/>
      <c r="Q529" s="24"/>
    </row>
    <row r="530" ht="14.25" customHeight="1">
      <c r="A530" s="1">
        <v>98.0</v>
      </c>
      <c r="B530" s="1">
        <v>7.6</v>
      </c>
      <c r="K530" s="4"/>
      <c r="P530" s="5"/>
      <c r="Q530" s="24"/>
    </row>
    <row r="531" ht="14.25" customHeight="1">
      <c r="A531" s="1">
        <v>98.0</v>
      </c>
      <c r="B531" s="1">
        <v>7.6</v>
      </c>
      <c r="K531" s="4"/>
      <c r="P531" s="5"/>
      <c r="Q531" s="24"/>
    </row>
    <row r="532" ht="14.25" customHeight="1">
      <c r="A532" s="1">
        <v>98.0</v>
      </c>
      <c r="B532" s="1">
        <v>7.6</v>
      </c>
      <c r="K532" s="4"/>
      <c r="P532" s="5"/>
      <c r="Q532" s="24"/>
    </row>
    <row r="533" ht="14.25" customHeight="1">
      <c r="A533" s="1">
        <v>94.0</v>
      </c>
      <c r="B533" s="1">
        <v>7.6</v>
      </c>
      <c r="K533" s="4"/>
      <c r="P533" s="5"/>
      <c r="Q533" s="24"/>
    </row>
    <row r="534" ht="14.25" customHeight="1">
      <c r="A534" s="1">
        <v>92.0</v>
      </c>
      <c r="B534" s="1">
        <v>7.6</v>
      </c>
      <c r="K534" s="4"/>
      <c r="P534" s="5"/>
      <c r="Q534" s="24"/>
    </row>
    <row r="535" ht="14.25" customHeight="1">
      <c r="A535" s="1">
        <v>92.0</v>
      </c>
      <c r="B535" s="1">
        <v>7.6</v>
      </c>
      <c r="K535" s="4"/>
      <c r="P535" s="5"/>
      <c r="Q535" s="24"/>
    </row>
    <row r="536" ht="14.25" customHeight="1">
      <c r="A536" s="1">
        <v>91.0</v>
      </c>
      <c r="B536" s="1">
        <v>7.6</v>
      </c>
      <c r="K536" s="4"/>
      <c r="P536" s="5"/>
      <c r="Q536" s="24"/>
    </row>
    <row r="537" ht="14.25" customHeight="1">
      <c r="A537" s="1">
        <v>90.0</v>
      </c>
      <c r="B537" s="1">
        <v>7.6</v>
      </c>
      <c r="K537" s="4"/>
      <c r="P537" s="5"/>
      <c r="Q537" s="24"/>
    </row>
    <row r="538" ht="14.25" customHeight="1">
      <c r="A538" s="1">
        <v>89.0</v>
      </c>
      <c r="B538" s="1">
        <v>7.6</v>
      </c>
      <c r="K538" s="4"/>
      <c r="P538" s="5"/>
      <c r="Q538" s="24"/>
    </row>
    <row r="539" ht="14.25" customHeight="1">
      <c r="A539" s="1">
        <v>89.0</v>
      </c>
      <c r="B539" s="1">
        <v>7.6</v>
      </c>
      <c r="K539" s="4"/>
      <c r="P539" s="5"/>
      <c r="Q539" s="24"/>
    </row>
    <row r="540" ht="14.25" customHeight="1">
      <c r="A540" s="1">
        <v>88.0</v>
      </c>
      <c r="B540" s="1">
        <v>7.6</v>
      </c>
      <c r="K540" s="4"/>
      <c r="P540" s="5"/>
      <c r="Q540" s="24"/>
    </row>
    <row r="541" ht="14.25" customHeight="1">
      <c r="A541" s="1">
        <v>88.0</v>
      </c>
      <c r="B541" s="1">
        <v>7.6</v>
      </c>
      <c r="K541" s="4"/>
      <c r="P541" s="5"/>
      <c r="Q541" s="24"/>
    </row>
    <row r="542" ht="14.25" customHeight="1">
      <c r="A542" s="1">
        <v>87.0</v>
      </c>
      <c r="B542" s="1">
        <v>7.6</v>
      </c>
      <c r="K542" s="4"/>
      <c r="P542" s="5"/>
      <c r="Q542" s="24"/>
    </row>
    <row r="543" ht="14.25" customHeight="1">
      <c r="A543" s="1">
        <v>84.0</v>
      </c>
      <c r="B543" s="1">
        <v>7.6</v>
      </c>
      <c r="K543" s="4"/>
      <c r="P543" s="5"/>
      <c r="Q543" s="24"/>
    </row>
    <row r="544" ht="14.25" customHeight="1">
      <c r="A544" s="1">
        <v>80.0</v>
      </c>
      <c r="B544" s="1">
        <v>7.6</v>
      </c>
      <c r="K544" s="4"/>
      <c r="P544" s="5"/>
      <c r="Q544" s="24"/>
    </row>
    <row r="545" ht="14.25" customHeight="1">
      <c r="A545" s="1">
        <v>216.0</v>
      </c>
      <c r="B545" s="1">
        <v>7.5</v>
      </c>
      <c r="K545" s="4"/>
      <c r="P545" s="5"/>
      <c r="Q545" s="24"/>
    </row>
    <row r="546" ht="14.25" customHeight="1">
      <c r="A546" s="1">
        <v>172.0</v>
      </c>
      <c r="B546" s="1">
        <v>7.5</v>
      </c>
      <c r="K546" s="4"/>
      <c r="P546" s="5"/>
      <c r="Q546" s="24"/>
    </row>
    <row r="547" ht="14.25" customHeight="1">
      <c r="A547" s="1">
        <v>170.0</v>
      </c>
      <c r="B547" s="1">
        <v>7.5</v>
      </c>
      <c r="K547" s="4"/>
      <c r="P547" s="5"/>
      <c r="Q547" s="24"/>
    </row>
    <row r="548" ht="14.25" customHeight="1">
      <c r="A548" s="1">
        <v>164.0</v>
      </c>
      <c r="B548" s="1">
        <v>7.5</v>
      </c>
      <c r="K548" s="4"/>
      <c r="P548" s="5"/>
      <c r="Q548" s="24"/>
    </row>
    <row r="549" ht="14.25" customHeight="1">
      <c r="A549" s="1">
        <v>160.0</v>
      </c>
      <c r="B549" s="1">
        <v>7.5</v>
      </c>
      <c r="K549" s="4"/>
      <c r="P549" s="5"/>
      <c r="Q549" s="24"/>
    </row>
    <row r="550" ht="14.25" customHeight="1">
      <c r="A550" s="1">
        <v>160.0</v>
      </c>
      <c r="B550" s="1">
        <v>7.5</v>
      </c>
      <c r="K550" s="4"/>
      <c r="P550" s="5"/>
      <c r="Q550" s="24"/>
    </row>
    <row r="551" ht="14.25" customHeight="1">
      <c r="A551" s="1">
        <v>159.0</v>
      </c>
      <c r="B551" s="1">
        <v>7.5</v>
      </c>
      <c r="K551" s="4"/>
      <c r="P551" s="5"/>
      <c r="Q551" s="24"/>
    </row>
    <row r="552" ht="14.25" customHeight="1">
      <c r="A552" s="1">
        <v>155.0</v>
      </c>
      <c r="B552" s="1">
        <v>7.5</v>
      </c>
      <c r="K552" s="4"/>
      <c r="P552" s="5"/>
      <c r="Q552" s="24"/>
    </row>
    <row r="553" ht="14.25" customHeight="1">
      <c r="A553" s="1">
        <v>154.0</v>
      </c>
      <c r="B553" s="1">
        <v>7.5</v>
      </c>
      <c r="K553" s="4"/>
      <c r="P553" s="5"/>
      <c r="Q553" s="24"/>
    </row>
    <row r="554" ht="14.25" customHeight="1">
      <c r="A554" s="1">
        <v>153.0</v>
      </c>
      <c r="B554" s="1">
        <v>7.5</v>
      </c>
      <c r="K554" s="4"/>
      <c r="P554" s="5"/>
      <c r="Q554" s="24"/>
    </row>
    <row r="555" ht="14.25" customHeight="1">
      <c r="A555" s="1">
        <v>153.0</v>
      </c>
      <c r="B555" s="1">
        <v>7.5</v>
      </c>
      <c r="K555" s="4"/>
      <c r="P555" s="5"/>
      <c r="Q555" s="24"/>
    </row>
    <row r="556" ht="14.25" customHeight="1">
      <c r="A556" s="1">
        <v>147.0</v>
      </c>
      <c r="B556" s="1">
        <v>7.5</v>
      </c>
      <c r="K556" s="4"/>
      <c r="P556" s="5"/>
      <c r="Q556" s="24"/>
    </row>
    <row r="557" ht="14.25" customHeight="1">
      <c r="A557" s="1">
        <v>147.0</v>
      </c>
      <c r="B557" s="1">
        <v>7.5</v>
      </c>
      <c r="K557" s="4"/>
      <c r="P557" s="5"/>
      <c r="Q557" s="24"/>
    </row>
    <row r="558" ht="14.25" customHeight="1">
      <c r="A558" s="1">
        <v>147.0</v>
      </c>
      <c r="B558" s="1">
        <v>7.5</v>
      </c>
      <c r="K558" s="4"/>
      <c r="P558" s="5"/>
      <c r="Q558" s="24"/>
    </row>
    <row r="559" ht="14.25" customHeight="1">
      <c r="A559" s="1">
        <v>143.0</v>
      </c>
      <c r="B559" s="1">
        <v>7.5</v>
      </c>
      <c r="K559" s="4"/>
      <c r="P559" s="5"/>
      <c r="Q559" s="24"/>
    </row>
    <row r="560" ht="14.25" customHeight="1">
      <c r="A560" s="1">
        <v>141.0</v>
      </c>
      <c r="B560" s="1">
        <v>7.5</v>
      </c>
      <c r="K560" s="4"/>
      <c r="P560" s="5"/>
      <c r="Q560" s="24"/>
    </row>
    <row r="561" ht="14.25" customHeight="1">
      <c r="A561" s="1">
        <v>139.0</v>
      </c>
      <c r="B561" s="1">
        <v>7.5</v>
      </c>
      <c r="K561" s="4"/>
      <c r="P561" s="5"/>
      <c r="Q561" s="24"/>
    </row>
    <row r="562" ht="14.25" customHeight="1">
      <c r="A562" s="1">
        <v>138.0</v>
      </c>
      <c r="B562" s="1">
        <v>7.5</v>
      </c>
      <c r="K562" s="4"/>
      <c r="P562" s="5"/>
      <c r="Q562" s="24"/>
    </row>
    <row r="563" ht="14.25" customHeight="1">
      <c r="A563" s="1">
        <v>138.0</v>
      </c>
      <c r="B563" s="1">
        <v>7.5</v>
      </c>
      <c r="K563" s="4"/>
      <c r="P563" s="5"/>
      <c r="Q563" s="24"/>
    </row>
    <row r="564" ht="14.25" customHeight="1">
      <c r="A564" s="1">
        <v>136.0</v>
      </c>
      <c r="B564" s="1">
        <v>7.5</v>
      </c>
      <c r="K564" s="4"/>
      <c r="P564" s="5"/>
      <c r="Q564" s="24"/>
    </row>
    <row r="565" ht="14.25" customHeight="1">
      <c r="A565" s="1">
        <v>135.0</v>
      </c>
      <c r="B565" s="1">
        <v>7.5</v>
      </c>
      <c r="K565" s="4"/>
      <c r="P565" s="5"/>
      <c r="Q565" s="24"/>
    </row>
    <row r="566" ht="14.25" customHeight="1">
      <c r="A566" s="1">
        <v>135.0</v>
      </c>
      <c r="B566" s="1">
        <v>7.5</v>
      </c>
      <c r="K566" s="4"/>
      <c r="P566" s="5"/>
      <c r="Q566" s="24"/>
    </row>
    <row r="567" ht="14.25" customHeight="1">
      <c r="A567" s="1">
        <v>134.0</v>
      </c>
      <c r="B567" s="1">
        <v>7.5</v>
      </c>
      <c r="K567" s="4"/>
      <c r="P567" s="5"/>
      <c r="Q567" s="24"/>
    </row>
    <row r="568" ht="14.25" customHeight="1">
      <c r="A568" s="1">
        <v>134.0</v>
      </c>
      <c r="B568" s="1">
        <v>7.5</v>
      </c>
      <c r="K568" s="4"/>
      <c r="P568" s="5"/>
      <c r="Q568" s="24"/>
    </row>
    <row r="569" ht="14.25" customHeight="1">
      <c r="A569" s="1">
        <v>133.0</v>
      </c>
      <c r="B569" s="1">
        <v>7.5</v>
      </c>
      <c r="K569" s="4"/>
      <c r="P569" s="5"/>
      <c r="Q569" s="24"/>
    </row>
    <row r="570" ht="14.25" customHeight="1">
      <c r="A570" s="1">
        <v>130.0</v>
      </c>
      <c r="B570" s="1">
        <v>7.5</v>
      </c>
      <c r="K570" s="4"/>
      <c r="P570" s="5"/>
      <c r="Q570" s="24"/>
    </row>
    <row r="571" ht="14.25" customHeight="1">
      <c r="A571" s="1">
        <v>129.0</v>
      </c>
      <c r="B571" s="1">
        <v>7.5</v>
      </c>
      <c r="K571" s="4"/>
      <c r="P571" s="5"/>
      <c r="Q571" s="24"/>
    </row>
    <row r="572" ht="14.25" customHeight="1">
      <c r="A572" s="1">
        <v>129.0</v>
      </c>
      <c r="B572" s="1">
        <v>7.5</v>
      </c>
      <c r="K572" s="4"/>
      <c r="P572" s="5"/>
      <c r="Q572" s="24"/>
    </row>
    <row r="573" ht="14.25" customHeight="1">
      <c r="A573" s="1">
        <v>129.0</v>
      </c>
      <c r="B573" s="1">
        <v>7.5</v>
      </c>
      <c r="K573" s="4"/>
      <c r="P573" s="5"/>
      <c r="Q573" s="24"/>
    </row>
    <row r="574" ht="14.25" customHeight="1">
      <c r="A574" s="1">
        <v>128.0</v>
      </c>
      <c r="B574" s="1">
        <v>7.5</v>
      </c>
      <c r="K574" s="4"/>
      <c r="P574" s="5"/>
      <c r="Q574" s="24"/>
    </row>
    <row r="575" ht="14.25" customHeight="1">
      <c r="A575" s="1">
        <v>128.0</v>
      </c>
      <c r="B575" s="1">
        <v>7.5</v>
      </c>
      <c r="K575" s="4"/>
      <c r="P575" s="5"/>
      <c r="Q575" s="24"/>
    </row>
    <row r="576" ht="14.25" customHeight="1">
      <c r="A576" s="1">
        <v>126.0</v>
      </c>
      <c r="B576" s="1">
        <v>7.5</v>
      </c>
      <c r="K576" s="4"/>
      <c r="P576" s="5"/>
      <c r="Q576" s="24"/>
    </row>
    <row r="577" ht="14.25" customHeight="1">
      <c r="A577" s="1">
        <v>126.0</v>
      </c>
      <c r="B577" s="1">
        <v>7.5</v>
      </c>
      <c r="K577" s="4"/>
      <c r="P577" s="5"/>
      <c r="Q577" s="24"/>
    </row>
    <row r="578" ht="14.25" customHeight="1">
      <c r="A578" s="1">
        <v>125.0</v>
      </c>
      <c r="B578" s="1">
        <v>7.5</v>
      </c>
      <c r="K578" s="4"/>
      <c r="P578" s="5"/>
      <c r="Q578" s="24"/>
    </row>
    <row r="579" ht="14.25" customHeight="1">
      <c r="A579" s="1">
        <v>125.0</v>
      </c>
      <c r="B579" s="1">
        <v>7.5</v>
      </c>
      <c r="K579" s="4"/>
      <c r="P579" s="5"/>
      <c r="Q579" s="24"/>
    </row>
    <row r="580" ht="14.25" customHeight="1">
      <c r="A580" s="1">
        <v>125.0</v>
      </c>
      <c r="B580" s="1">
        <v>7.5</v>
      </c>
      <c r="K580" s="4"/>
      <c r="P580" s="5"/>
      <c r="Q580" s="24"/>
    </row>
    <row r="581" ht="14.25" customHeight="1">
      <c r="A581" s="1">
        <v>124.0</v>
      </c>
      <c r="B581" s="1">
        <v>7.5</v>
      </c>
      <c r="K581" s="4"/>
      <c r="P581" s="5"/>
      <c r="Q581" s="24"/>
    </row>
    <row r="582" ht="14.25" customHeight="1">
      <c r="A582" s="1">
        <v>124.0</v>
      </c>
      <c r="B582" s="1">
        <v>7.5</v>
      </c>
      <c r="K582" s="4"/>
      <c r="P582" s="5"/>
      <c r="Q582" s="24"/>
    </row>
    <row r="583" ht="14.25" customHeight="1">
      <c r="A583" s="1">
        <v>124.0</v>
      </c>
      <c r="B583" s="1">
        <v>7.5</v>
      </c>
      <c r="K583" s="4"/>
      <c r="P583" s="5"/>
      <c r="Q583" s="24"/>
    </row>
    <row r="584" ht="14.25" customHeight="1">
      <c r="A584" s="1">
        <v>124.0</v>
      </c>
      <c r="B584" s="1">
        <v>7.5</v>
      </c>
      <c r="K584" s="4"/>
      <c r="P584" s="5"/>
      <c r="Q584" s="24"/>
    </row>
    <row r="585" ht="14.25" customHeight="1">
      <c r="A585" s="1">
        <v>123.0</v>
      </c>
      <c r="B585" s="1">
        <v>7.5</v>
      </c>
      <c r="K585" s="4"/>
      <c r="P585" s="5"/>
      <c r="Q585" s="24"/>
    </row>
    <row r="586" ht="14.25" customHeight="1">
      <c r="A586" s="1">
        <v>122.0</v>
      </c>
      <c r="B586" s="1">
        <v>7.5</v>
      </c>
      <c r="K586" s="4"/>
      <c r="P586" s="5"/>
      <c r="Q586" s="24"/>
    </row>
    <row r="587" ht="14.25" customHeight="1">
      <c r="A587" s="1">
        <v>122.0</v>
      </c>
      <c r="B587" s="1">
        <v>7.5</v>
      </c>
      <c r="K587" s="4"/>
      <c r="P587" s="5"/>
      <c r="Q587" s="24"/>
    </row>
    <row r="588" ht="14.25" customHeight="1">
      <c r="A588" s="1">
        <v>121.0</v>
      </c>
      <c r="B588" s="1">
        <v>7.5</v>
      </c>
      <c r="K588" s="4"/>
      <c r="P588" s="5"/>
      <c r="Q588" s="24"/>
    </row>
    <row r="589" ht="14.25" customHeight="1">
      <c r="A589" s="1">
        <v>120.0</v>
      </c>
      <c r="B589" s="1">
        <v>7.5</v>
      </c>
      <c r="K589" s="4"/>
      <c r="P589" s="5"/>
      <c r="Q589" s="24"/>
    </row>
    <row r="590" ht="14.25" customHeight="1">
      <c r="A590" s="1">
        <v>120.0</v>
      </c>
      <c r="B590" s="1">
        <v>7.5</v>
      </c>
      <c r="K590" s="4"/>
      <c r="P590" s="5"/>
      <c r="Q590" s="24"/>
    </row>
    <row r="591" ht="14.25" customHeight="1">
      <c r="A591" s="1">
        <v>115.0</v>
      </c>
      <c r="B591" s="1">
        <v>7.5</v>
      </c>
      <c r="K591" s="4"/>
      <c r="P591" s="5"/>
      <c r="Q591" s="24"/>
    </row>
    <row r="592" ht="14.25" customHeight="1">
      <c r="A592" s="1">
        <v>114.0</v>
      </c>
      <c r="B592" s="1">
        <v>7.5</v>
      </c>
      <c r="K592" s="4"/>
      <c r="P592" s="5"/>
      <c r="Q592" s="24"/>
    </row>
    <row r="593" ht="14.25" customHeight="1">
      <c r="A593" s="1">
        <v>113.0</v>
      </c>
      <c r="B593" s="1">
        <v>7.5</v>
      </c>
      <c r="K593" s="4"/>
      <c r="P593" s="5"/>
      <c r="Q593" s="24"/>
    </row>
    <row r="594" ht="14.25" customHeight="1">
      <c r="A594" s="1">
        <v>112.0</v>
      </c>
      <c r="B594" s="1">
        <v>7.5</v>
      </c>
      <c r="K594" s="4"/>
      <c r="P594" s="5"/>
      <c r="Q594" s="24"/>
    </row>
    <row r="595" ht="14.25" customHeight="1">
      <c r="A595" s="1">
        <v>112.0</v>
      </c>
      <c r="B595" s="1">
        <v>7.5</v>
      </c>
      <c r="K595" s="4"/>
      <c r="P595" s="5"/>
      <c r="Q595" s="24"/>
    </row>
    <row r="596" ht="14.25" customHeight="1">
      <c r="A596" s="1">
        <v>112.0</v>
      </c>
      <c r="B596" s="1">
        <v>7.5</v>
      </c>
      <c r="K596" s="4"/>
      <c r="P596" s="5"/>
      <c r="Q596" s="24"/>
    </row>
    <row r="597" ht="14.25" customHeight="1">
      <c r="A597" s="1">
        <v>112.0</v>
      </c>
      <c r="B597" s="1">
        <v>7.5</v>
      </c>
      <c r="K597" s="4"/>
      <c r="P597" s="5"/>
      <c r="Q597" s="24"/>
    </row>
    <row r="598" ht="14.25" customHeight="1">
      <c r="A598" s="1">
        <v>112.0</v>
      </c>
      <c r="B598" s="1">
        <v>7.5</v>
      </c>
      <c r="K598" s="4"/>
      <c r="P598" s="5"/>
      <c r="Q598" s="24"/>
    </row>
    <row r="599" ht="14.25" customHeight="1">
      <c r="A599" s="1">
        <v>111.0</v>
      </c>
      <c r="B599" s="1">
        <v>7.5</v>
      </c>
      <c r="K599" s="4"/>
      <c r="P599" s="5"/>
      <c r="Q599" s="24"/>
    </row>
    <row r="600" ht="14.25" customHeight="1">
      <c r="A600" s="1">
        <v>111.0</v>
      </c>
      <c r="B600" s="1">
        <v>7.5</v>
      </c>
      <c r="K600" s="4"/>
      <c r="P600" s="5"/>
      <c r="Q600" s="24"/>
    </row>
    <row r="601" ht="14.25" customHeight="1">
      <c r="A601" s="1">
        <v>111.0</v>
      </c>
      <c r="B601" s="1">
        <v>7.5</v>
      </c>
      <c r="K601" s="4"/>
      <c r="P601" s="5"/>
      <c r="Q601" s="24"/>
    </row>
    <row r="602" ht="14.25" customHeight="1">
      <c r="A602" s="1">
        <v>110.0</v>
      </c>
      <c r="B602" s="1">
        <v>7.5</v>
      </c>
      <c r="K602" s="4"/>
      <c r="P602" s="5"/>
      <c r="Q602" s="24"/>
    </row>
    <row r="603" ht="14.25" customHeight="1">
      <c r="A603" s="1">
        <v>108.0</v>
      </c>
      <c r="B603" s="1">
        <v>7.5</v>
      </c>
      <c r="K603" s="4"/>
      <c r="P603" s="5"/>
      <c r="Q603" s="24"/>
    </row>
    <row r="604" ht="14.25" customHeight="1">
      <c r="A604" s="1">
        <v>107.0</v>
      </c>
      <c r="B604" s="1">
        <v>7.5</v>
      </c>
      <c r="K604" s="4"/>
      <c r="P604" s="5"/>
      <c r="Q604" s="24"/>
    </row>
    <row r="605" ht="14.25" customHeight="1">
      <c r="A605" s="1">
        <v>107.0</v>
      </c>
      <c r="B605" s="1">
        <v>7.5</v>
      </c>
      <c r="K605" s="4"/>
      <c r="P605" s="5"/>
      <c r="Q605" s="24"/>
    </row>
    <row r="606" ht="14.25" customHeight="1">
      <c r="A606" s="1">
        <v>106.0</v>
      </c>
      <c r="B606" s="1">
        <v>7.5</v>
      </c>
      <c r="K606" s="4"/>
      <c r="P606" s="5"/>
      <c r="Q606" s="24"/>
    </row>
    <row r="607" ht="14.25" customHeight="1">
      <c r="A607" s="1">
        <v>106.0</v>
      </c>
      <c r="B607" s="1">
        <v>7.5</v>
      </c>
      <c r="K607" s="4"/>
      <c r="P607" s="5"/>
      <c r="Q607" s="24"/>
    </row>
    <row r="608" ht="14.25" customHeight="1">
      <c r="A608" s="1">
        <v>105.0</v>
      </c>
      <c r="B608" s="1">
        <v>7.5</v>
      </c>
      <c r="K608" s="4"/>
      <c r="P608" s="5"/>
      <c r="Q608" s="24"/>
    </row>
    <row r="609" ht="14.25" customHeight="1">
      <c r="A609" s="1">
        <v>105.0</v>
      </c>
      <c r="B609" s="1">
        <v>7.5</v>
      </c>
      <c r="K609" s="4"/>
      <c r="P609" s="5"/>
      <c r="Q609" s="24"/>
    </row>
    <row r="610" ht="14.25" customHeight="1">
      <c r="A610" s="1">
        <v>105.0</v>
      </c>
      <c r="B610" s="1">
        <v>7.5</v>
      </c>
      <c r="K610" s="4"/>
      <c r="P610" s="5"/>
      <c r="Q610" s="24"/>
    </row>
    <row r="611" ht="14.25" customHeight="1">
      <c r="A611" s="1">
        <v>104.0</v>
      </c>
      <c r="B611" s="1">
        <v>7.5</v>
      </c>
      <c r="K611" s="4"/>
      <c r="P611" s="5"/>
      <c r="Q611" s="24"/>
    </row>
    <row r="612" ht="14.25" customHeight="1">
      <c r="A612" s="1">
        <v>104.0</v>
      </c>
      <c r="B612" s="1">
        <v>7.5</v>
      </c>
      <c r="K612" s="4"/>
      <c r="P612" s="5"/>
      <c r="Q612" s="24"/>
    </row>
    <row r="613" ht="14.25" customHeight="1">
      <c r="A613" s="1">
        <v>103.0</v>
      </c>
      <c r="B613" s="1">
        <v>7.5</v>
      </c>
      <c r="K613" s="4"/>
      <c r="P613" s="5"/>
      <c r="Q613" s="24"/>
    </row>
    <row r="614" ht="14.25" customHeight="1">
      <c r="A614" s="1">
        <v>101.0</v>
      </c>
      <c r="B614" s="1">
        <v>7.5</v>
      </c>
      <c r="K614" s="4"/>
      <c r="P614" s="5"/>
      <c r="Q614" s="24"/>
    </row>
    <row r="615" ht="14.25" customHeight="1">
      <c r="A615" s="1">
        <v>101.0</v>
      </c>
      <c r="B615" s="1">
        <v>7.5</v>
      </c>
      <c r="K615" s="4"/>
      <c r="P615" s="5"/>
      <c r="Q615" s="24"/>
    </row>
    <row r="616" ht="14.25" customHeight="1">
      <c r="A616" s="1">
        <v>101.0</v>
      </c>
      <c r="B616" s="1">
        <v>7.5</v>
      </c>
      <c r="K616" s="4"/>
      <c r="P616" s="5"/>
      <c r="Q616" s="24"/>
    </row>
    <row r="617" ht="14.25" customHeight="1">
      <c r="A617" s="1">
        <v>101.0</v>
      </c>
      <c r="B617" s="1">
        <v>7.5</v>
      </c>
      <c r="K617" s="4"/>
      <c r="P617" s="5"/>
      <c r="Q617" s="24"/>
    </row>
    <row r="618" ht="14.25" customHeight="1">
      <c r="A618" s="1">
        <v>98.0</v>
      </c>
      <c r="B618" s="1">
        <v>7.5</v>
      </c>
      <c r="K618" s="4"/>
      <c r="P618" s="5"/>
      <c r="Q618" s="24"/>
    </row>
    <row r="619" ht="14.25" customHeight="1">
      <c r="A619" s="1">
        <v>98.0</v>
      </c>
      <c r="B619" s="1">
        <v>7.5</v>
      </c>
      <c r="K619" s="4"/>
      <c r="P619" s="5"/>
      <c r="Q619" s="24"/>
    </row>
    <row r="620" ht="14.25" customHeight="1">
      <c r="A620" s="1">
        <v>98.0</v>
      </c>
      <c r="B620" s="1">
        <v>7.5</v>
      </c>
      <c r="K620" s="4"/>
      <c r="P620" s="5"/>
      <c r="Q620" s="24"/>
    </row>
    <row r="621" ht="14.25" customHeight="1">
      <c r="A621" s="1">
        <v>97.0</v>
      </c>
      <c r="B621" s="1">
        <v>7.5</v>
      </c>
      <c r="K621" s="4"/>
      <c r="P621" s="5"/>
      <c r="Q621" s="24"/>
    </row>
    <row r="622" ht="14.25" customHeight="1">
      <c r="A622" s="1">
        <v>96.0</v>
      </c>
      <c r="B622" s="1">
        <v>7.5</v>
      </c>
      <c r="K622" s="4"/>
      <c r="P622" s="5"/>
      <c r="Q622" s="24"/>
    </row>
    <row r="623" ht="14.25" customHeight="1">
      <c r="A623" s="1">
        <v>96.0</v>
      </c>
      <c r="B623" s="1">
        <v>7.5</v>
      </c>
      <c r="K623" s="4"/>
      <c r="P623" s="5"/>
      <c r="Q623" s="24"/>
    </row>
    <row r="624" ht="14.25" customHeight="1">
      <c r="A624" s="1">
        <v>96.0</v>
      </c>
      <c r="B624" s="1">
        <v>7.5</v>
      </c>
      <c r="K624" s="4"/>
      <c r="P624" s="5"/>
      <c r="Q624" s="24"/>
    </row>
    <row r="625" ht="14.25" customHeight="1">
      <c r="A625" s="1">
        <v>94.0</v>
      </c>
      <c r="B625" s="1">
        <v>7.5</v>
      </c>
      <c r="K625" s="4"/>
      <c r="P625" s="5"/>
      <c r="Q625" s="24"/>
    </row>
    <row r="626" ht="14.25" customHeight="1">
      <c r="A626" s="1">
        <v>93.0</v>
      </c>
      <c r="B626" s="1">
        <v>7.5</v>
      </c>
      <c r="K626" s="4"/>
      <c r="P626" s="5"/>
      <c r="Q626" s="24"/>
    </row>
    <row r="627" ht="14.25" customHeight="1">
      <c r="A627" s="1">
        <v>93.0</v>
      </c>
      <c r="B627" s="1">
        <v>7.5</v>
      </c>
      <c r="K627" s="4"/>
      <c r="P627" s="5"/>
      <c r="Q627" s="24"/>
    </row>
    <row r="628" ht="14.25" customHeight="1">
      <c r="A628" s="1">
        <v>92.0</v>
      </c>
      <c r="B628" s="1">
        <v>7.5</v>
      </c>
      <c r="K628" s="4"/>
      <c r="P628" s="5"/>
      <c r="Q628" s="24"/>
    </row>
    <row r="629" ht="14.25" customHeight="1">
      <c r="A629" s="1">
        <v>91.0</v>
      </c>
      <c r="B629" s="1">
        <v>7.5</v>
      </c>
      <c r="K629" s="4"/>
      <c r="P629" s="5"/>
      <c r="Q629" s="24"/>
    </row>
    <row r="630" ht="14.25" customHeight="1">
      <c r="A630" s="1">
        <v>90.0</v>
      </c>
      <c r="B630" s="1">
        <v>7.5</v>
      </c>
      <c r="K630" s="4"/>
      <c r="P630" s="5"/>
      <c r="Q630" s="24"/>
    </row>
    <row r="631" ht="14.25" customHeight="1">
      <c r="A631" s="1">
        <v>90.0</v>
      </c>
      <c r="B631" s="1">
        <v>7.5</v>
      </c>
      <c r="K631" s="4"/>
      <c r="P631" s="5"/>
      <c r="Q631" s="24"/>
    </row>
    <row r="632" ht="14.25" customHeight="1">
      <c r="A632" s="1">
        <v>90.0</v>
      </c>
      <c r="B632" s="1">
        <v>7.5</v>
      </c>
      <c r="K632" s="4"/>
      <c r="P632" s="5"/>
      <c r="Q632" s="24"/>
    </row>
    <row r="633" ht="14.25" customHeight="1">
      <c r="A633" s="1">
        <v>88.0</v>
      </c>
      <c r="B633" s="1">
        <v>7.5</v>
      </c>
      <c r="K633" s="4"/>
      <c r="P633" s="5"/>
      <c r="Q633" s="24"/>
    </row>
    <row r="634" ht="14.25" customHeight="1">
      <c r="A634" s="1">
        <v>88.0</v>
      </c>
      <c r="B634" s="1">
        <v>7.5</v>
      </c>
      <c r="K634" s="4"/>
      <c r="P634" s="5"/>
      <c r="Q634" s="24"/>
    </row>
    <row r="635" ht="14.25" customHeight="1">
      <c r="A635" s="1">
        <v>88.0</v>
      </c>
      <c r="B635" s="1">
        <v>7.5</v>
      </c>
      <c r="K635" s="4"/>
      <c r="P635" s="5"/>
      <c r="Q635" s="24"/>
    </row>
    <row r="636" ht="14.25" customHeight="1">
      <c r="A636" s="1">
        <v>88.0</v>
      </c>
      <c r="B636" s="1">
        <v>7.5</v>
      </c>
      <c r="K636" s="4"/>
      <c r="P636" s="5"/>
      <c r="Q636" s="24"/>
    </row>
    <row r="637" ht="14.25" customHeight="1">
      <c r="A637" s="1">
        <v>88.0</v>
      </c>
      <c r="B637" s="1">
        <v>7.5</v>
      </c>
      <c r="K637" s="4"/>
      <c r="P637" s="5"/>
      <c r="Q637" s="24"/>
    </row>
    <row r="638" ht="14.25" customHeight="1">
      <c r="A638" s="1">
        <v>86.0</v>
      </c>
      <c r="B638" s="1">
        <v>7.5</v>
      </c>
      <c r="K638" s="4"/>
      <c r="P638" s="5"/>
      <c r="Q638" s="24"/>
    </row>
    <row r="639" ht="14.25" customHeight="1">
      <c r="A639" s="1">
        <v>86.0</v>
      </c>
      <c r="B639" s="1">
        <v>7.5</v>
      </c>
      <c r="K639" s="4"/>
      <c r="P639" s="5"/>
      <c r="Q639" s="24"/>
    </row>
    <row r="640" ht="14.25" customHeight="1">
      <c r="A640" s="1">
        <v>85.0</v>
      </c>
      <c r="B640" s="1">
        <v>7.5</v>
      </c>
      <c r="K640" s="4"/>
      <c r="P640" s="5"/>
      <c r="Q640" s="24"/>
    </row>
    <row r="641" ht="14.25" customHeight="1">
      <c r="A641" s="1">
        <v>85.0</v>
      </c>
      <c r="B641" s="1">
        <v>7.5</v>
      </c>
      <c r="K641" s="4"/>
      <c r="P641" s="5"/>
      <c r="Q641" s="24"/>
    </row>
    <row r="642" ht="14.25" customHeight="1">
      <c r="A642" s="1">
        <v>84.0</v>
      </c>
      <c r="B642" s="1">
        <v>7.5</v>
      </c>
      <c r="K642" s="4"/>
      <c r="P642" s="5"/>
      <c r="Q642" s="24"/>
    </row>
    <row r="643" ht="14.25" customHeight="1">
      <c r="A643" s="1">
        <v>184.0</v>
      </c>
      <c r="B643" s="1">
        <v>7.4</v>
      </c>
      <c r="K643" s="4"/>
      <c r="P643" s="5"/>
      <c r="Q643" s="24"/>
    </row>
    <row r="644" ht="14.25" customHeight="1">
      <c r="A644" s="1">
        <v>175.0</v>
      </c>
      <c r="B644" s="1">
        <v>7.4</v>
      </c>
      <c r="K644" s="4"/>
      <c r="P644" s="5"/>
      <c r="Q644" s="24"/>
    </row>
    <row r="645" ht="14.25" customHeight="1">
      <c r="A645" s="1">
        <v>174.0</v>
      </c>
      <c r="B645" s="1">
        <v>7.4</v>
      </c>
      <c r="K645" s="4"/>
      <c r="P645" s="5"/>
      <c r="Q645" s="24"/>
    </row>
    <row r="646" ht="14.25" customHeight="1">
      <c r="A646" s="1">
        <v>164.0</v>
      </c>
      <c r="B646" s="1">
        <v>7.4</v>
      </c>
      <c r="K646" s="4"/>
      <c r="P646" s="5"/>
      <c r="Q646" s="24"/>
    </row>
    <row r="647" ht="14.25" customHeight="1">
      <c r="A647" s="1">
        <v>162.0</v>
      </c>
      <c r="B647" s="1">
        <v>7.4</v>
      </c>
      <c r="K647" s="4"/>
      <c r="P647" s="5"/>
      <c r="Q647" s="24"/>
    </row>
    <row r="648" ht="14.25" customHeight="1">
      <c r="A648" s="1">
        <v>157.0</v>
      </c>
      <c r="B648" s="1">
        <v>7.4</v>
      </c>
      <c r="K648" s="4"/>
      <c r="P648" s="5"/>
      <c r="Q648" s="24"/>
    </row>
    <row r="649" ht="14.25" customHeight="1">
      <c r="A649" s="1">
        <v>154.0</v>
      </c>
      <c r="B649" s="1">
        <v>7.4</v>
      </c>
      <c r="K649" s="4"/>
      <c r="P649" s="5"/>
      <c r="Q649" s="24"/>
    </row>
    <row r="650" ht="14.25" customHeight="1">
      <c r="A650" s="1">
        <v>150.0</v>
      </c>
      <c r="B650" s="1">
        <v>7.4</v>
      </c>
      <c r="K650" s="4"/>
      <c r="P650" s="5"/>
      <c r="Q650" s="24"/>
    </row>
    <row r="651" ht="14.25" customHeight="1">
      <c r="A651" s="1">
        <v>150.0</v>
      </c>
      <c r="B651" s="1">
        <v>7.4</v>
      </c>
      <c r="K651" s="4"/>
      <c r="P651" s="5"/>
      <c r="Q651" s="24"/>
    </row>
    <row r="652" ht="14.25" customHeight="1">
      <c r="A652" s="1">
        <v>150.0</v>
      </c>
      <c r="B652" s="1">
        <v>7.4</v>
      </c>
      <c r="K652" s="4"/>
      <c r="P652" s="5"/>
      <c r="Q652" s="24"/>
    </row>
    <row r="653" ht="14.25" customHeight="1">
      <c r="A653" s="1">
        <v>149.0</v>
      </c>
      <c r="B653" s="1">
        <v>7.4</v>
      </c>
      <c r="K653" s="4"/>
      <c r="P653" s="5"/>
      <c r="Q653" s="24"/>
    </row>
    <row r="654" ht="14.25" customHeight="1">
      <c r="A654" s="1">
        <v>144.0</v>
      </c>
      <c r="B654" s="1">
        <v>7.4</v>
      </c>
      <c r="K654" s="4"/>
      <c r="P654" s="5"/>
      <c r="Q654" s="24"/>
    </row>
    <row r="655" ht="14.25" customHeight="1">
      <c r="A655" s="1">
        <v>143.0</v>
      </c>
      <c r="B655" s="1">
        <v>7.4</v>
      </c>
      <c r="K655" s="4"/>
      <c r="P655" s="5"/>
      <c r="Q655" s="24"/>
    </row>
    <row r="656" ht="14.25" customHeight="1">
      <c r="A656" s="1">
        <v>141.0</v>
      </c>
      <c r="B656" s="1">
        <v>7.4</v>
      </c>
      <c r="K656" s="4"/>
      <c r="P656" s="5"/>
      <c r="Q656" s="24"/>
    </row>
    <row r="657" ht="14.25" customHeight="1">
      <c r="A657" s="1">
        <v>139.0</v>
      </c>
      <c r="B657" s="1">
        <v>7.4</v>
      </c>
      <c r="K657" s="4"/>
      <c r="P657" s="5"/>
      <c r="Q657" s="24"/>
    </row>
    <row r="658" ht="14.25" customHeight="1">
      <c r="A658" s="1">
        <v>138.0</v>
      </c>
      <c r="B658" s="1">
        <v>7.4</v>
      </c>
      <c r="K658" s="4"/>
      <c r="P658" s="5"/>
      <c r="Q658" s="24"/>
    </row>
    <row r="659" ht="14.25" customHeight="1">
      <c r="A659" s="1">
        <v>136.0</v>
      </c>
      <c r="B659" s="1">
        <v>7.4</v>
      </c>
      <c r="K659" s="4"/>
      <c r="P659" s="5"/>
      <c r="Q659" s="24"/>
    </row>
    <row r="660" ht="14.25" customHeight="1">
      <c r="A660" s="1">
        <v>135.0</v>
      </c>
      <c r="B660" s="1">
        <v>7.4</v>
      </c>
      <c r="K660" s="4"/>
      <c r="P660" s="5"/>
      <c r="Q660" s="24"/>
    </row>
    <row r="661" ht="14.25" customHeight="1">
      <c r="A661" s="1">
        <v>134.0</v>
      </c>
      <c r="B661" s="1">
        <v>7.4</v>
      </c>
      <c r="K661" s="4"/>
      <c r="P661" s="5"/>
      <c r="Q661" s="24"/>
    </row>
    <row r="662" ht="14.25" customHeight="1">
      <c r="A662" s="1">
        <v>133.0</v>
      </c>
      <c r="B662" s="1">
        <v>7.4</v>
      </c>
      <c r="K662" s="4"/>
      <c r="P662" s="5"/>
      <c r="Q662" s="24"/>
    </row>
    <row r="663" ht="14.25" customHeight="1">
      <c r="A663" s="1">
        <v>133.0</v>
      </c>
      <c r="B663" s="1">
        <v>7.4</v>
      </c>
      <c r="K663" s="4"/>
      <c r="P663" s="5"/>
      <c r="Q663" s="24"/>
    </row>
    <row r="664" ht="14.25" customHeight="1">
      <c r="A664" s="1">
        <v>133.0</v>
      </c>
      <c r="B664" s="1">
        <v>7.4</v>
      </c>
      <c r="K664" s="4"/>
      <c r="P664" s="5"/>
      <c r="Q664" s="24"/>
    </row>
    <row r="665" ht="14.25" customHeight="1">
      <c r="A665" s="1">
        <v>133.0</v>
      </c>
      <c r="B665" s="1">
        <v>7.4</v>
      </c>
      <c r="K665" s="4"/>
      <c r="P665" s="5"/>
      <c r="Q665" s="24"/>
    </row>
    <row r="666" ht="14.25" customHeight="1">
      <c r="A666" s="1">
        <v>131.0</v>
      </c>
      <c r="B666" s="1">
        <v>7.4</v>
      </c>
      <c r="K666" s="4"/>
      <c r="P666" s="5"/>
      <c r="Q666" s="24"/>
    </row>
    <row r="667" ht="14.25" customHeight="1">
      <c r="A667" s="1">
        <v>130.0</v>
      </c>
      <c r="B667" s="1">
        <v>7.4</v>
      </c>
      <c r="K667" s="4"/>
      <c r="P667" s="5"/>
      <c r="Q667" s="24"/>
    </row>
    <row r="668" ht="14.25" customHeight="1">
      <c r="A668" s="1">
        <v>130.0</v>
      </c>
      <c r="B668" s="1">
        <v>7.4</v>
      </c>
      <c r="K668" s="4"/>
      <c r="P668" s="5"/>
      <c r="Q668" s="24"/>
    </row>
    <row r="669" ht="14.25" customHeight="1">
      <c r="A669" s="1">
        <v>129.0</v>
      </c>
      <c r="B669" s="1">
        <v>7.4</v>
      </c>
      <c r="K669" s="4"/>
      <c r="P669" s="5"/>
      <c r="Q669" s="24"/>
    </row>
    <row r="670" ht="14.25" customHeight="1">
      <c r="A670" s="1">
        <v>126.0</v>
      </c>
      <c r="B670" s="1">
        <v>7.4</v>
      </c>
      <c r="K670" s="4"/>
      <c r="P670" s="5"/>
      <c r="Q670" s="24"/>
    </row>
    <row r="671" ht="14.25" customHeight="1">
      <c r="A671" s="1">
        <v>124.0</v>
      </c>
      <c r="B671" s="1">
        <v>7.4</v>
      </c>
      <c r="K671" s="4"/>
      <c r="P671" s="5"/>
      <c r="Q671" s="24"/>
    </row>
    <row r="672" ht="14.25" customHeight="1">
      <c r="A672" s="1">
        <v>123.0</v>
      </c>
      <c r="B672" s="1">
        <v>7.4</v>
      </c>
      <c r="K672" s="4"/>
      <c r="P672" s="5"/>
      <c r="Q672" s="24"/>
    </row>
    <row r="673" ht="14.25" customHeight="1">
      <c r="A673" s="1">
        <v>123.0</v>
      </c>
      <c r="B673" s="1">
        <v>7.4</v>
      </c>
      <c r="K673" s="4"/>
      <c r="P673" s="5"/>
      <c r="Q673" s="24"/>
    </row>
    <row r="674" ht="14.25" customHeight="1">
      <c r="A674" s="1">
        <v>122.0</v>
      </c>
      <c r="B674" s="1">
        <v>7.4</v>
      </c>
      <c r="K674" s="4"/>
      <c r="P674" s="5"/>
      <c r="Q674" s="24"/>
    </row>
    <row r="675" ht="14.25" customHeight="1">
      <c r="A675" s="1">
        <v>121.0</v>
      </c>
      <c r="B675" s="1">
        <v>7.4</v>
      </c>
      <c r="K675" s="4"/>
      <c r="P675" s="5"/>
      <c r="Q675" s="24"/>
    </row>
    <row r="676" ht="14.25" customHeight="1">
      <c r="A676" s="1">
        <v>121.0</v>
      </c>
      <c r="B676" s="1">
        <v>7.4</v>
      </c>
      <c r="K676" s="4"/>
      <c r="P676" s="5"/>
      <c r="Q676" s="24"/>
    </row>
    <row r="677" ht="14.25" customHeight="1">
      <c r="A677" s="1">
        <v>120.0</v>
      </c>
      <c r="B677" s="1">
        <v>7.4</v>
      </c>
      <c r="K677" s="4"/>
      <c r="P677" s="5"/>
      <c r="Q677" s="24"/>
    </row>
    <row r="678" ht="14.25" customHeight="1">
      <c r="A678" s="1">
        <v>120.0</v>
      </c>
      <c r="B678" s="1">
        <v>7.4</v>
      </c>
      <c r="K678" s="4"/>
      <c r="P678" s="5"/>
      <c r="Q678" s="24"/>
    </row>
    <row r="679" ht="14.25" customHeight="1">
      <c r="A679" s="1">
        <v>120.0</v>
      </c>
      <c r="B679" s="1">
        <v>7.4</v>
      </c>
      <c r="K679" s="4"/>
      <c r="P679" s="5"/>
      <c r="Q679" s="24"/>
    </row>
    <row r="680" ht="14.25" customHeight="1">
      <c r="A680" s="1">
        <v>119.0</v>
      </c>
      <c r="B680" s="1">
        <v>7.4</v>
      </c>
      <c r="K680" s="4"/>
      <c r="P680" s="5"/>
      <c r="Q680" s="24"/>
    </row>
    <row r="681" ht="14.25" customHeight="1">
      <c r="A681" s="1">
        <v>118.0</v>
      </c>
      <c r="B681" s="1">
        <v>7.4</v>
      </c>
      <c r="K681" s="4"/>
      <c r="P681" s="5"/>
      <c r="Q681" s="24"/>
    </row>
    <row r="682" ht="14.25" customHeight="1">
      <c r="A682" s="1">
        <v>118.0</v>
      </c>
      <c r="B682" s="1">
        <v>7.4</v>
      </c>
      <c r="K682" s="4"/>
      <c r="P682" s="5"/>
      <c r="Q682" s="24"/>
    </row>
    <row r="683" ht="14.25" customHeight="1">
      <c r="A683" s="1">
        <v>118.0</v>
      </c>
      <c r="B683" s="1">
        <v>7.4</v>
      </c>
      <c r="K683" s="4"/>
      <c r="P683" s="5"/>
      <c r="Q683" s="24"/>
    </row>
    <row r="684" ht="14.25" customHeight="1">
      <c r="A684" s="1">
        <v>118.0</v>
      </c>
      <c r="B684" s="1">
        <v>7.4</v>
      </c>
      <c r="K684" s="4"/>
      <c r="P684" s="5"/>
      <c r="Q684" s="24"/>
    </row>
    <row r="685" ht="14.25" customHeight="1">
      <c r="A685" s="1">
        <v>117.0</v>
      </c>
      <c r="B685" s="1">
        <v>7.4</v>
      </c>
      <c r="K685" s="4"/>
      <c r="P685" s="5"/>
      <c r="Q685" s="24"/>
    </row>
    <row r="686" ht="14.25" customHeight="1">
      <c r="A686" s="1">
        <v>117.0</v>
      </c>
      <c r="B686" s="1">
        <v>7.4</v>
      </c>
      <c r="K686" s="4"/>
      <c r="P686" s="5"/>
      <c r="Q686" s="24"/>
    </row>
    <row r="687" ht="14.25" customHeight="1">
      <c r="A687" s="1">
        <v>116.0</v>
      </c>
      <c r="B687" s="1">
        <v>7.4</v>
      </c>
      <c r="K687" s="4"/>
      <c r="P687" s="5"/>
      <c r="Q687" s="24"/>
    </row>
    <row r="688" ht="14.25" customHeight="1">
      <c r="A688" s="1">
        <v>116.0</v>
      </c>
      <c r="B688" s="1">
        <v>7.4</v>
      </c>
      <c r="K688" s="4"/>
      <c r="P688" s="5"/>
      <c r="Q688" s="24"/>
    </row>
    <row r="689" ht="14.25" customHeight="1">
      <c r="A689" s="1">
        <v>115.0</v>
      </c>
      <c r="B689" s="1">
        <v>7.4</v>
      </c>
      <c r="K689" s="4"/>
      <c r="P689" s="5"/>
      <c r="Q689" s="24"/>
    </row>
    <row r="690" ht="14.25" customHeight="1">
      <c r="A690" s="1">
        <v>114.0</v>
      </c>
      <c r="B690" s="1">
        <v>7.4</v>
      </c>
      <c r="K690" s="4"/>
      <c r="P690" s="5"/>
      <c r="Q690" s="24"/>
    </row>
    <row r="691" ht="14.25" customHeight="1">
      <c r="A691" s="1">
        <v>113.0</v>
      </c>
      <c r="B691" s="1">
        <v>7.4</v>
      </c>
      <c r="K691" s="4"/>
      <c r="P691" s="5"/>
      <c r="Q691" s="24"/>
    </row>
    <row r="692" ht="14.25" customHeight="1">
      <c r="A692" s="1">
        <v>112.0</v>
      </c>
      <c r="B692" s="1">
        <v>7.4</v>
      </c>
      <c r="K692" s="4"/>
      <c r="P692" s="5"/>
      <c r="Q692" s="24"/>
    </row>
    <row r="693" ht="14.25" customHeight="1">
      <c r="A693" s="1">
        <v>112.0</v>
      </c>
      <c r="B693" s="1">
        <v>7.4</v>
      </c>
      <c r="K693" s="4"/>
      <c r="P693" s="5"/>
      <c r="Q693" s="24"/>
    </row>
    <row r="694" ht="14.25" customHeight="1">
      <c r="A694" s="1">
        <v>112.0</v>
      </c>
      <c r="B694" s="1">
        <v>7.4</v>
      </c>
      <c r="K694" s="4"/>
      <c r="P694" s="5"/>
      <c r="Q694" s="24"/>
    </row>
    <row r="695" ht="14.25" customHeight="1">
      <c r="A695" s="1">
        <v>111.0</v>
      </c>
      <c r="B695" s="1">
        <v>7.4</v>
      </c>
      <c r="K695" s="4"/>
      <c r="P695" s="5"/>
      <c r="Q695" s="24"/>
    </row>
    <row r="696" ht="14.25" customHeight="1">
      <c r="A696" s="1">
        <v>111.0</v>
      </c>
      <c r="B696" s="1">
        <v>7.4</v>
      </c>
      <c r="K696" s="4"/>
      <c r="P696" s="5"/>
      <c r="Q696" s="24"/>
    </row>
    <row r="697" ht="14.25" customHeight="1">
      <c r="A697" s="1">
        <v>111.0</v>
      </c>
      <c r="B697" s="1">
        <v>7.4</v>
      </c>
      <c r="K697" s="4"/>
      <c r="P697" s="5"/>
      <c r="Q697" s="24"/>
    </row>
    <row r="698" ht="14.25" customHeight="1">
      <c r="A698" s="1">
        <v>110.0</v>
      </c>
      <c r="B698" s="1">
        <v>7.4</v>
      </c>
      <c r="K698" s="4"/>
      <c r="P698" s="5"/>
      <c r="Q698" s="24"/>
    </row>
    <row r="699" ht="14.25" customHeight="1">
      <c r="A699" s="1">
        <v>110.0</v>
      </c>
      <c r="B699" s="1">
        <v>7.4</v>
      </c>
      <c r="K699" s="4"/>
      <c r="P699" s="5"/>
      <c r="Q699" s="24"/>
    </row>
    <row r="700" ht="14.25" customHeight="1">
      <c r="A700" s="1">
        <v>110.0</v>
      </c>
      <c r="B700" s="1">
        <v>7.4</v>
      </c>
      <c r="K700" s="4"/>
      <c r="P700" s="5"/>
      <c r="Q700" s="24"/>
    </row>
    <row r="701" ht="14.25" customHeight="1">
      <c r="A701" s="1">
        <v>109.0</v>
      </c>
      <c r="B701" s="1">
        <v>7.4</v>
      </c>
      <c r="K701" s="4"/>
      <c r="P701" s="5"/>
      <c r="Q701" s="24"/>
    </row>
    <row r="702" ht="14.25" customHeight="1">
      <c r="A702" s="1">
        <v>109.0</v>
      </c>
      <c r="B702" s="1">
        <v>7.4</v>
      </c>
      <c r="K702" s="4"/>
      <c r="P702" s="5"/>
      <c r="Q702" s="24"/>
    </row>
    <row r="703" ht="14.25" customHeight="1">
      <c r="A703" s="1">
        <v>108.0</v>
      </c>
      <c r="B703" s="1">
        <v>7.4</v>
      </c>
      <c r="K703" s="4"/>
      <c r="P703" s="5"/>
      <c r="Q703" s="24"/>
    </row>
    <row r="704" ht="14.25" customHeight="1">
      <c r="A704" s="1">
        <v>108.0</v>
      </c>
      <c r="B704" s="1">
        <v>7.4</v>
      </c>
      <c r="K704" s="4"/>
      <c r="P704" s="5"/>
      <c r="Q704" s="24"/>
    </row>
    <row r="705" ht="14.25" customHeight="1">
      <c r="A705" s="1">
        <v>107.0</v>
      </c>
      <c r="B705" s="1">
        <v>7.4</v>
      </c>
      <c r="K705" s="4"/>
      <c r="P705" s="5"/>
      <c r="Q705" s="24"/>
    </row>
    <row r="706" ht="14.25" customHeight="1">
      <c r="A706" s="1">
        <v>107.0</v>
      </c>
      <c r="B706" s="1">
        <v>7.4</v>
      </c>
      <c r="K706" s="4"/>
      <c r="P706" s="5"/>
      <c r="Q706" s="24"/>
    </row>
    <row r="707" ht="14.25" customHeight="1">
      <c r="A707" s="1">
        <v>107.0</v>
      </c>
      <c r="B707" s="1">
        <v>7.4</v>
      </c>
      <c r="K707" s="4"/>
      <c r="P707" s="5"/>
      <c r="Q707" s="24"/>
    </row>
    <row r="708" ht="14.25" customHeight="1">
      <c r="A708" s="1">
        <v>107.0</v>
      </c>
      <c r="B708" s="1">
        <v>7.4</v>
      </c>
      <c r="K708" s="4"/>
      <c r="P708" s="5"/>
      <c r="Q708" s="24"/>
    </row>
    <row r="709" ht="14.25" customHeight="1">
      <c r="A709" s="1">
        <v>106.0</v>
      </c>
      <c r="B709" s="1">
        <v>7.4</v>
      </c>
      <c r="K709" s="4"/>
      <c r="P709" s="5"/>
      <c r="Q709" s="24"/>
    </row>
    <row r="710" ht="14.25" customHeight="1">
      <c r="A710" s="1">
        <v>106.0</v>
      </c>
      <c r="B710" s="1">
        <v>7.4</v>
      </c>
      <c r="K710" s="4"/>
      <c r="P710" s="5"/>
      <c r="Q710" s="24"/>
    </row>
    <row r="711" ht="14.25" customHeight="1">
      <c r="A711" s="1">
        <v>105.0</v>
      </c>
      <c r="B711" s="1">
        <v>7.4</v>
      </c>
      <c r="K711" s="4"/>
      <c r="P711" s="5"/>
      <c r="Q711" s="24"/>
    </row>
    <row r="712" ht="14.25" customHeight="1">
      <c r="A712" s="1">
        <v>104.0</v>
      </c>
      <c r="B712" s="1">
        <v>7.4</v>
      </c>
      <c r="K712" s="4"/>
      <c r="P712" s="5"/>
      <c r="Q712" s="24"/>
    </row>
    <row r="713" ht="14.25" customHeight="1">
      <c r="A713" s="1">
        <v>104.0</v>
      </c>
      <c r="B713" s="1">
        <v>7.4</v>
      </c>
      <c r="K713" s="4"/>
      <c r="P713" s="5"/>
      <c r="Q713" s="24"/>
    </row>
    <row r="714" ht="14.25" customHeight="1">
      <c r="A714" s="1">
        <v>104.0</v>
      </c>
      <c r="B714" s="1">
        <v>7.4</v>
      </c>
      <c r="K714" s="4"/>
      <c r="P714" s="5"/>
      <c r="Q714" s="24"/>
    </row>
    <row r="715" ht="14.25" customHeight="1">
      <c r="A715" s="1">
        <v>104.0</v>
      </c>
      <c r="B715" s="1">
        <v>7.4</v>
      </c>
      <c r="K715" s="4"/>
      <c r="P715" s="5"/>
      <c r="Q715" s="24"/>
    </row>
    <row r="716" ht="14.25" customHeight="1">
      <c r="A716" s="1">
        <v>104.0</v>
      </c>
      <c r="B716" s="1">
        <v>7.4</v>
      </c>
      <c r="K716" s="4"/>
      <c r="P716" s="5"/>
      <c r="Q716" s="24"/>
    </row>
    <row r="717" ht="14.25" customHeight="1">
      <c r="A717" s="1">
        <v>104.0</v>
      </c>
      <c r="B717" s="1">
        <v>7.4</v>
      </c>
      <c r="K717" s="4"/>
      <c r="P717" s="5"/>
      <c r="Q717" s="24"/>
    </row>
    <row r="718" ht="14.25" customHeight="1">
      <c r="A718" s="1">
        <v>103.0</v>
      </c>
      <c r="B718" s="1">
        <v>7.4</v>
      </c>
      <c r="K718" s="4"/>
      <c r="P718" s="5"/>
      <c r="Q718" s="24"/>
    </row>
    <row r="719" ht="14.25" customHeight="1">
      <c r="A719" s="1">
        <v>103.0</v>
      </c>
      <c r="B719" s="1">
        <v>7.4</v>
      </c>
      <c r="K719" s="4"/>
      <c r="P719" s="5"/>
      <c r="Q719" s="24"/>
    </row>
    <row r="720" ht="14.25" customHeight="1">
      <c r="A720" s="1">
        <v>101.0</v>
      </c>
      <c r="B720" s="1">
        <v>7.4</v>
      </c>
      <c r="K720" s="4"/>
      <c r="P720" s="5"/>
      <c r="Q720" s="24"/>
    </row>
    <row r="721" ht="14.25" customHeight="1">
      <c r="A721" s="1">
        <v>99.0</v>
      </c>
      <c r="B721" s="1">
        <v>7.4</v>
      </c>
      <c r="K721" s="4"/>
      <c r="P721" s="5"/>
      <c r="Q721" s="24"/>
    </row>
    <row r="722" ht="14.25" customHeight="1">
      <c r="A722" s="1">
        <v>98.0</v>
      </c>
      <c r="B722" s="1">
        <v>7.4</v>
      </c>
      <c r="K722" s="4"/>
      <c r="P722" s="5"/>
      <c r="Q722" s="24"/>
    </row>
    <row r="723" ht="14.25" customHeight="1">
      <c r="A723" s="1">
        <v>98.0</v>
      </c>
      <c r="B723" s="1">
        <v>7.4</v>
      </c>
      <c r="K723" s="4"/>
      <c r="P723" s="5"/>
      <c r="Q723" s="24"/>
    </row>
    <row r="724" ht="14.25" customHeight="1">
      <c r="A724" s="1">
        <v>98.0</v>
      </c>
      <c r="B724" s="1">
        <v>7.4</v>
      </c>
      <c r="K724" s="4"/>
      <c r="P724" s="5"/>
      <c r="Q724" s="24"/>
    </row>
    <row r="725" ht="14.25" customHeight="1">
      <c r="A725" s="1">
        <v>97.0</v>
      </c>
      <c r="B725" s="1">
        <v>7.4</v>
      </c>
      <c r="K725" s="4"/>
      <c r="P725" s="5"/>
      <c r="Q725" s="24"/>
    </row>
    <row r="726" ht="14.25" customHeight="1">
      <c r="A726" s="1">
        <v>97.0</v>
      </c>
      <c r="B726" s="1">
        <v>7.4</v>
      </c>
      <c r="K726" s="4"/>
      <c r="P726" s="5"/>
      <c r="Q726" s="24"/>
    </row>
    <row r="727" ht="14.25" customHeight="1">
      <c r="A727" s="1">
        <v>97.0</v>
      </c>
      <c r="B727" s="1">
        <v>7.4</v>
      </c>
      <c r="K727" s="4"/>
      <c r="P727" s="5"/>
      <c r="Q727" s="24"/>
    </row>
    <row r="728" ht="14.25" customHeight="1">
      <c r="A728" s="1">
        <v>96.0</v>
      </c>
      <c r="B728" s="1">
        <v>7.4</v>
      </c>
      <c r="K728" s="4"/>
      <c r="P728" s="5"/>
      <c r="Q728" s="24"/>
    </row>
    <row r="729" ht="14.25" customHeight="1">
      <c r="A729" s="1">
        <v>96.0</v>
      </c>
      <c r="B729" s="1">
        <v>7.4</v>
      </c>
      <c r="K729" s="4"/>
      <c r="P729" s="5"/>
      <c r="Q729" s="24"/>
    </row>
    <row r="730" ht="14.25" customHeight="1">
      <c r="A730" s="1">
        <v>93.0</v>
      </c>
      <c r="B730" s="1">
        <v>7.4</v>
      </c>
      <c r="K730" s="4"/>
      <c r="P730" s="5"/>
      <c r="Q730" s="24"/>
    </row>
    <row r="731" ht="14.25" customHeight="1">
      <c r="A731" s="1">
        <v>92.0</v>
      </c>
      <c r="B731" s="1">
        <v>7.4</v>
      </c>
      <c r="K731" s="4"/>
      <c r="P731" s="5"/>
      <c r="Q731" s="24"/>
    </row>
    <row r="732" ht="14.25" customHeight="1">
      <c r="A732" s="1">
        <v>91.0</v>
      </c>
      <c r="B732" s="1">
        <v>7.4</v>
      </c>
      <c r="K732" s="4"/>
      <c r="P732" s="5"/>
      <c r="Q732" s="24"/>
    </row>
    <row r="733" ht="14.25" customHeight="1">
      <c r="A733" s="1">
        <v>91.0</v>
      </c>
      <c r="B733" s="1">
        <v>7.4</v>
      </c>
      <c r="K733" s="4"/>
      <c r="P733" s="5"/>
      <c r="Q733" s="24"/>
    </row>
    <row r="734" ht="14.25" customHeight="1">
      <c r="A734" s="1">
        <v>91.0</v>
      </c>
      <c r="B734" s="1">
        <v>7.4</v>
      </c>
      <c r="K734" s="4"/>
      <c r="P734" s="5"/>
      <c r="Q734" s="24"/>
    </row>
    <row r="735" ht="14.25" customHeight="1">
      <c r="A735" s="1">
        <v>91.0</v>
      </c>
      <c r="B735" s="1">
        <v>7.4</v>
      </c>
      <c r="K735" s="4"/>
      <c r="P735" s="5"/>
      <c r="Q735" s="24"/>
    </row>
    <row r="736" ht="14.25" customHeight="1">
      <c r="A736" s="1">
        <v>88.0</v>
      </c>
      <c r="B736" s="1">
        <v>7.4</v>
      </c>
      <c r="K736" s="4"/>
      <c r="P736" s="5"/>
      <c r="Q736" s="24"/>
    </row>
    <row r="737" ht="14.25" customHeight="1">
      <c r="A737" s="1">
        <v>88.0</v>
      </c>
      <c r="B737" s="1">
        <v>7.4</v>
      </c>
      <c r="K737" s="4"/>
      <c r="P737" s="5"/>
      <c r="Q737" s="24"/>
    </row>
    <row r="738" ht="14.25" customHeight="1">
      <c r="A738" s="1">
        <v>87.0</v>
      </c>
      <c r="B738" s="1">
        <v>7.4</v>
      </c>
      <c r="K738" s="4"/>
      <c r="P738" s="5"/>
      <c r="Q738" s="24"/>
    </row>
    <row r="739" ht="14.25" customHeight="1">
      <c r="A739" s="1">
        <v>87.0</v>
      </c>
      <c r="B739" s="1">
        <v>7.4</v>
      </c>
      <c r="K739" s="4"/>
      <c r="P739" s="5"/>
      <c r="Q739" s="24"/>
    </row>
    <row r="740" ht="14.25" customHeight="1">
      <c r="A740" s="1">
        <v>83.0</v>
      </c>
      <c r="B740" s="1">
        <v>7.4</v>
      </c>
      <c r="K740" s="4"/>
      <c r="P740" s="5"/>
      <c r="Q740" s="24"/>
    </row>
    <row r="741" ht="14.25" customHeight="1">
      <c r="A741" s="1">
        <v>77.0</v>
      </c>
      <c r="B741" s="1">
        <v>7.4</v>
      </c>
      <c r="K741" s="4"/>
      <c r="P741" s="5"/>
      <c r="Q741" s="24"/>
    </row>
    <row r="742" ht="14.25" customHeight="1">
      <c r="A742" s="1">
        <v>188.0</v>
      </c>
      <c r="B742" s="1">
        <v>7.3</v>
      </c>
      <c r="K742" s="4"/>
      <c r="P742" s="5"/>
      <c r="Q742" s="24"/>
    </row>
    <row r="743" ht="14.25" customHeight="1">
      <c r="A743" s="1">
        <v>161.0</v>
      </c>
      <c r="B743" s="1">
        <v>7.3</v>
      </c>
      <c r="K743" s="4"/>
      <c r="P743" s="5"/>
      <c r="Q743" s="24"/>
    </row>
    <row r="744" ht="14.25" customHeight="1">
      <c r="A744" s="1">
        <v>159.0</v>
      </c>
      <c r="B744" s="1">
        <v>7.3</v>
      </c>
      <c r="K744" s="4"/>
      <c r="P744" s="5"/>
      <c r="Q744" s="24"/>
    </row>
    <row r="745" ht="14.25" customHeight="1">
      <c r="A745" s="1">
        <v>151.0</v>
      </c>
      <c r="B745" s="1">
        <v>7.3</v>
      </c>
      <c r="K745" s="4"/>
      <c r="P745" s="5"/>
      <c r="Q745" s="24"/>
    </row>
    <row r="746" ht="14.25" customHeight="1">
      <c r="A746" s="1">
        <v>145.0</v>
      </c>
      <c r="B746" s="1">
        <v>7.3</v>
      </c>
      <c r="K746" s="4"/>
      <c r="P746" s="5"/>
      <c r="Q746" s="24"/>
    </row>
    <row r="747" ht="14.25" customHeight="1">
      <c r="A747" s="1">
        <v>145.0</v>
      </c>
      <c r="B747" s="1">
        <v>7.3</v>
      </c>
      <c r="K747" s="4"/>
      <c r="P747" s="5"/>
      <c r="Q747" s="24"/>
    </row>
    <row r="748" ht="14.25" customHeight="1">
      <c r="A748" s="1">
        <v>145.0</v>
      </c>
      <c r="B748" s="1">
        <v>7.3</v>
      </c>
      <c r="K748" s="4"/>
      <c r="P748" s="5"/>
      <c r="Q748" s="24"/>
    </row>
    <row r="749" ht="14.25" customHeight="1">
      <c r="A749" s="1">
        <v>144.0</v>
      </c>
      <c r="B749" s="1">
        <v>7.3</v>
      </c>
      <c r="K749" s="4"/>
      <c r="P749" s="5"/>
      <c r="Q749" s="24"/>
    </row>
    <row r="750" ht="14.25" customHeight="1">
      <c r="A750" s="1">
        <v>143.0</v>
      </c>
      <c r="B750" s="1">
        <v>7.3</v>
      </c>
      <c r="K750" s="4"/>
      <c r="P750" s="5"/>
      <c r="Q750" s="24"/>
    </row>
    <row r="751" ht="14.25" customHeight="1">
      <c r="A751" s="1">
        <v>143.0</v>
      </c>
      <c r="B751" s="1">
        <v>7.3</v>
      </c>
      <c r="K751" s="4"/>
      <c r="P751" s="5"/>
      <c r="Q751" s="24"/>
    </row>
    <row r="752" ht="14.25" customHeight="1">
      <c r="A752" s="1">
        <v>143.0</v>
      </c>
      <c r="B752" s="1">
        <v>7.3</v>
      </c>
      <c r="K752" s="4"/>
      <c r="P752" s="5"/>
      <c r="Q752" s="24"/>
    </row>
    <row r="753" ht="14.25" customHeight="1">
      <c r="A753" s="1">
        <v>142.0</v>
      </c>
      <c r="B753" s="1">
        <v>7.3</v>
      </c>
      <c r="K753" s="4"/>
      <c r="P753" s="5"/>
      <c r="Q753" s="24"/>
    </row>
    <row r="754" ht="14.25" customHeight="1">
      <c r="A754" s="1">
        <v>140.0</v>
      </c>
      <c r="B754" s="1">
        <v>7.3</v>
      </c>
      <c r="K754" s="4"/>
      <c r="P754" s="5"/>
      <c r="Q754" s="24"/>
    </row>
    <row r="755" ht="14.25" customHeight="1">
      <c r="A755" s="1">
        <v>140.0</v>
      </c>
      <c r="B755" s="1">
        <v>7.3</v>
      </c>
      <c r="K755" s="4"/>
      <c r="P755" s="5"/>
      <c r="Q755" s="24"/>
    </row>
    <row r="756" ht="14.25" customHeight="1">
      <c r="A756" s="1">
        <v>140.0</v>
      </c>
      <c r="B756" s="1">
        <v>7.3</v>
      </c>
      <c r="K756" s="4"/>
      <c r="P756" s="5"/>
      <c r="Q756" s="24"/>
    </row>
    <row r="757" ht="14.25" customHeight="1">
      <c r="A757" s="1">
        <v>140.0</v>
      </c>
      <c r="B757" s="1">
        <v>7.3</v>
      </c>
      <c r="K757" s="4"/>
      <c r="P757" s="5"/>
      <c r="Q757" s="24"/>
    </row>
    <row r="758" ht="14.25" customHeight="1">
      <c r="A758" s="1">
        <v>139.0</v>
      </c>
      <c r="B758" s="1">
        <v>7.3</v>
      </c>
      <c r="K758" s="4"/>
      <c r="P758" s="5"/>
      <c r="Q758" s="24"/>
    </row>
    <row r="759" ht="14.25" customHeight="1">
      <c r="A759" s="1">
        <v>139.0</v>
      </c>
      <c r="B759" s="1">
        <v>7.3</v>
      </c>
      <c r="K759" s="4"/>
      <c r="P759" s="5"/>
      <c r="Q759" s="24"/>
    </row>
    <row r="760" ht="14.25" customHeight="1">
      <c r="A760" s="1">
        <v>138.0</v>
      </c>
      <c r="B760" s="1">
        <v>7.3</v>
      </c>
      <c r="K760" s="4"/>
      <c r="P760" s="5"/>
      <c r="Q760" s="24"/>
    </row>
    <row r="761" ht="14.25" customHeight="1">
      <c r="A761" s="1">
        <v>138.0</v>
      </c>
      <c r="B761" s="1">
        <v>7.3</v>
      </c>
      <c r="K761" s="4"/>
      <c r="P761" s="5"/>
      <c r="Q761" s="24"/>
    </row>
    <row r="762" ht="14.25" customHeight="1">
      <c r="A762" s="1">
        <v>138.0</v>
      </c>
      <c r="B762" s="1">
        <v>7.3</v>
      </c>
      <c r="K762" s="4"/>
      <c r="P762" s="5"/>
      <c r="Q762" s="24"/>
    </row>
    <row r="763" ht="14.25" customHeight="1">
      <c r="A763" s="1">
        <v>136.0</v>
      </c>
      <c r="B763" s="1">
        <v>7.3</v>
      </c>
      <c r="K763" s="4"/>
      <c r="P763" s="5"/>
      <c r="Q763" s="24"/>
    </row>
    <row r="764" ht="14.25" customHeight="1">
      <c r="A764" s="1">
        <v>135.0</v>
      </c>
      <c r="B764" s="1">
        <v>7.3</v>
      </c>
      <c r="K764" s="4"/>
      <c r="P764" s="5"/>
      <c r="Q764" s="24"/>
    </row>
    <row r="765" ht="14.25" customHeight="1">
      <c r="A765" s="1">
        <v>135.0</v>
      </c>
      <c r="B765" s="1">
        <v>7.3</v>
      </c>
      <c r="K765" s="4"/>
      <c r="P765" s="5"/>
      <c r="Q765" s="24"/>
    </row>
    <row r="766" ht="14.25" customHeight="1">
      <c r="A766" s="1">
        <v>133.0</v>
      </c>
      <c r="B766" s="1">
        <v>7.3</v>
      </c>
      <c r="K766" s="4"/>
      <c r="P766" s="5"/>
      <c r="Q766" s="24"/>
    </row>
    <row r="767" ht="14.25" customHeight="1">
      <c r="A767" s="1">
        <v>132.0</v>
      </c>
      <c r="B767" s="1">
        <v>7.3</v>
      </c>
      <c r="K767" s="4"/>
      <c r="P767" s="5"/>
      <c r="Q767" s="24"/>
    </row>
    <row r="768" ht="14.25" customHeight="1">
      <c r="A768" s="1">
        <v>132.0</v>
      </c>
      <c r="B768" s="1">
        <v>7.3</v>
      </c>
      <c r="K768" s="4"/>
      <c r="P768" s="5"/>
      <c r="Q768" s="24"/>
    </row>
    <row r="769" ht="14.25" customHeight="1">
      <c r="A769" s="1">
        <v>131.0</v>
      </c>
      <c r="B769" s="1">
        <v>7.3</v>
      </c>
      <c r="K769" s="4"/>
      <c r="P769" s="5"/>
      <c r="Q769" s="24"/>
    </row>
    <row r="770" ht="14.25" customHeight="1">
      <c r="A770" s="1">
        <v>131.0</v>
      </c>
      <c r="B770" s="1">
        <v>7.3</v>
      </c>
      <c r="K770" s="4"/>
      <c r="P770" s="5"/>
      <c r="Q770" s="24"/>
    </row>
    <row r="771" ht="14.25" customHeight="1">
      <c r="A771" s="1">
        <v>130.0</v>
      </c>
      <c r="B771" s="1">
        <v>7.3</v>
      </c>
      <c r="K771" s="4"/>
      <c r="P771" s="5"/>
      <c r="Q771" s="24"/>
    </row>
    <row r="772" ht="14.25" customHeight="1">
      <c r="A772" s="1">
        <v>130.0</v>
      </c>
      <c r="B772" s="1">
        <v>7.3</v>
      </c>
      <c r="K772" s="4"/>
      <c r="P772" s="5"/>
      <c r="Q772" s="24"/>
    </row>
    <row r="773" ht="14.25" customHeight="1">
      <c r="A773" s="1">
        <v>129.0</v>
      </c>
      <c r="B773" s="1">
        <v>7.3</v>
      </c>
      <c r="K773" s="4"/>
      <c r="P773" s="5"/>
      <c r="Q773" s="24"/>
    </row>
    <row r="774" ht="14.25" customHeight="1">
      <c r="A774" s="1">
        <v>128.0</v>
      </c>
      <c r="B774" s="1">
        <v>7.3</v>
      </c>
      <c r="K774" s="4"/>
      <c r="P774" s="5"/>
      <c r="Q774" s="24"/>
    </row>
    <row r="775" ht="14.25" customHeight="1">
      <c r="A775" s="1">
        <v>128.0</v>
      </c>
      <c r="B775" s="1">
        <v>7.3</v>
      </c>
      <c r="K775" s="4"/>
      <c r="P775" s="5"/>
      <c r="Q775" s="24"/>
    </row>
    <row r="776" ht="14.25" customHeight="1">
      <c r="A776" s="1">
        <v>127.0</v>
      </c>
      <c r="B776" s="1">
        <v>7.3</v>
      </c>
      <c r="K776" s="4"/>
      <c r="P776" s="5"/>
      <c r="Q776" s="24"/>
    </row>
    <row r="777" ht="14.25" customHeight="1">
      <c r="A777" s="1">
        <v>127.0</v>
      </c>
      <c r="B777" s="1">
        <v>7.3</v>
      </c>
      <c r="K777" s="4"/>
      <c r="P777" s="5"/>
      <c r="Q777" s="24"/>
    </row>
    <row r="778" ht="14.25" customHeight="1">
      <c r="A778" s="1">
        <v>126.0</v>
      </c>
      <c r="B778" s="1">
        <v>7.3</v>
      </c>
      <c r="K778" s="4"/>
      <c r="P778" s="5"/>
      <c r="Q778" s="24"/>
    </row>
    <row r="779" ht="14.25" customHeight="1">
      <c r="A779" s="1">
        <v>126.0</v>
      </c>
      <c r="B779" s="1">
        <v>7.3</v>
      </c>
      <c r="K779" s="4"/>
      <c r="P779" s="5"/>
      <c r="Q779" s="24"/>
    </row>
    <row r="780" ht="14.25" customHeight="1">
      <c r="A780" s="1">
        <v>125.0</v>
      </c>
      <c r="B780" s="1">
        <v>7.3</v>
      </c>
      <c r="K780" s="4"/>
      <c r="P780" s="5"/>
      <c r="Q780" s="24"/>
    </row>
    <row r="781" ht="14.25" customHeight="1">
      <c r="A781" s="1">
        <v>125.0</v>
      </c>
      <c r="B781" s="1">
        <v>7.3</v>
      </c>
      <c r="K781" s="4"/>
      <c r="P781" s="5"/>
      <c r="Q781" s="24"/>
    </row>
    <row r="782" ht="14.25" customHeight="1">
      <c r="A782" s="1">
        <v>124.0</v>
      </c>
      <c r="B782" s="1">
        <v>7.3</v>
      </c>
      <c r="K782" s="4"/>
      <c r="P782" s="5"/>
      <c r="Q782" s="24"/>
    </row>
    <row r="783" ht="14.25" customHeight="1">
      <c r="A783" s="1">
        <v>123.0</v>
      </c>
      <c r="B783" s="1">
        <v>7.3</v>
      </c>
      <c r="K783" s="4"/>
      <c r="P783" s="5"/>
      <c r="Q783" s="24"/>
    </row>
    <row r="784" ht="14.25" customHeight="1">
      <c r="A784" s="1">
        <v>123.0</v>
      </c>
      <c r="B784" s="1">
        <v>7.3</v>
      </c>
      <c r="K784" s="4"/>
      <c r="P784" s="5"/>
      <c r="Q784" s="24"/>
    </row>
    <row r="785" ht="14.25" customHeight="1">
      <c r="A785" s="1">
        <v>122.0</v>
      </c>
      <c r="B785" s="1">
        <v>7.3</v>
      </c>
      <c r="K785" s="4"/>
      <c r="P785" s="5"/>
      <c r="Q785" s="24"/>
    </row>
    <row r="786" ht="14.25" customHeight="1">
      <c r="A786" s="1">
        <v>122.0</v>
      </c>
      <c r="B786" s="1">
        <v>7.3</v>
      </c>
      <c r="K786" s="4"/>
      <c r="P786" s="5"/>
      <c r="Q786" s="24"/>
    </row>
    <row r="787" ht="14.25" customHeight="1">
      <c r="A787" s="1">
        <v>121.0</v>
      </c>
      <c r="B787" s="1">
        <v>7.3</v>
      </c>
      <c r="K787" s="4"/>
      <c r="P787" s="5"/>
      <c r="Q787" s="24"/>
    </row>
    <row r="788" ht="14.25" customHeight="1">
      <c r="A788" s="1">
        <v>121.0</v>
      </c>
      <c r="B788" s="1">
        <v>7.3</v>
      </c>
      <c r="K788" s="4"/>
      <c r="P788" s="5"/>
      <c r="Q788" s="24"/>
    </row>
    <row r="789" ht="14.25" customHeight="1">
      <c r="A789" s="1">
        <v>121.0</v>
      </c>
      <c r="B789" s="1">
        <v>7.3</v>
      </c>
      <c r="K789" s="4"/>
      <c r="P789" s="5"/>
      <c r="Q789" s="24"/>
    </row>
    <row r="790" ht="14.25" customHeight="1">
      <c r="A790" s="1">
        <v>121.0</v>
      </c>
      <c r="B790" s="1">
        <v>7.3</v>
      </c>
      <c r="K790" s="4"/>
      <c r="P790" s="5"/>
      <c r="Q790" s="24"/>
    </row>
    <row r="791" ht="14.25" customHeight="1">
      <c r="A791" s="1">
        <v>120.0</v>
      </c>
      <c r="B791" s="1">
        <v>7.3</v>
      </c>
      <c r="K791" s="4"/>
      <c r="P791" s="5"/>
      <c r="Q791" s="24"/>
    </row>
    <row r="792" ht="14.25" customHeight="1">
      <c r="A792" s="1">
        <v>120.0</v>
      </c>
      <c r="B792" s="1">
        <v>7.3</v>
      </c>
      <c r="K792" s="4"/>
      <c r="P792" s="5"/>
      <c r="Q792" s="24"/>
    </row>
    <row r="793" ht="14.25" customHeight="1">
      <c r="A793" s="1">
        <v>120.0</v>
      </c>
      <c r="B793" s="1">
        <v>7.3</v>
      </c>
      <c r="K793" s="4"/>
      <c r="P793" s="5"/>
      <c r="Q793" s="24"/>
    </row>
    <row r="794" ht="14.25" customHeight="1">
      <c r="A794" s="1">
        <v>120.0</v>
      </c>
      <c r="B794" s="1">
        <v>7.3</v>
      </c>
      <c r="K794" s="4"/>
      <c r="P794" s="5"/>
      <c r="Q794" s="24"/>
    </row>
    <row r="795" ht="14.25" customHeight="1">
      <c r="A795" s="1">
        <v>120.0</v>
      </c>
      <c r="B795" s="1">
        <v>7.3</v>
      </c>
      <c r="K795" s="4"/>
      <c r="P795" s="5"/>
      <c r="Q795" s="24"/>
    </row>
    <row r="796" ht="14.25" customHeight="1">
      <c r="A796" s="1">
        <v>119.0</v>
      </c>
      <c r="B796" s="1">
        <v>7.3</v>
      </c>
      <c r="K796" s="4"/>
      <c r="P796" s="5"/>
      <c r="Q796" s="24"/>
    </row>
    <row r="797" ht="14.25" customHeight="1">
      <c r="A797" s="1">
        <v>119.0</v>
      </c>
      <c r="B797" s="1">
        <v>7.3</v>
      </c>
      <c r="K797" s="4"/>
      <c r="P797" s="5"/>
      <c r="Q797" s="24"/>
    </row>
    <row r="798" ht="14.25" customHeight="1">
      <c r="A798" s="1">
        <v>119.0</v>
      </c>
      <c r="B798" s="1">
        <v>7.3</v>
      </c>
      <c r="K798" s="4"/>
      <c r="P798" s="5"/>
      <c r="Q798" s="24"/>
    </row>
    <row r="799" ht="14.25" customHeight="1">
      <c r="A799" s="1">
        <v>119.0</v>
      </c>
      <c r="B799" s="1">
        <v>7.3</v>
      </c>
      <c r="K799" s="4"/>
      <c r="P799" s="5"/>
      <c r="Q799" s="24"/>
    </row>
    <row r="800" ht="14.25" customHeight="1">
      <c r="A800" s="1">
        <v>118.0</v>
      </c>
      <c r="B800" s="1">
        <v>7.3</v>
      </c>
      <c r="K800" s="4"/>
      <c r="P800" s="5"/>
      <c r="Q800" s="24"/>
    </row>
    <row r="801" ht="14.25" customHeight="1">
      <c r="A801" s="1">
        <v>118.0</v>
      </c>
      <c r="B801" s="1">
        <v>7.3</v>
      </c>
      <c r="K801" s="4"/>
      <c r="P801" s="5"/>
      <c r="Q801" s="24"/>
    </row>
    <row r="802" ht="14.25" customHeight="1">
      <c r="A802" s="1">
        <v>117.0</v>
      </c>
      <c r="B802" s="1">
        <v>7.3</v>
      </c>
      <c r="K802" s="4"/>
      <c r="P802" s="5"/>
      <c r="Q802" s="24"/>
    </row>
    <row r="803" ht="14.25" customHeight="1">
      <c r="A803" s="1">
        <v>116.0</v>
      </c>
      <c r="B803" s="1">
        <v>7.3</v>
      </c>
      <c r="K803" s="4"/>
      <c r="P803" s="5"/>
      <c r="Q803" s="24"/>
    </row>
    <row r="804" ht="14.25" customHeight="1">
      <c r="A804" s="1">
        <v>115.0</v>
      </c>
      <c r="B804" s="1">
        <v>7.3</v>
      </c>
      <c r="K804" s="4"/>
      <c r="P804" s="5"/>
      <c r="Q804" s="24"/>
    </row>
    <row r="805" ht="14.25" customHeight="1">
      <c r="A805" s="1">
        <v>115.0</v>
      </c>
      <c r="B805" s="1">
        <v>7.3</v>
      </c>
      <c r="K805" s="4"/>
      <c r="P805" s="5"/>
      <c r="Q805" s="24"/>
    </row>
    <row r="806" ht="14.25" customHeight="1">
      <c r="A806" s="1">
        <v>115.0</v>
      </c>
      <c r="B806" s="1">
        <v>7.3</v>
      </c>
      <c r="K806" s="4"/>
      <c r="P806" s="5"/>
      <c r="Q806" s="24"/>
    </row>
    <row r="807" ht="14.25" customHeight="1">
      <c r="A807" s="1">
        <v>114.0</v>
      </c>
      <c r="B807" s="1">
        <v>7.3</v>
      </c>
      <c r="K807" s="4"/>
      <c r="P807" s="5"/>
      <c r="Q807" s="24"/>
    </row>
    <row r="808" ht="14.25" customHeight="1">
      <c r="A808" s="1">
        <v>114.0</v>
      </c>
      <c r="B808" s="1">
        <v>7.3</v>
      </c>
      <c r="K808" s="4"/>
      <c r="P808" s="5"/>
      <c r="Q808" s="24"/>
    </row>
    <row r="809" ht="14.25" customHeight="1">
      <c r="A809" s="1">
        <v>113.0</v>
      </c>
      <c r="B809" s="1">
        <v>7.3</v>
      </c>
      <c r="K809" s="4"/>
      <c r="P809" s="5"/>
      <c r="Q809" s="24"/>
    </row>
    <row r="810" ht="14.25" customHeight="1">
      <c r="A810" s="1">
        <v>113.0</v>
      </c>
      <c r="B810" s="1">
        <v>7.3</v>
      </c>
      <c r="K810" s="4"/>
      <c r="P810" s="5"/>
      <c r="Q810" s="24"/>
    </row>
    <row r="811" ht="14.25" customHeight="1">
      <c r="A811" s="1">
        <v>112.0</v>
      </c>
      <c r="B811" s="1">
        <v>7.3</v>
      </c>
      <c r="K811" s="4"/>
      <c r="P811" s="5"/>
      <c r="Q811" s="24"/>
    </row>
    <row r="812" ht="14.25" customHeight="1">
      <c r="A812" s="1">
        <v>112.0</v>
      </c>
      <c r="B812" s="1">
        <v>7.3</v>
      </c>
      <c r="K812" s="4"/>
      <c r="P812" s="5"/>
      <c r="Q812" s="24"/>
    </row>
    <row r="813" ht="14.25" customHeight="1">
      <c r="A813" s="1">
        <v>112.0</v>
      </c>
      <c r="B813" s="1">
        <v>7.3</v>
      </c>
      <c r="K813" s="4"/>
      <c r="P813" s="5"/>
      <c r="Q813" s="24"/>
    </row>
    <row r="814" ht="14.25" customHeight="1">
      <c r="A814" s="1">
        <v>111.0</v>
      </c>
      <c r="B814" s="1">
        <v>7.3</v>
      </c>
      <c r="K814" s="4"/>
      <c r="P814" s="5"/>
      <c r="Q814" s="24"/>
    </row>
    <row r="815" ht="14.25" customHeight="1">
      <c r="A815" s="1">
        <v>111.0</v>
      </c>
      <c r="B815" s="1">
        <v>7.3</v>
      </c>
      <c r="K815" s="4"/>
      <c r="P815" s="5"/>
      <c r="Q815" s="24"/>
    </row>
    <row r="816" ht="14.25" customHeight="1">
      <c r="A816" s="1">
        <v>111.0</v>
      </c>
      <c r="B816" s="1">
        <v>7.3</v>
      </c>
      <c r="K816" s="4"/>
      <c r="P816" s="5"/>
      <c r="Q816" s="24"/>
    </row>
    <row r="817" ht="14.25" customHeight="1">
      <c r="A817" s="1">
        <v>111.0</v>
      </c>
      <c r="B817" s="1">
        <v>7.3</v>
      </c>
      <c r="K817" s="4"/>
      <c r="P817" s="5"/>
      <c r="Q817" s="24"/>
    </row>
    <row r="818" ht="14.25" customHeight="1">
      <c r="A818" s="1">
        <v>111.0</v>
      </c>
      <c r="B818" s="1">
        <v>7.3</v>
      </c>
      <c r="K818" s="4"/>
      <c r="P818" s="5"/>
      <c r="Q818" s="24"/>
    </row>
    <row r="819" ht="14.25" customHeight="1">
      <c r="A819" s="1">
        <v>111.0</v>
      </c>
      <c r="B819" s="1">
        <v>7.3</v>
      </c>
      <c r="K819" s="4"/>
      <c r="P819" s="5"/>
      <c r="Q819" s="24"/>
    </row>
    <row r="820" ht="14.25" customHeight="1">
      <c r="A820" s="1">
        <v>111.0</v>
      </c>
      <c r="B820" s="1">
        <v>7.3</v>
      </c>
      <c r="K820" s="4"/>
      <c r="P820" s="5"/>
      <c r="Q820" s="24"/>
    </row>
    <row r="821" ht="14.25" customHeight="1">
      <c r="A821" s="1">
        <v>110.0</v>
      </c>
      <c r="B821" s="1">
        <v>7.3</v>
      </c>
      <c r="K821" s="4"/>
      <c r="P821" s="5"/>
      <c r="Q821" s="24"/>
    </row>
    <row r="822" ht="14.25" customHeight="1">
      <c r="A822" s="1">
        <v>110.0</v>
      </c>
      <c r="B822" s="1">
        <v>7.3</v>
      </c>
      <c r="K822" s="4"/>
      <c r="P822" s="5"/>
      <c r="Q822" s="24"/>
    </row>
    <row r="823" ht="14.25" customHeight="1">
      <c r="A823" s="1">
        <v>110.0</v>
      </c>
      <c r="B823" s="1">
        <v>7.3</v>
      </c>
      <c r="K823" s="4"/>
      <c r="P823" s="5"/>
      <c r="Q823" s="24"/>
    </row>
    <row r="824" ht="14.25" customHeight="1">
      <c r="A824" s="1">
        <v>110.0</v>
      </c>
      <c r="B824" s="1">
        <v>7.3</v>
      </c>
      <c r="K824" s="4"/>
      <c r="P824" s="5"/>
      <c r="Q824" s="24"/>
    </row>
    <row r="825" ht="14.25" customHeight="1">
      <c r="A825" s="1">
        <v>110.0</v>
      </c>
      <c r="B825" s="1">
        <v>7.3</v>
      </c>
      <c r="K825" s="4"/>
      <c r="P825" s="5"/>
      <c r="Q825" s="24"/>
    </row>
    <row r="826" ht="14.25" customHeight="1">
      <c r="A826" s="1">
        <v>109.0</v>
      </c>
      <c r="B826" s="1">
        <v>7.3</v>
      </c>
      <c r="K826" s="4"/>
      <c r="P826" s="5"/>
      <c r="Q826" s="24"/>
    </row>
    <row r="827" ht="14.25" customHeight="1">
      <c r="A827" s="1">
        <v>109.0</v>
      </c>
      <c r="B827" s="1">
        <v>7.3</v>
      </c>
      <c r="K827" s="4"/>
      <c r="P827" s="5"/>
      <c r="Q827" s="24"/>
    </row>
    <row r="828" ht="14.25" customHeight="1">
      <c r="A828" s="1">
        <v>109.0</v>
      </c>
      <c r="B828" s="1">
        <v>7.3</v>
      </c>
      <c r="K828" s="4"/>
      <c r="P828" s="5"/>
      <c r="Q828" s="24"/>
    </row>
    <row r="829" ht="14.25" customHeight="1">
      <c r="A829" s="1">
        <v>109.0</v>
      </c>
      <c r="B829" s="1">
        <v>7.3</v>
      </c>
      <c r="K829" s="4"/>
      <c r="P829" s="5"/>
      <c r="Q829" s="24"/>
    </row>
    <row r="830" ht="14.25" customHeight="1">
      <c r="A830" s="1">
        <v>109.0</v>
      </c>
      <c r="B830" s="1">
        <v>7.3</v>
      </c>
      <c r="K830" s="4"/>
      <c r="P830" s="5"/>
      <c r="Q830" s="24"/>
    </row>
    <row r="831" ht="14.25" customHeight="1">
      <c r="A831" s="1">
        <v>109.0</v>
      </c>
      <c r="B831" s="1">
        <v>7.3</v>
      </c>
      <c r="K831" s="4"/>
      <c r="P831" s="5"/>
      <c r="Q831" s="24"/>
    </row>
    <row r="832" ht="14.25" customHeight="1">
      <c r="A832" s="1">
        <v>108.0</v>
      </c>
      <c r="B832" s="1">
        <v>7.3</v>
      </c>
      <c r="K832" s="4"/>
      <c r="P832" s="5"/>
      <c r="Q832" s="24"/>
    </row>
    <row r="833" ht="14.25" customHeight="1">
      <c r="A833" s="1">
        <v>107.0</v>
      </c>
      <c r="B833" s="1">
        <v>7.3</v>
      </c>
      <c r="K833" s="4"/>
      <c r="P833" s="5"/>
      <c r="Q833" s="24"/>
    </row>
    <row r="834" ht="14.25" customHeight="1">
      <c r="A834" s="1">
        <v>106.0</v>
      </c>
      <c r="B834" s="1">
        <v>7.3</v>
      </c>
      <c r="K834" s="4"/>
      <c r="P834" s="5"/>
      <c r="Q834" s="24"/>
    </row>
    <row r="835" ht="14.25" customHeight="1">
      <c r="A835" s="1">
        <v>105.0</v>
      </c>
      <c r="B835" s="1">
        <v>7.3</v>
      </c>
      <c r="K835" s="4"/>
      <c r="P835" s="5"/>
      <c r="Q835" s="24"/>
    </row>
    <row r="836" ht="14.25" customHeight="1">
      <c r="A836" s="1">
        <v>104.0</v>
      </c>
      <c r="B836" s="1">
        <v>7.3</v>
      </c>
      <c r="K836" s="4"/>
      <c r="P836" s="5"/>
      <c r="Q836" s="24"/>
    </row>
    <row r="837" ht="14.25" customHeight="1">
      <c r="A837" s="1">
        <v>104.0</v>
      </c>
      <c r="B837" s="1">
        <v>7.3</v>
      </c>
      <c r="K837" s="4"/>
      <c r="P837" s="5"/>
      <c r="Q837" s="24"/>
    </row>
    <row r="838" ht="14.25" customHeight="1">
      <c r="A838" s="1">
        <v>103.0</v>
      </c>
      <c r="B838" s="1">
        <v>7.3</v>
      </c>
      <c r="K838" s="4"/>
      <c r="P838" s="5"/>
      <c r="Q838" s="24"/>
    </row>
    <row r="839" ht="14.25" customHeight="1">
      <c r="A839" s="1">
        <v>103.0</v>
      </c>
      <c r="B839" s="1">
        <v>7.3</v>
      </c>
      <c r="K839" s="4"/>
      <c r="P839" s="5"/>
      <c r="Q839" s="24"/>
    </row>
    <row r="840" ht="14.25" customHeight="1">
      <c r="A840" s="1">
        <v>102.0</v>
      </c>
      <c r="B840" s="1">
        <v>7.3</v>
      </c>
      <c r="K840" s="4"/>
      <c r="P840" s="5"/>
      <c r="Q840" s="24"/>
    </row>
    <row r="841" ht="14.25" customHeight="1">
      <c r="A841" s="1">
        <v>102.0</v>
      </c>
      <c r="B841" s="1">
        <v>7.3</v>
      </c>
      <c r="K841" s="4"/>
      <c r="P841" s="5"/>
      <c r="Q841" s="24"/>
    </row>
    <row r="842" ht="14.25" customHeight="1">
      <c r="A842" s="1">
        <v>102.0</v>
      </c>
      <c r="B842" s="1">
        <v>7.3</v>
      </c>
      <c r="K842" s="4"/>
      <c r="P842" s="5"/>
      <c r="Q842" s="24"/>
    </row>
    <row r="843" ht="14.25" customHeight="1">
      <c r="A843" s="1">
        <v>101.0</v>
      </c>
      <c r="B843" s="1">
        <v>7.3</v>
      </c>
      <c r="K843" s="4"/>
      <c r="P843" s="5"/>
      <c r="Q843" s="24"/>
    </row>
    <row r="844" ht="14.25" customHeight="1">
      <c r="A844" s="1">
        <v>100.0</v>
      </c>
      <c r="B844" s="1">
        <v>7.3</v>
      </c>
      <c r="K844" s="4"/>
      <c r="P844" s="5"/>
      <c r="Q844" s="24"/>
    </row>
    <row r="845" ht="14.25" customHeight="1">
      <c r="A845" s="1">
        <v>100.0</v>
      </c>
      <c r="B845" s="1">
        <v>7.3</v>
      </c>
      <c r="K845" s="4"/>
      <c r="P845" s="5"/>
      <c r="Q845" s="24"/>
    </row>
    <row r="846" ht="14.25" customHeight="1">
      <c r="A846" s="1">
        <v>100.0</v>
      </c>
      <c r="B846" s="1">
        <v>7.3</v>
      </c>
      <c r="K846" s="4"/>
      <c r="P846" s="5"/>
      <c r="Q846" s="24"/>
    </row>
    <row r="847" ht="14.25" customHeight="1">
      <c r="A847" s="1">
        <v>100.0</v>
      </c>
      <c r="B847" s="1">
        <v>7.3</v>
      </c>
      <c r="K847" s="4"/>
      <c r="P847" s="5"/>
      <c r="Q847" s="24"/>
    </row>
    <row r="848" ht="14.25" customHeight="1">
      <c r="A848" s="1">
        <v>100.0</v>
      </c>
      <c r="B848" s="1">
        <v>7.3</v>
      </c>
      <c r="K848" s="4"/>
      <c r="P848" s="5"/>
      <c r="Q848" s="24"/>
    </row>
    <row r="849" ht="14.25" customHeight="1">
      <c r="A849" s="1">
        <v>99.0</v>
      </c>
      <c r="B849" s="1">
        <v>7.3</v>
      </c>
      <c r="K849" s="4"/>
      <c r="P849" s="5"/>
      <c r="Q849" s="24"/>
    </row>
    <row r="850" ht="14.25" customHeight="1">
      <c r="A850" s="1">
        <v>99.0</v>
      </c>
      <c r="B850" s="1">
        <v>7.3</v>
      </c>
      <c r="K850" s="4"/>
      <c r="P850" s="5"/>
      <c r="Q850" s="24"/>
    </row>
    <row r="851" ht="14.25" customHeight="1">
      <c r="A851" s="1">
        <v>98.0</v>
      </c>
      <c r="B851" s="1">
        <v>7.3</v>
      </c>
      <c r="K851" s="4"/>
      <c r="P851" s="5"/>
      <c r="Q851" s="24"/>
    </row>
    <row r="852" ht="14.25" customHeight="1">
      <c r="A852" s="1">
        <v>98.0</v>
      </c>
      <c r="B852" s="1">
        <v>7.3</v>
      </c>
      <c r="K852" s="4"/>
      <c r="P852" s="5"/>
      <c r="Q852" s="24"/>
    </row>
    <row r="853" ht="14.25" customHeight="1">
      <c r="A853" s="1">
        <v>98.0</v>
      </c>
      <c r="B853" s="1">
        <v>7.3</v>
      </c>
      <c r="K853" s="4"/>
      <c r="P853" s="5"/>
      <c r="Q853" s="24"/>
    </row>
    <row r="854" ht="14.25" customHeight="1">
      <c r="A854" s="1">
        <v>98.0</v>
      </c>
      <c r="B854" s="1">
        <v>7.3</v>
      </c>
      <c r="K854" s="4"/>
      <c r="P854" s="5"/>
      <c r="Q854" s="24"/>
    </row>
    <row r="855" ht="14.25" customHeight="1">
      <c r="A855" s="1">
        <v>97.0</v>
      </c>
      <c r="B855" s="1">
        <v>7.3</v>
      </c>
      <c r="K855" s="4"/>
      <c r="P855" s="5"/>
      <c r="Q855" s="24"/>
    </row>
    <row r="856" ht="14.25" customHeight="1">
      <c r="A856" s="1">
        <v>97.0</v>
      </c>
      <c r="B856" s="1">
        <v>7.3</v>
      </c>
      <c r="K856" s="4"/>
      <c r="P856" s="5"/>
      <c r="Q856" s="24"/>
    </row>
    <row r="857" ht="14.25" customHeight="1">
      <c r="A857" s="1">
        <v>97.0</v>
      </c>
      <c r="B857" s="1">
        <v>7.3</v>
      </c>
      <c r="K857" s="4"/>
      <c r="P857" s="5"/>
      <c r="Q857" s="24"/>
    </row>
    <row r="858" ht="14.25" customHeight="1">
      <c r="A858" s="1">
        <v>97.0</v>
      </c>
      <c r="B858" s="1">
        <v>7.3</v>
      </c>
      <c r="K858" s="4"/>
      <c r="P858" s="5"/>
      <c r="Q858" s="24"/>
    </row>
    <row r="859" ht="14.25" customHeight="1">
      <c r="A859" s="1">
        <v>96.0</v>
      </c>
      <c r="B859" s="1">
        <v>7.3</v>
      </c>
      <c r="K859" s="4"/>
      <c r="P859" s="5"/>
      <c r="Q859" s="24"/>
    </row>
    <row r="860" ht="14.25" customHeight="1">
      <c r="A860" s="1">
        <v>96.0</v>
      </c>
      <c r="B860" s="1">
        <v>7.3</v>
      </c>
      <c r="K860" s="4"/>
      <c r="P860" s="5"/>
      <c r="Q860" s="24"/>
    </row>
    <row r="861" ht="14.25" customHeight="1">
      <c r="A861" s="1">
        <v>95.0</v>
      </c>
      <c r="B861" s="1">
        <v>7.3</v>
      </c>
      <c r="K861" s="4"/>
      <c r="P861" s="5"/>
      <c r="Q861" s="24"/>
    </row>
    <row r="862" ht="14.25" customHeight="1">
      <c r="A862" s="1">
        <v>95.0</v>
      </c>
      <c r="B862" s="1">
        <v>7.3</v>
      </c>
      <c r="K862" s="4"/>
      <c r="P862" s="5"/>
      <c r="Q862" s="24"/>
    </row>
    <row r="863" ht="14.25" customHeight="1">
      <c r="A863" s="1">
        <v>95.0</v>
      </c>
      <c r="B863" s="1">
        <v>7.3</v>
      </c>
      <c r="K863" s="4"/>
      <c r="P863" s="5"/>
      <c r="Q863" s="24"/>
    </row>
    <row r="864" ht="14.25" customHeight="1">
      <c r="A864" s="1">
        <v>94.0</v>
      </c>
      <c r="B864" s="1">
        <v>7.3</v>
      </c>
      <c r="K864" s="4"/>
      <c r="P864" s="5"/>
      <c r="Q864" s="24"/>
    </row>
    <row r="865" ht="14.25" customHeight="1">
      <c r="A865" s="1">
        <v>94.0</v>
      </c>
      <c r="B865" s="1">
        <v>7.3</v>
      </c>
      <c r="K865" s="4"/>
      <c r="P865" s="5"/>
      <c r="Q865" s="24"/>
    </row>
    <row r="866" ht="14.25" customHeight="1">
      <c r="A866" s="1">
        <v>93.0</v>
      </c>
      <c r="B866" s="1">
        <v>7.3</v>
      </c>
      <c r="K866" s="4"/>
      <c r="P866" s="5"/>
      <c r="Q866" s="24"/>
    </row>
    <row r="867" ht="14.25" customHeight="1">
      <c r="A867" s="1">
        <v>93.0</v>
      </c>
      <c r="B867" s="1">
        <v>7.3</v>
      </c>
      <c r="K867" s="4"/>
      <c r="P867" s="5"/>
      <c r="Q867" s="24"/>
    </row>
    <row r="868" ht="14.25" customHeight="1">
      <c r="A868" s="1">
        <v>91.0</v>
      </c>
      <c r="B868" s="1">
        <v>7.3</v>
      </c>
      <c r="K868" s="4"/>
      <c r="P868" s="5"/>
      <c r="Q868" s="24"/>
    </row>
    <row r="869" ht="14.25" customHeight="1">
      <c r="A869" s="1">
        <v>90.0</v>
      </c>
      <c r="B869" s="1">
        <v>7.3</v>
      </c>
      <c r="K869" s="4"/>
      <c r="P869" s="5"/>
      <c r="Q869" s="24"/>
    </row>
    <row r="870" ht="14.25" customHeight="1">
      <c r="A870" s="1">
        <v>90.0</v>
      </c>
      <c r="B870" s="1">
        <v>7.3</v>
      </c>
      <c r="K870" s="4"/>
      <c r="P870" s="5"/>
      <c r="Q870" s="24"/>
    </row>
    <row r="871" ht="14.25" customHeight="1">
      <c r="A871" s="1">
        <v>90.0</v>
      </c>
      <c r="B871" s="1">
        <v>7.3</v>
      </c>
      <c r="K871" s="4"/>
      <c r="P871" s="5"/>
      <c r="Q871" s="24"/>
    </row>
    <row r="872" ht="14.25" customHeight="1">
      <c r="A872" s="1">
        <v>90.0</v>
      </c>
      <c r="B872" s="1">
        <v>7.3</v>
      </c>
      <c r="K872" s="4"/>
      <c r="P872" s="5"/>
      <c r="Q872" s="24"/>
    </row>
    <row r="873" ht="14.25" customHeight="1">
      <c r="A873" s="1">
        <v>90.0</v>
      </c>
      <c r="B873" s="1">
        <v>7.3</v>
      </c>
      <c r="K873" s="4"/>
      <c r="P873" s="5"/>
      <c r="Q873" s="24"/>
    </row>
    <row r="874" ht="14.25" customHeight="1">
      <c r="A874" s="1">
        <v>90.0</v>
      </c>
      <c r="B874" s="1">
        <v>7.3</v>
      </c>
      <c r="K874" s="4"/>
      <c r="P874" s="5"/>
      <c r="Q874" s="24"/>
    </row>
    <row r="875" ht="14.25" customHeight="1">
      <c r="A875" s="1">
        <v>88.0</v>
      </c>
      <c r="B875" s="1">
        <v>7.3</v>
      </c>
      <c r="K875" s="4"/>
      <c r="P875" s="5"/>
      <c r="Q875" s="24"/>
    </row>
    <row r="876" ht="14.25" customHeight="1">
      <c r="A876" s="1">
        <v>88.0</v>
      </c>
      <c r="B876" s="1">
        <v>7.3</v>
      </c>
      <c r="K876" s="4"/>
      <c r="P876" s="5"/>
      <c r="Q876" s="24"/>
    </row>
    <row r="877" ht="14.25" customHeight="1">
      <c r="A877" s="1">
        <v>85.0</v>
      </c>
      <c r="B877" s="1">
        <v>7.3</v>
      </c>
      <c r="K877" s="4"/>
      <c r="P877" s="5"/>
      <c r="Q877" s="24"/>
    </row>
    <row r="878" ht="14.25" customHeight="1">
      <c r="A878" s="1">
        <v>82.0</v>
      </c>
      <c r="B878" s="1">
        <v>7.3</v>
      </c>
      <c r="K878" s="4"/>
      <c r="P878" s="5"/>
      <c r="Q878" s="24"/>
    </row>
    <row r="879" ht="14.25" customHeight="1">
      <c r="A879" s="1">
        <v>78.0</v>
      </c>
      <c r="B879" s="1">
        <v>7.3</v>
      </c>
      <c r="K879" s="4"/>
      <c r="P879" s="5"/>
      <c r="Q879" s="24"/>
    </row>
    <row r="880" ht="14.25" customHeight="1">
      <c r="A880" s="1">
        <v>74.0</v>
      </c>
      <c r="B880" s="1">
        <v>7.3</v>
      </c>
      <c r="K880" s="4"/>
      <c r="P880" s="5"/>
      <c r="Q880" s="24"/>
    </row>
    <row r="881" ht="14.25" customHeight="1">
      <c r="A881" s="1">
        <v>69.0</v>
      </c>
      <c r="B881" s="1">
        <v>7.3</v>
      </c>
      <c r="K881" s="4"/>
      <c r="P881" s="5"/>
      <c r="Q881" s="24"/>
    </row>
    <row r="882" ht="14.25" customHeight="1">
      <c r="A882" s="1">
        <v>63.0</v>
      </c>
      <c r="B882" s="1">
        <v>7.3</v>
      </c>
      <c r="K882" s="4"/>
      <c r="P882" s="5"/>
      <c r="Q882" s="24"/>
    </row>
    <row r="883" ht="14.25" customHeight="1">
      <c r="A883" s="1">
        <v>45.0</v>
      </c>
      <c r="B883" s="1">
        <v>7.3</v>
      </c>
      <c r="K883" s="4"/>
      <c r="P883" s="5"/>
      <c r="Q883" s="24"/>
    </row>
    <row r="884" ht="14.25" customHeight="1">
      <c r="A884" s="1">
        <v>201.0</v>
      </c>
      <c r="B884" s="1">
        <v>7.2</v>
      </c>
      <c r="K884" s="4"/>
      <c r="P884" s="5"/>
      <c r="Q884" s="24"/>
    </row>
    <row r="885" ht="14.25" customHeight="1">
      <c r="A885" s="1">
        <v>201.0</v>
      </c>
      <c r="B885" s="1">
        <v>7.2</v>
      </c>
      <c r="K885" s="4"/>
      <c r="P885" s="5"/>
      <c r="Q885" s="24"/>
    </row>
    <row r="886" ht="14.25" customHeight="1">
      <c r="A886" s="1">
        <v>201.0</v>
      </c>
      <c r="B886" s="1">
        <v>7.2</v>
      </c>
      <c r="K886" s="4"/>
      <c r="P886" s="5"/>
      <c r="Q886" s="24"/>
    </row>
    <row r="887" ht="14.25" customHeight="1">
      <c r="A887" s="1">
        <v>196.0</v>
      </c>
      <c r="B887" s="1">
        <v>7.2</v>
      </c>
      <c r="K887" s="4"/>
      <c r="P887" s="5"/>
      <c r="Q887" s="24"/>
    </row>
    <row r="888" ht="14.25" customHeight="1">
      <c r="A888" s="1">
        <v>195.0</v>
      </c>
      <c r="B888" s="1">
        <v>7.2</v>
      </c>
      <c r="K888" s="4"/>
      <c r="P888" s="5"/>
      <c r="Q888" s="24"/>
    </row>
    <row r="889" ht="14.25" customHeight="1">
      <c r="A889" s="1">
        <v>194.0</v>
      </c>
      <c r="B889" s="1">
        <v>7.2</v>
      </c>
      <c r="K889" s="4"/>
      <c r="P889" s="5"/>
      <c r="Q889" s="24"/>
    </row>
    <row r="890" ht="14.25" customHeight="1">
      <c r="A890" s="1">
        <v>161.0</v>
      </c>
      <c r="B890" s="1">
        <v>7.2</v>
      </c>
      <c r="K890" s="4"/>
      <c r="P890" s="5"/>
      <c r="Q890" s="24"/>
    </row>
    <row r="891" ht="14.25" customHeight="1">
      <c r="A891" s="1">
        <v>155.0</v>
      </c>
      <c r="B891" s="1">
        <v>7.2</v>
      </c>
      <c r="K891" s="4"/>
      <c r="P891" s="5"/>
      <c r="Q891" s="24"/>
    </row>
    <row r="892" ht="14.25" customHeight="1">
      <c r="A892" s="1">
        <v>154.0</v>
      </c>
      <c r="B892" s="1">
        <v>7.2</v>
      </c>
      <c r="K892" s="4"/>
      <c r="P892" s="5"/>
      <c r="Q892" s="24"/>
    </row>
    <row r="893" ht="14.25" customHeight="1">
      <c r="A893" s="1">
        <v>146.0</v>
      </c>
      <c r="B893" s="1">
        <v>7.2</v>
      </c>
      <c r="K893" s="4"/>
      <c r="P893" s="5"/>
      <c r="Q893" s="24"/>
    </row>
    <row r="894" ht="14.25" customHeight="1">
      <c r="A894" s="1">
        <v>145.0</v>
      </c>
      <c r="B894" s="1">
        <v>7.2</v>
      </c>
      <c r="K894" s="4"/>
      <c r="P894" s="5"/>
      <c r="Q894" s="24"/>
    </row>
    <row r="895" ht="14.25" customHeight="1">
      <c r="A895" s="1">
        <v>143.0</v>
      </c>
      <c r="B895" s="1">
        <v>7.2</v>
      </c>
      <c r="K895" s="4"/>
      <c r="P895" s="5"/>
      <c r="Q895" s="24"/>
    </row>
    <row r="896" ht="14.25" customHeight="1">
      <c r="A896" s="1">
        <v>141.0</v>
      </c>
      <c r="B896" s="1">
        <v>7.2</v>
      </c>
      <c r="K896" s="4"/>
      <c r="P896" s="5"/>
      <c r="Q896" s="24"/>
    </row>
    <row r="897" ht="14.25" customHeight="1">
      <c r="A897" s="1">
        <v>141.0</v>
      </c>
      <c r="B897" s="1">
        <v>7.2</v>
      </c>
      <c r="K897" s="4"/>
      <c r="P897" s="5"/>
      <c r="Q897" s="24"/>
    </row>
    <row r="898" ht="14.25" customHeight="1">
      <c r="A898" s="1">
        <v>140.0</v>
      </c>
      <c r="B898" s="1">
        <v>7.2</v>
      </c>
      <c r="K898" s="4"/>
      <c r="P898" s="5"/>
      <c r="Q898" s="24"/>
    </row>
    <row r="899" ht="14.25" customHeight="1">
      <c r="A899" s="1">
        <v>140.0</v>
      </c>
      <c r="B899" s="1">
        <v>7.2</v>
      </c>
      <c r="K899" s="4"/>
      <c r="P899" s="5"/>
      <c r="Q899" s="24"/>
    </row>
    <row r="900" ht="14.25" customHeight="1">
      <c r="A900" s="1">
        <v>139.0</v>
      </c>
      <c r="B900" s="1">
        <v>7.2</v>
      </c>
      <c r="K900" s="4"/>
      <c r="P900" s="5"/>
      <c r="Q900" s="24"/>
    </row>
    <row r="901" ht="14.25" customHeight="1">
      <c r="A901" s="1">
        <v>139.0</v>
      </c>
      <c r="B901" s="1">
        <v>7.2</v>
      </c>
      <c r="K901" s="4"/>
      <c r="P901" s="5"/>
      <c r="Q901" s="24"/>
    </row>
    <row r="902" ht="14.25" customHeight="1">
      <c r="A902" s="1">
        <v>138.0</v>
      </c>
      <c r="B902" s="1">
        <v>7.2</v>
      </c>
      <c r="K902" s="4"/>
      <c r="P902" s="5"/>
      <c r="Q902" s="24"/>
    </row>
    <row r="903" ht="14.25" customHeight="1">
      <c r="A903" s="1">
        <v>137.0</v>
      </c>
      <c r="B903" s="1">
        <v>7.2</v>
      </c>
      <c r="K903" s="4"/>
      <c r="P903" s="5"/>
      <c r="Q903" s="24"/>
    </row>
    <row r="904" ht="14.25" customHeight="1">
      <c r="A904" s="1">
        <v>136.0</v>
      </c>
      <c r="B904" s="1">
        <v>7.2</v>
      </c>
      <c r="K904" s="4"/>
      <c r="P904" s="5"/>
      <c r="Q904" s="24"/>
    </row>
    <row r="905" ht="14.25" customHeight="1">
      <c r="A905" s="1">
        <v>134.0</v>
      </c>
      <c r="B905" s="1">
        <v>7.2</v>
      </c>
      <c r="K905" s="4"/>
      <c r="P905" s="5"/>
      <c r="Q905" s="24"/>
    </row>
    <row r="906" ht="14.25" customHeight="1">
      <c r="A906" s="1">
        <v>133.0</v>
      </c>
      <c r="B906" s="1">
        <v>7.2</v>
      </c>
      <c r="K906" s="4"/>
      <c r="P906" s="5"/>
      <c r="Q906" s="24"/>
    </row>
    <row r="907" ht="14.25" customHeight="1">
      <c r="A907" s="1">
        <v>133.0</v>
      </c>
      <c r="B907" s="1">
        <v>7.2</v>
      </c>
      <c r="K907" s="4"/>
      <c r="P907" s="5"/>
      <c r="Q907" s="24"/>
    </row>
    <row r="908" ht="14.25" customHeight="1">
      <c r="A908" s="1">
        <v>132.0</v>
      </c>
      <c r="B908" s="1">
        <v>7.2</v>
      </c>
      <c r="K908" s="4"/>
      <c r="P908" s="5"/>
      <c r="Q908" s="24"/>
    </row>
    <row r="909" ht="14.25" customHeight="1">
      <c r="A909" s="1">
        <v>132.0</v>
      </c>
      <c r="B909" s="1">
        <v>7.2</v>
      </c>
      <c r="K909" s="4"/>
      <c r="P909" s="5"/>
      <c r="Q909" s="24"/>
    </row>
    <row r="910" ht="14.25" customHeight="1">
      <c r="A910" s="1">
        <v>132.0</v>
      </c>
      <c r="B910" s="1">
        <v>7.2</v>
      </c>
      <c r="K910" s="4"/>
      <c r="P910" s="5"/>
      <c r="Q910" s="24"/>
    </row>
    <row r="911" ht="14.25" customHeight="1">
      <c r="A911" s="1">
        <v>130.0</v>
      </c>
      <c r="B911" s="1">
        <v>7.2</v>
      </c>
      <c r="K911" s="4"/>
      <c r="P911" s="5"/>
      <c r="Q911" s="24"/>
    </row>
    <row r="912" ht="14.25" customHeight="1">
      <c r="A912" s="1">
        <v>129.0</v>
      </c>
      <c r="B912" s="1">
        <v>7.2</v>
      </c>
      <c r="K912" s="4"/>
      <c r="P912" s="5"/>
      <c r="Q912" s="24"/>
    </row>
    <row r="913" ht="14.25" customHeight="1">
      <c r="A913" s="1">
        <v>129.0</v>
      </c>
      <c r="B913" s="1">
        <v>7.2</v>
      </c>
      <c r="K913" s="4"/>
      <c r="P913" s="5"/>
      <c r="Q913" s="24"/>
    </row>
    <row r="914" ht="14.25" customHeight="1">
      <c r="A914" s="1">
        <v>129.0</v>
      </c>
      <c r="B914" s="1">
        <v>7.2</v>
      </c>
      <c r="K914" s="4"/>
      <c r="P914" s="5"/>
      <c r="Q914" s="24"/>
    </row>
    <row r="915" ht="14.25" customHeight="1">
      <c r="A915" s="1">
        <v>128.0</v>
      </c>
      <c r="B915" s="1">
        <v>7.2</v>
      </c>
      <c r="K915" s="4"/>
      <c r="P915" s="5"/>
      <c r="Q915" s="24"/>
    </row>
    <row r="916" ht="14.25" customHeight="1">
      <c r="A916" s="1">
        <v>128.0</v>
      </c>
      <c r="B916" s="1">
        <v>7.2</v>
      </c>
      <c r="K916" s="4"/>
      <c r="P916" s="5"/>
      <c r="Q916" s="24"/>
    </row>
    <row r="917" ht="14.25" customHeight="1">
      <c r="A917" s="1">
        <v>126.0</v>
      </c>
      <c r="B917" s="1">
        <v>7.2</v>
      </c>
      <c r="K917" s="4"/>
      <c r="P917" s="5"/>
      <c r="Q917" s="24"/>
    </row>
    <row r="918" ht="14.25" customHeight="1">
      <c r="A918" s="1">
        <v>126.0</v>
      </c>
      <c r="B918" s="1">
        <v>7.2</v>
      </c>
      <c r="K918" s="4"/>
      <c r="P918" s="5"/>
      <c r="Q918" s="24"/>
    </row>
    <row r="919" ht="14.25" customHeight="1">
      <c r="A919" s="1">
        <v>126.0</v>
      </c>
      <c r="B919" s="1">
        <v>7.2</v>
      </c>
      <c r="K919" s="4"/>
      <c r="P919" s="5"/>
      <c r="Q919" s="24"/>
    </row>
    <row r="920" ht="14.25" customHeight="1">
      <c r="A920" s="1">
        <v>125.0</v>
      </c>
      <c r="B920" s="1">
        <v>7.2</v>
      </c>
      <c r="K920" s="4"/>
      <c r="P920" s="5"/>
      <c r="Q920" s="24"/>
    </row>
    <row r="921" ht="14.25" customHeight="1">
      <c r="A921" s="1">
        <v>125.0</v>
      </c>
      <c r="B921" s="1">
        <v>7.2</v>
      </c>
      <c r="K921" s="4"/>
      <c r="P921" s="5"/>
      <c r="Q921" s="24"/>
    </row>
    <row r="922" ht="14.25" customHeight="1">
      <c r="A922" s="1">
        <v>125.0</v>
      </c>
      <c r="B922" s="1">
        <v>7.2</v>
      </c>
      <c r="K922" s="4"/>
      <c r="P922" s="5"/>
      <c r="Q922" s="24"/>
    </row>
    <row r="923" ht="14.25" customHeight="1">
      <c r="A923" s="1">
        <v>125.0</v>
      </c>
      <c r="B923" s="1">
        <v>7.2</v>
      </c>
      <c r="K923" s="4"/>
      <c r="P923" s="5"/>
      <c r="Q923" s="24"/>
    </row>
    <row r="924" ht="14.25" customHeight="1">
      <c r="A924" s="1">
        <v>124.0</v>
      </c>
      <c r="B924" s="1">
        <v>7.2</v>
      </c>
      <c r="K924" s="4"/>
      <c r="P924" s="5"/>
      <c r="Q924" s="24"/>
    </row>
    <row r="925" ht="14.25" customHeight="1">
      <c r="A925" s="1">
        <v>124.0</v>
      </c>
      <c r="B925" s="1">
        <v>7.2</v>
      </c>
      <c r="K925" s="4"/>
      <c r="P925" s="5"/>
      <c r="Q925" s="24"/>
    </row>
    <row r="926" ht="14.25" customHeight="1">
      <c r="A926" s="1">
        <v>124.0</v>
      </c>
      <c r="B926" s="1">
        <v>7.2</v>
      </c>
      <c r="K926" s="4"/>
      <c r="P926" s="5"/>
      <c r="Q926" s="24"/>
    </row>
    <row r="927" ht="14.25" customHeight="1">
      <c r="A927" s="1">
        <v>123.0</v>
      </c>
      <c r="B927" s="1">
        <v>7.2</v>
      </c>
      <c r="K927" s="4"/>
      <c r="P927" s="5"/>
      <c r="Q927" s="24"/>
    </row>
    <row r="928" ht="14.25" customHeight="1">
      <c r="A928" s="1">
        <v>123.0</v>
      </c>
      <c r="B928" s="1">
        <v>7.2</v>
      </c>
      <c r="K928" s="4"/>
      <c r="P928" s="5"/>
      <c r="Q928" s="24"/>
    </row>
    <row r="929" ht="14.25" customHeight="1">
      <c r="A929" s="1">
        <v>123.0</v>
      </c>
      <c r="B929" s="1">
        <v>7.2</v>
      </c>
      <c r="K929" s="4"/>
      <c r="P929" s="5"/>
      <c r="Q929" s="24"/>
    </row>
    <row r="930" ht="14.25" customHeight="1">
      <c r="A930" s="1">
        <v>123.0</v>
      </c>
      <c r="B930" s="1">
        <v>7.2</v>
      </c>
      <c r="K930" s="4"/>
      <c r="P930" s="5"/>
      <c r="Q930" s="24"/>
    </row>
    <row r="931" ht="14.25" customHeight="1">
      <c r="A931" s="1">
        <v>123.0</v>
      </c>
      <c r="B931" s="1">
        <v>7.2</v>
      </c>
      <c r="K931" s="4"/>
      <c r="P931" s="5"/>
      <c r="Q931" s="24"/>
    </row>
    <row r="932" ht="14.25" customHeight="1">
      <c r="A932" s="1">
        <v>122.0</v>
      </c>
      <c r="B932" s="1">
        <v>7.2</v>
      </c>
      <c r="K932" s="4"/>
      <c r="P932" s="5"/>
      <c r="Q932" s="24"/>
    </row>
    <row r="933" ht="14.25" customHeight="1">
      <c r="A933" s="1">
        <v>122.0</v>
      </c>
      <c r="B933" s="1">
        <v>7.2</v>
      </c>
      <c r="K933" s="4"/>
      <c r="P933" s="5"/>
      <c r="Q933" s="24"/>
    </row>
    <row r="934" ht="14.25" customHeight="1">
      <c r="A934" s="1">
        <v>121.0</v>
      </c>
      <c r="B934" s="1">
        <v>7.2</v>
      </c>
      <c r="K934" s="4"/>
      <c r="P934" s="5"/>
      <c r="Q934" s="24"/>
    </row>
    <row r="935" ht="14.25" customHeight="1">
      <c r="A935" s="1">
        <v>119.0</v>
      </c>
      <c r="B935" s="1">
        <v>7.2</v>
      </c>
      <c r="K935" s="4"/>
      <c r="P935" s="5"/>
      <c r="Q935" s="24"/>
    </row>
    <row r="936" ht="14.25" customHeight="1">
      <c r="A936" s="1">
        <v>118.0</v>
      </c>
      <c r="B936" s="1">
        <v>7.2</v>
      </c>
      <c r="K936" s="4"/>
      <c r="P936" s="5"/>
      <c r="Q936" s="24"/>
    </row>
    <row r="937" ht="14.25" customHeight="1">
      <c r="A937" s="1">
        <v>118.0</v>
      </c>
      <c r="B937" s="1">
        <v>7.2</v>
      </c>
      <c r="K937" s="4"/>
      <c r="P937" s="5"/>
      <c r="Q937" s="24"/>
    </row>
    <row r="938" ht="14.25" customHeight="1">
      <c r="A938" s="1">
        <v>118.0</v>
      </c>
      <c r="B938" s="1">
        <v>7.2</v>
      </c>
      <c r="K938" s="4"/>
      <c r="P938" s="5"/>
      <c r="Q938" s="24"/>
    </row>
    <row r="939" ht="14.25" customHeight="1">
      <c r="A939" s="1">
        <v>117.0</v>
      </c>
      <c r="B939" s="1">
        <v>7.2</v>
      </c>
      <c r="K939" s="4"/>
      <c r="P939" s="5"/>
      <c r="Q939" s="24"/>
    </row>
    <row r="940" ht="14.25" customHeight="1">
      <c r="A940" s="1">
        <v>117.0</v>
      </c>
      <c r="B940" s="1">
        <v>7.2</v>
      </c>
      <c r="K940" s="4"/>
      <c r="P940" s="5"/>
      <c r="Q940" s="24"/>
    </row>
    <row r="941" ht="14.25" customHeight="1">
      <c r="A941" s="1">
        <v>117.0</v>
      </c>
      <c r="B941" s="1">
        <v>7.2</v>
      </c>
      <c r="K941" s="4"/>
      <c r="P941" s="5"/>
      <c r="Q941" s="24"/>
    </row>
    <row r="942" ht="14.25" customHeight="1">
      <c r="A942" s="1">
        <v>116.0</v>
      </c>
      <c r="B942" s="1">
        <v>7.2</v>
      </c>
      <c r="K942" s="4"/>
      <c r="P942" s="5"/>
      <c r="Q942" s="24"/>
    </row>
    <row r="943" ht="14.25" customHeight="1">
      <c r="A943" s="1">
        <v>116.0</v>
      </c>
      <c r="B943" s="1">
        <v>7.2</v>
      </c>
      <c r="K943" s="4"/>
      <c r="P943" s="5"/>
      <c r="Q943" s="24"/>
    </row>
    <row r="944" ht="14.25" customHeight="1">
      <c r="A944" s="1">
        <v>116.0</v>
      </c>
      <c r="B944" s="1">
        <v>7.2</v>
      </c>
      <c r="K944" s="4"/>
      <c r="P944" s="5"/>
      <c r="Q944" s="24"/>
    </row>
    <row r="945" ht="14.25" customHeight="1">
      <c r="A945" s="1">
        <v>115.0</v>
      </c>
      <c r="B945" s="1">
        <v>7.2</v>
      </c>
      <c r="K945" s="4"/>
      <c r="P945" s="5"/>
      <c r="Q945" s="24"/>
    </row>
    <row r="946" ht="14.25" customHeight="1">
      <c r="A946" s="1">
        <v>114.0</v>
      </c>
      <c r="B946" s="1">
        <v>7.2</v>
      </c>
      <c r="K946" s="4"/>
      <c r="P946" s="5"/>
      <c r="Q946" s="24"/>
    </row>
    <row r="947" ht="14.25" customHeight="1">
      <c r="A947" s="1">
        <v>114.0</v>
      </c>
      <c r="B947" s="1">
        <v>7.2</v>
      </c>
      <c r="K947" s="4"/>
      <c r="P947" s="5"/>
      <c r="Q947" s="24"/>
    </row>
    <row r="948" ht="14.25" customHeight="1">
      <c r="A948" s="1">
        <v>114.0</v>
      </c>
      <c r="B948" s="1">
        <v>7.2</v>
      </c>
      <c r="K948" s="4"/>
      <c r="P948" s="5"/>
      <c r="Q948" s="24"/>
    </row>
    <row r="949" ht="14.25" customHeight="1">
      <c r="A949" s="1">
        <v>113.0</v>
      </c>
      <c r="B949" s="1">
        <v>7.2</v>
      </c>
      <c r="K949" s="4"/>
      <c r="P949" s="5"/>
      <c r="Q949" s="24"/>
    </row>
    <row r="950" ht="14.25" customHeight="1">
      <c r="A950" s="1">
        <v>113.0</v>
      </c>
      <c r="B950" s="1">
        <v>7.2</v>
      </c>
      <c r="K950" s="4"/>
      <c r="P950" s="5"/>
      <c r="Q950" s="24"/>
    </row>
    <row r="951" ht="14.25" customHeight="1">
      <c r="A951" s="1">
        <v>113.0</v>
      </c>
      <c r="B951" s="1">
        <v>7.2</v>
      </c>
      <c r="K951" s="4"/>
      <c r="P951" s="5"/>
      <c r="Q951" s="24"/>
    </row>
    <row r="952" ht="14.25" customHeight="1">
      <c r="A952" s="1">
        <v>112.0</v>
      </c>
      <c r="B952" s="1">
        <v>7.2</v>
      </c>
      <c r="K952" s="4"/>
      <c r="P952" s="5"/>
      <c r="Q952" s="24"/>
    </row>
    <row r="953" ht="14.25" customHeight="1">
      <c r="A953" s="1">
        <v>112.0</v>
      </c>
      <c r="B953" s="1">
        <v>7.2</v>
      </c>
      <c r="K953" s="4"/>
      <c r="P953" s="5"/>
      <c r="Q953" s="24"/>
    </row>
    <row r="954" ht="14.25" customHeight="1">
      <c r="A954" s="1">
        <v>110.0</v>
      </c>
      <c r="B954" s="1">
        <v>7.2</v>
      </c>
      <c r="K954" s="4"/>
      <c r="P954" s="5"/>
      <c r="Q954" s="24"/>
    </row>
    <row r="955" ht="14.25" customHeight="1">
      <c r="A955" s="1">
        <v>110.0</v>
      </c>
      <c r="B955" s="1">
        <v>7.2</v>
      </c>
      <c r="K955" s="4"/>
      <c r="P955" s="5"/>
      <c r="Q955" s="24"/>
    </row>
    <row r="956" ht="14.25" customHeight="1">
      <c r="A956" s="1">
        <v>110.0</v>
      </c>
      <c r="B956" s="1">
        <v>7.2</v>
      </c>
      <c r="K956" s="4"/>
      <c r="P956" s="5"/>
      <c r="Q956" s="24"/>
    </row>
    <row r="957" ht="14.25" customHeight="1">
      <c r="A957" s="1">
        <v>110.0</v>
      </c>
      <c r="B957" s="1">
        <v>7.2</v>
      </c>
      <c r="K957" s="4"/>
      <c r="P957" s="5"/>
      <c r="Q957" s="24"/>
    </row>
    <row r="958" ht="14.25" customHeight="1">
      <c r="A958" s="1">
        <v>110.0</v>
      </c>
      <c r="B958" s="1">
        <v>7.2</v>
      </c>
      <c r="K958" s="4"/>
      <c r="P958" s="5"/>
      <c r="Q958" s="24"/>
    </row>
    <row r="959" ht="14.25" customHeight="1">
      <c r="A959" s="1">
        <v>110.0</v>
      </c>
      <c r="B959" s="1">
        <v>7.2</v>
      </c>
      <c r="K959" s="4"/>
      <c r="P959" s="5"/>
      <c r="Q959" s="24"/>
    </row>
    <row r="960" ht="14.25" customHeight="1">
      <c r="A960" s="1">
        <v>109.0</v>
      </c>
      <c r="B960" s="1">
        <v>7.2</v>
      </c>
      <c r="K960" s="4"/>
      <c r="P960" s="5"/>
      <c r="Q960" s="24"/>
    </row>
    <row r="961" ht="14.25" customHeight="1">
      <c r="A961" s="1">
        <v>109.0</v>
      </c>
      <c r="B961" s="1">
        <v>7.2</v>
      </c>
      <c r="K961" s="4"/>
      <c r="P961" s="5"/>
      <c r="Q961" s="24"/>
    </row>
    <row r="962" ht="14.25" customHeight="1">
      <c r="A962" s="1">
        <v>107.0</v>
      </c>
      <c r="B962" s="1">
        <v>7.2</v>
      </c>
      <c r="K962" s="4"/>
      <c r="P962" s="5"/>
      <c r="Q962" s="24"/>
    </row>
    <row r="963" ht="14.25" customHeight="1">
      <c r="A963" s="1">
        <v>107.0</v>
      </c>
      <c r="B963" s="1">
        <v>7.2</v>
      </c>
      <c r="K963" s="4"/>
      <c r="P963" s="5"/>
      <c r="Q963" s="24"/>
    </row>
    <row r="964" ht="14.25" customHeight="1">
      <c r="A964" s="1">
        <v>107.0</v>
      </c>
      <c r="B964" s="1">
        <v>7.2</v>
      </c>
      <c r="K964" s="4"/>
      <c r="P964" s="5"/>
      <c r="Q964" s="24"/>
    </row>
    <row r="965" ht="14.25" customHeight="1">
      <c r="A965" s="1">
        <v>106.0</v>
      </c>
      <c r="B965" s="1">
        <v>7.2</v>
      </c>
      <c r="K965" s="4"/>
      <c r="P965" s="5"/>
      <c r="Q965" s="24"/>
    </row>
    <row r="966" ht="14.25" customHeight="1">
      <c r="A966" s="1">
        <v>106.0</v>
      </c>
      <c r="B966" s="1">
        <v>7.2</v>
      </c>
      <c r="K966" s="4"/>
      <c r="P966" s="5"/>
      <c r="Q966" s="24"/>
    </row>
    <row r="967" ht="14.25" customHeight="1">
      <c r="A967" s="1">
        <v>106.0</v>
      </c>
      <c r="B967" s="1">
        <v>7.2</v>
      </c>
      <c r="K967" s="4"/>
      <c r="P967" s="5"/>
      <c r="Q967" s="24"/>
    </row>
    <row r="968" ht="14.25" customHeight="1">
      <c r="A968" s="1">
        <v>106.0</v>
      </c>
      <c r="B968" s="1">
        <v>7.2</v>
      </c>
      <c r="K968" s="4"/>
      <c r="P968" s="5"/>
      <c r="Q968" s="24"/>
    </row>
    <row r="969" ht="14.25" customHeight="1">
      <c r="A969" s="1">
        <v>105.0</v>
      </c>
      <c r="B969" s="1">
        <v>7.2</v>
      </c>
      <c r="K969" s="4"/>
      <c r="P969" s="5"/>
      <c r="Q969" s="24"/>
    </row>
    <row r="970" ht="14.25" customHeight="1">
      <c r="A970" s="1">
        <v>105.0</v>
      </c>
      <c r="B970" s="1">
        <v>7.2</v>
      </c>
      <c r="K970" s="4"/>
      <c r="P970" s="5"/>
      <c r="Q970" s="24"/>
    </row>
    <row r="971" ht="14.25" customHeight="1">
      <c r="A971" s="1">
        <v>105.0</v>
      </c>
      <c r="B971" s="1">
        <v>7.2</v>
      </c>
      <c r="K971" s="4"/>
      <c r="P971" s="5"/>
      <c r="Q971" s="24"/>
    </row>
    <row r="972" ht="14.25" customHeight="1">
      <c r="A972" s="1">
        <v>105.0</v>
      </c>
      <c r="B972" s="1">
        <v>7.2</v>
      </c>
      <c r="K972" s="4"/>
      <c r="P972" s="5"/>
      <c r="Q972" s="24"/>
    </row>
    <row r="973" ht="14.25" customHeight="1">
      <c r="A973" s="1">
        <v>105.0</v>
      </c>
      <c r="B973" s="1">
        <v>7.2</v>
      </c>
      <c r="K973" s="4"/>
      <c r="P973" s="5"/>
      <c r="Q973" s="24"/>
    </row>
    <row r="974" ht="14.25" customHeight="1">
      <c r="A974" s="1">
        <v>104.0</v>
      </c>
      <c r="B974" s="1">
        <v>7.2</v>
      </c>
      <c r="K974" s="4"/>
      <c r="P974" s="5"/>
      <c r="Q974" s="24"/>
    </row>
    <row r="975" ht="14.25" customHeight="1">
      <c r="A975" s="1">
        <v>104.0</v>
      </c>
      <c r="B975" s="1">
        <v>7.2</v>
      </c>
      <c r="K975" s="4"/>
      <c r="P975" s="5"/>
      <c r="Q975" s="24"/>
    </row>
    <row r="976" ht="14.25" customHeight="1">
      <c r="A976" s="1">
        <v>104.0</v>
      </c>
      <c r="B976" s="1">
        <v>7.2</v>
      </c>
      <c r="K976" s="4"/>
      <c r="P976" s="5"/>
      <c r="Q976" s="24"/>
    </row>
    <row r="977" ht="14.25" customHeight="1">
      <c r="A977" s="1">
        <v>103.0</v>
      </c>
      <c r="B977" s="1">
        <v>7.2</v>
      </c>
      <c r="K977" s="4"/>
      <c r="P977" s="5"/>
      <c r="Q977" s="24"/>
    </row>
    <row r="978" ht="14.25" customHeight="1">
      <c r="A978" s="1">
        <v>103.0</v>
      </c>
      <c r="B978" s="1">
        <v>7.2</v>
      </c>
      <c r="K978" s="4"/>
      <c r="P978" s="5"/>
      <c r="Q978" s="24"/>
    </row>
    <row r="979" ht="14.25" customHeight="1">
      <c r="A979" s="1">
        <v>103.0</v>
      </c>
      <c r="B979" s="1">
        <v>7.2</v>
      </c>
      <c r="K979" s="4"/>
      <c r="P979" s="5"/>
      <c r="Q979" s="24"/>
    </row>
    <row r="980" ht="14.25" customHeight="1">
      <c r="A980" s="1">
        <v>103.0</v>
      </c>
      <c r="B980" s="1">
        <v>7.2</v>
      </c>
      <c r="K980" s="4"/>
      <c r="P980" s="5"/>
      <c r="Q980" s="24"/>
    </row>
    <row r="981" ht="14.25" customHeight="1">
      <c r="A981" s="1">
        <v>102.0</v>
      </c>
      <c r="B981" s="1">
        <v>7.2</v>
      </c>
      <c r="K981" s="4"/>
      <c r="P981" s="5"/>
      <c r="Q981" s="24"/>
    </row>
    <row r="982" ht="14.25" customHeight="1">
      <c r="A982" s="1">
        <v>101.0</v>
      </c>
      <c r="B982" s="1">
        <v>7.2</v>
      </c>
      <c r="K982" s="4"/>
      <c r="P982" s="5"/>
      <c r="Q982" s="24"/>
    </row>
    <row r="983" ht="14.25" customHeight="1">
      <c r="A983" s="1">
        <v>100.0</v>
      </c>
      <c r="B983" s="1">
        <v>7.2</v>
      </c>
      <c r="K983" s="4"/>
      <c r="P983" s="5"/>
      <c r="Q983" s="24"/>
    </row>
    <row r="984" ht="14.25" customHeight="1">
      <c r="A984" s="1">
        <v>100.0</v>
      </c>
      <c r="B984" s="1">
        <v>7.2</v>
      </c>
      <c r="K984" s="4"/>
      <c r="P984" s="5"/>
      <c r="Q984" s="24"/>
    </row>
    <row r="985" ht="14.25" customHeight="1">
      <c r="A985" s="1">
        <v>100.0</v>
      </c>
      <c r="B985" s="1">
        <v>7.2</v>
      </c>
      <c r="K985" s="4"/>
      <c r="P985" s="5"/>
      <c r="Q985" s="24"/>
    </row>
    <row r="986" ht="14.25" customHeight="1">
      <c r="A986" s="1">
        <v>100.0</v>
      </c>
      <c r="B986" s="1">
        <v>7.2</v>
      </c>
      <c r="K986" s="4"/>
      <c r="P986" s="5"/>
      <c r="Q986" s="24"/>
    </row>
    <row r="987" ht="14.25" customHeight="1">
      <c r="A987" s="1">
        <v>100.0</v>
      </c>
      <c r="B987" s="1">
        <v>7.2</v>
      </c>
      <c r="K987" s="4"/>
      <c r="P987" s="5"/>
      <c r="Q987" s="24"/>
    </row>
    <row r="988" ht="14.25" customHeight="1">
      <c r="A988" s="1">
        <v>100.0</v>
      </c>
      <c r="B988" s="1">
        <v>7.2</v>
      </c>
      <c r="K988" s="4"/>
      <c r="P988" s="5"/>
      <c r="Q988" s="24"/>
    </row>
    <row r="989" ht="14.25" customHeight="1">
      <c r="A989" s="1">
        <v>99.0</v>
      </c>
      <c r="B989" s="1">
        <v>7.2</v>
      </c>
      <c r="K989" s="4"/>
      <c r="P989" s="5"/>
      <c r="Q989" s="24"/>
    </row>
    <row r="990" ht="14.25" customHeight="1">
      <c r="A990" s="1">
        <v>99.0</v>
      </c>
      <c r="B990" s="1">
        <v>7.2</v>
      </c>
      <c r="K990" s="4"/>
      <c r="P990" s="5"/>
      <c r="Q990" s="24"/>
    </row>
    <row r="991" ht="14.25" customHeight="1">
      <c r="A991" s="1">
        <v>98.0</v>
      </c>
      <c r="B991" s="1">
        <v>7.2</v>
      </c>
      <c r="K991" s="4"/>
      <c r="P991" s="5"/>
      <c r="Q991" s="24"/>
    </row>
    <row r="992" ht="14.25" customHeight="1">
      <c r="A992" s="1">
        <v>98.0</v>
      </c>
      <c r="B992" s="1">
        <v>7.2</v>
      </c>
      <c r="K992" s="4"/>
      <c r="P992" s="5"/>
      <c r="Q992" s="24"/>
    </row>
    <row r="993" ht="14.25" customHeight="1">
      <c r="A993" s="1">
        <v>98.0</v>
      </c>
      <c r="B993" s="1">
        <v>7.2</v>
      </c>
      <c r="K993" s="4"/>
      <c r="P993" s="5"/>
      <c r="Q993" s="24"/>
    </row>
    <row r="994" ht="14.25" customHeight="1">
      <c r="A994" s="1">
        <v>98.0</v>
      </c>
      <c r="B994" s="1">
        <v>7.2</v>
      </c>
      <c r="K994" s="4"/>
      <c r="P994" s="5"/>
      <c r="Q994" s="24"/>
    </row>
    <row r="995" ht="14.25" customHeight="1">
      <c r="A995" s="1">
        <v>98.0</v>
      </c>
      <c r="B995" s="1">
        <v>7.2</v>
      </c>
      <c r="K995" s="4"/>
      <c r="P995" s="5"/>
      <c r="Q995" s="24"/>
    </row>
    <row r="996" ht="14.25" customHeight="1">
      <c r="A996" s="1">
        <v>97.0</v>
      </c>
      <c r="B996" s="1">
        <v>7.2</v>
      </c>
      <c r="K996" s="4"/>
      <c r="P996" s="5"/>
      <c r="Q996" s="24"/>
    </row>
    <row r="997" ht="14.25" customHeight="1">
      <c r="A997" s="1">
        <v>97.0</v>
      </c>
      <c r="B997" s="1">
        <v>7.2</v>
      </c>
      <c r="K997" s="4"/>
      <c r="P997" s="5"/>
      <c r="Q997" s="24"/>
    </row>
    <row r="998" ht="14.25" customHeight="1">
      <c r="A998" s="1">
        <v>97.0</v>
      </c>
      <c r="B998" s="1">
        <v>7.2</v>
      </c>
      <c r="K998" s="4"/>
      <c r="P998" s="5"/>
      <c r="Q998" s="24"/>
    </row>
    <row r="999" ht="14.25" customHeight="1">
      <c r="A999" s="1">
        <v>97.0</v>
      </c>
      <c r="B999" s="1">
        <v>7.2</v>
      </c>
      <c r="K999" s="4"/>
      <c r="P999" s="5"/>
      <c r="Q999" s="24"/>
    </row>
    <row r="1000" ht="14.25" customHeight="1">
      <c r="A1000" s="1">
        <v>96.0</v>
      </c>
      <c r="B1000" s="1">
        <v>7.2</v>
      </c>
      <c r="K1000" s="4"/>
      <c r="P1000" s="5"/>
      <c r="Q1000" s="24"/>
    </row>
    <row r="1001" ht="14.25" customHeight="1">
      <c r="A1001" s="1">
        <v>96.0</v>
      </c>
      <c r="B1001" s="1">
        <v>7.2</v>
      </c>
      <c r="K1001" s="4"/>
      <c r="P1001" s="5"/>
      <c r="Q1001" s="24"/>
    </row>
    <row r="1002" ht="14.25" customHeight="1">
      <c r="A1002" s="1">
        <v>95.0</v>
      </c>
      <c r="B1002" s="1">
        <v>7.2</v>
      </c>
      <c r="K1002" s="4"/>
      <c r="P1002" s="5"/>
      <c r="Q1002" s="24"/>
    </row>
    <row r="1003" ht="14.25" customHeight="1">
      <c r="A1003" s="1">
        <v>95.0</v>
      </c>
      <c r="B1003" s="1">
        <v>7.2</v>
      </c>
      <c r="K1003" s="4"/>
      <c r="P1003" s="5"/>
      <c r="Q1003" s="24"/>
    </row>
    <row r="1004" ht="14.25" customHeight="1">
      <c r="A1004" s="1">
        <v>95.0</v>
      </c>
      <c r="B1004" s="1">
        <v>7.2</v>
      </c>
      <c r="K1004" s="4"/>
      <c r="P1004" s="5"/>
      <c r="Q1004" s="24"/>
    </row>
    <row r="1005" ht="14.25" customHeight="1">
      <c r="A1005" s="1">
        <v>95.0</v>
      </c>
      <c r="B1005" s="1">
        <v>7.2</v>
      </c>
      <c r="K1005" s="4"/>
      <c r="P1005" s="5"/>
      <c r="Q1005" s="24"/>
    </row>
    <row r="1006" ht="14.25" customHeight="1">
      <c r="A1006" s="1">
        <v>95.0</v>
      </c>
      <c r="B1006" s="1">
        <v>7.2</v>
      </c>
      <c r="K1006" s="4"/>
      <c r="P1006" s="5"/>
      <c r="Q1006" s="24"/>
    </row>
    <row r="1007" ht="14.25" customHeight="1">
      <c r="A1007" s="1">
        <v>95.0</v>
      </c>
      <c r="B1007" s="1">
        <v>7.2</v>
      </c>
      <c r="K1007" s="4"/>
      <c r="P1007" s="5"/>
      <c r="Q1007" s="24"/>
    </row>
    <row r="1008" ht="14.25" customHeight="1">
      <c r="A1008" s="1">
        <v>93.0</v>
      </c>
      <c r="B1008" s="1">
        <v>7.2</v>
      </c>
      <c r="K1008" s="4"/>
      <c r="P1008" s="5"/>
      <c r="Q1008" s="24"/>
    </row>
    <row r="1009" ht="14.25" customHeight="1">
      <c r="A1009" s="1">
        <v>93.0</v>
      </c>
      <c r="B1009" s="1">
        <v>7.2</v>
      </c>
      <c r="K1009" s="4"/>
      <c r="P1009" s="5"/>
      <c r="Q1009" s="24"/>
    </row>
    <row r="1010" ht="14.25" customHeight="1">
      <c r="A1010" s="1">
        <v>93.0</v>
      </c>
      <c r="B1010" s="1">
        <v>7.2</v>
      </c>
      <c r="K1010" s="4"/>
      <c r="P1010" s="5"/>
      <c r="Q1010" s="24"/>
    </row>
    <row r="1011" ht="14.25" customHeight="1">
      <c r="A1011" s="1">
        <v>92.0</v>
      </c>
      <c r="B1011" s="1">
        <v>7.2</v>
      </c>
      <c r="K1011" s="4"/>
      <c r="P1011" s="5"/>
      <c r="Q1011" s="24"/>
    </row>
    <row r="1012" ht="14.25" customHeight="1">
      <c r="A1012" s="1">
        <v>91.0</v>
      </c>
      <c r="B1012" s="1">
        <v>7.2</v>
      </c>
      <c r="K1012" s="4"/>
      <c r="P1012" s="5"/>
      <c r="Q1012" s="24"/>
    </row>
    <row r="1013" ht="14.25" customHeight="1">
      <c r="A1013" s="1">
        <v>90.0</v>
      </c>
      <c r="B1013" s="1">
        <v>7.2</v>
      </c>
      <c r="K1013" s="4"/>
      <c r="P1013" s="5"/>
      <c r="Q1013" s="24"/>
    </row>
    <row r="1014" ht="14.25" customHeight="1">
      <c r="A1014" s="1">
        <v>89.0</v>
      </c>
      <c r="B1014" s="1">
        <v>7.2</v>
      </c>
      <c r="K1014" s="4"/>
      <c r="P1014" s="5"/>
      <c r="Q1014" s="24"/>
    </row>
    <row r="1015" ht="14.25" customHeight="1">
      <c r="A1015" s="1">
        <v>89.0</v>
      </c>
      <c r="B1015" s="1">
        <v>7.2</v>
      </c>
      <c r="K1015" s="4"/>
      <c r="P1015" s="5"/>
      <c r="Q1015" s="24"/>
    </row>
    <row r="1016" ht="14.25" customHeight="1">
      <c r="A1016" s="1">
        <v>88.0</v>
      </c>
      <c r="B1016" s="1">
        <v>7.2</v>
      </c>
      <c r="K1016" s="4"/>
      <c r="P1016" s="5"/>
      <c r="Q1016" s="24"/>
    </row>
    <row r="1017" ht="14.25" customHeight="1">
      <c r="A1017" s="1">
        <v>88.0</v>
      </c>
      <c r="B1017" s="1">
        <v>7.2</v>
      </c>
      <c r="K1017" s="4"/>
      <c r="P1017" s="5"/>
      <c r="Q1017" s="24"/>
    </row>
    <row r="1018" ht="14.25" customHeight="1">
      <c r="A1018" s="1">
        <v>88.0</v>
      </c>
      <c r="B1018" s="1">
        <v>7.2</v>
      </c>
      <c r="K1018" s="4"/>
      <c r="P1018" s="5"/>
      <c r="Q1018" s="24"/>
    </row>
    <row r="1019" ht="14.25" customHeight="1">
      <c r="A1019" s="1">
        <v>88.0</v>
      </c>
      <c r="B1019" s="1">
        <v>7.2</v>
      </c>
      <c r="K1019" s="4"/>
      <c r="P1019" s="5"/>
      <c r="Q1019" s="24"/>
    </row>
    <row r="1020" ht="14.25" customHeight="1">
      <c r="A1020" s="1">
        <v>85.0</v>
      </c>
      <c r="B1020" s="1">
        <v>7.2</v>
      </c>
      <c r="K1020" s="4"/>
      <c r="P1020" s="5"/>
      <c r="Q1020" s="24"/>
    </row>
    <row r="1021" ht="14.25" customHeight="1">
      <c r="A1021" s="1">
        <v>85.0</v>
      </c>
      <c r="B1021" s="1">
        <v>7.2</v>
      </c>
      <c r="K1021" s="4"/>
      <c r="P1021" s="5"/>
      <c r="Q1021" s="24"/>
    </row>
    <row r="1022" ht="14.25" customHeight="1">
      <c r="A1022" s="1">
        <v>84.0</v>
      </c>
      <c r="B1022" s="1">
        <v>7.2</v>
      </c>
      <c r="K1022" s="4"/>
      <c r="P1022" s="5"/>
      <c r="Q1022" s="24"/>
    </row>
    <row r="1023" ht="14.25" customHeight="1">
      <c r="A1023" s="1">
        <v>84.0</v>
      </c>
      <c r="B1023" s="1">
        <v>7.2</v>
      </c>
      <c r="K1023" s="4"/>
      <c r="P1023" s="5"/>
      <c r="Q1023" s="24"/>
    </row>
    <row r="1024" ht="14.25" customHeight="1">
      <c r="A1024" s="1">
        <v>80.0</v>
      </c>
      <c r="B1024" s="1">
        <v>7.2</v>
      </c>
      <c r="K1024" s="4"/>
      <c r="P1024" s="5"/>
      <c r="Q1024" s="24"/>
    </row>
    <row r="1025" ht="14.25" customHeight="1">
      <c r="A1025" s="1">
        <v>66.0</v>
      </c>
      <c r="B1025" s="1">
        <v>7.2</v>
      </c>
      <c r="K1025" s="4"/>
      <c r="P1025" s="5"/>
      <c r="Q1025" s="24"/>
    </row>
    <row r="1026" ht="14.25" customHeight="1">
      <c r="A1026" s="1">
        <v>212.0</v>
      </c>
      <c r="B1026" s="1">
        <v>7.1</v>
      </c>
      <c r="K1026" s="4"/>
      <c r="P1026" s="5"/>
      <c r="Q1026" s="24"/>
    </row>
    <row r="1027" ht="14.25" customHeight="1">
      <c r="A1027" s="1">
        <v>178.0</v>
      </c>
      <c r="B1027" s="1">
        <v>7.1</v>
      </c>
      <c r="K1027" s="4"/>
      <c r="P1027" s="5"/>
      <c r="Q1027" s="24"/>
    </row>
    <row r="1028" ht="14.25" customHeight="1">
      <c r="A1028" s="1">
        <v>169.0</v>
      </c>
      <c r="B1028" s="1">
        <v>7.1</v>
      </c>
      <c r="K1028" s="4"/>
      <c r="P1028" s="5"/>
      <c r="Q1028" s="24"/>
    </row>
    <row r="1029" ht="14.25" customHeight="1">
      <c r="A1029" s="1">
        <v>146.0</v>
      </c>
      <c r="B1029" s="1">
        <v>7.1</v>
      </c>
      <c r="K1029" s="4"/>
      <c r="P1029" s="5"/>
      <c r="Q1029" s="24"/>
    </row>
    <row r="1030" ht="14.25" customHeight="1">
      <c r="A1030" s="1">
        <v>144.0</v>
      </c>
      <c r="B1030" s="1">
        <v>7.1</v>
      </c>
      <c r="K1030" s="4"/>
      <c r="P1030" s="5"/>
      <c r="Q1030" s="24"/>
    </row>
    <row r="1031" ht="14.25" customHeight="1">
      <c r="A1031" s="1">
        <v>144.0</v>
      </c>
      <c r="B1031" s="1">
        <v>7.1</v>
      </c>
      <c r="K1031" s="4"/>
      <c r="P1031" s="5"/>
      <c r="Q1031" s="24"/>
    </row>
    <row r="1032" ht="14.25" customHeight="1">
      <c r="A1032" s="1">
        <v>142.0</v>
      </c>
      <c r="B1032" s="1">
        <v>7.1</v>
      </c>
      <c r="K1032" s="4"/>
      <c r="P1032" s="5"/>
      <c r="Q1032" s="24"/>
    </row>
    <row r="1033" ht="14.25" customHeight="1">
      <c r="A1033" s="1">
        <v>141.0</v>
      </c>
      <c r="B1033" s="1">
        <v>7.1</v>
      </c>
      <c r="K1033" s="4"/>
      <c r="P1033" s="5"/>
      <c r="Q1033" s="24"/>
    </row>
    <row r="1034" ht="14.25" customHeight="1">
      <c r="A1034" s="1">
        <v>135.0</v>
      </c>
      <c r="B1034" s="1">
        <v>7.1</v>
      </c>
      <c r="K1034" s="4"/>
      <c r="P1034" s="5"/>
      <c r="Q1034" s="24"/>
    </row>
    <row r="1035" ht="14.25" customHeight="1">
      <c r="A1035" s="1">
        <v>135.0</v>
      </c>
      <c r="B1035" s="1">
        <v>7.1</v>
      </c>
      <c r="K1035" s="4"/>
      <c r="P1035" s="5"/>
      <c r="Q1035" s="24"/>
    </row>
    <row r="1036" ht="14.25" customHeight="1">
      <c r="A1036" s="1">
        <v>135.0</v>
      </c>
      <c r="B1036" s="1">
        <v>7.1</v>
      </c>
      <c r="K1036" s="4"/>
      <c r="P1036" s="5"/>
      <c r="Q1036" s="24"/>
    </row>
    <row r="1037" ht="14.25" customHeight="1">
      <c r="A1037" s="1">
        <v>134.0</v>
      </c>
      <c r="B1037" s="1">
        <v>7.1</v>
      </c>
      <c r="K1037" s="4"/>
      <c r="P1037" s="5"/>
      <c r="Q1037" s="24"/>
    </row>
    <row r="1038" ht="14.25" customHeight="1">
      <c r="A1038" s="1">
        <v>134.0</v>
      </c>
      <c r="B1038" s="1">
        <v>7.1</v>
      </c>
      <c r="K1038" s="4"/>
      <c r="P1038" s="5"/>
      <c r="Q1038" s="24"/>
    </row>
    <row r="1039" ht="14.25" customHeight="1">
      <c r="A1039" s="1">
        <v>133.0</v>
      </c>
      <c r="B1039" s="1">
        <v>7.1</v>
      </c>
      <c r="K1039" s="4"/>
      <c r="P1039" s="5"/>
      <c r="Q1039" s="24"/>
    </row>
    <row r="1040" ht="14.25" customHeight="1">
      <c r="A1040" s="1">
        <v>133.0</v>
      </c>
      <c r="B1040" s="1">
        <v>7.1</v>
      </c>
      <c r="K1040" s="4"/>
      <c r="P1040" s="5"/>
      <c r="Q1040" s="24"/>
    </row>
    <row r="1041" ht="14.25" customHeight="1">
      <c r="A1041" s="1">
        <v>131.0</v>
      </c>
      <c r="B1041" s="1">
        <v>7.1</v>
      </c>
      <c r="K1041" s="4"/>
      <c r="P1041" s="5"/>
      <c r="Q1041" s="24"/>
    </row>
    <row r="1042" ht="14.25" customHeight="1">
      <c r="A1042" s="1">
        <v>131.0</v>
      </c>
      <c r="B1042" s="1">
        <v>7.1</v>
      </c>
      <c r="K1042" s="4"/>
      <c r="P1042" s="5"/>
      <c r="Q1042" s="24"/>
    </row>
    <row r="1043" ht="14.25" customHeight="1">
      <c r="A1043" s="1">
        <v>130.0</v>
      </c>
      <c r="B1043" s="1">
        <v>7.1</v>
      </c>
      <c r="K1043" s="4"/>
      <c r="P1043" s="5"/>
      <c r="Q1043" s="24"/>
    </row>
    <row r="1044" ht="14.25" customHeight="1">
      <c r="A1044" s="1">
        <v>128.0</v>
      </c>
      <c r="B1044" s="1">
        <v>7.1</v>
      </c>
      <c r="K1044" s="4"/>
      <c r="P1044" s="5"/>
      <c r="Q1044" s="24"/>
    </row>
    <row r="1045" ht="14.25" customHeight="1">
      <c r="A1045" s="1">
        <v>128.0</v>
      </c>
      <c r="B1045" s="1">
        <v>7.1</v>
      </c>
      <c r="K1045" s="4"/>
      <c r="P1045" s="5"/>
      <c r="Q1045" s="24"/>
    </row>
    <row r="1046" ht="14.25" customHeight="1">
      <c r="A1046" s="1">
        <v>127.0</v>
      </c>
      <c r="B1046" s="1">
        <v>7.1</v>
      </c>
      <c r="K1046" s="4"/>
      <c r="P1046" s="5"/>
      <c r="Q1046" s="24"/>
    </row>
    <row r="1047" ht="14.25" customHeight="1">
      <c r="A1047" s="1">
        <v>127.0</v>
      </c>
      <c r="B1047" s="1">
        <v>7.1</v>
      </c>
      <c r="K1047" s="4"/>
      <c r="P1047" s="5"/>
      <c r="Q1047" s="24"/>
    </row>
    <row r="1048" ht="14.25" customHeight="1">
      <c r="A1048" s="1">
        <v>126.0</v>
      </c>
      <c r="B1048" s="1">
        <v>7.1</v>
      </c>
      <c r="K1048" s="4"/>
      <c r="P1048" s="5"/>
      <c r="Q1048" s="24"/>
    </row>
    <row r="1049" ht="14.25" customHeight="1">
      <c r="A1049" s="1">
        <v>126.0</v>
      </c>
      <c r="B1049" s="1">
        <v>7.1</v>
      </c>
      <c r="K1049" s="4"/>
      <c r="P1049" s="5"/>
      <c r="Q1049" s="24"/>
    </row>
    <row r="1050" ht="14.25" customHeight="1">
      <c r="A1050" s="1">
        <v>125.0</v>
      </c>
      <c r="B1050" s="1">
        <v>7.1</v>
      </c>
      <c r="K1050" s="4"/>
      <c r="P1050" s="5"/>
      <c r="Q1050" s="24"/>
    </row>
    <row r="1051" ht="14.25" customHeight="1">
      <c r="A1051" s="1">
        <v>125.0</v>
      </c>
      <c r="B1051" s="1">
        <v>7.1</v>
      </c>
      <c r="K1051" s="4"/>
      <c r="P1051" s="5"/>
      <c r="Q1051" s="24"/>
    </row>
    <row r="1052" ht="14.25" customHeight="1">
      <c r="A1052" s="1">
        <v>125.0</v>
      </c>
      <c r="B1052" s="1">
        <v>7.1</v>
      </c>
      <c r="K1052" s="4"/>
      <c r="P1052" s="5"/>
      <c r="Q1052" s="24"/>
    </row>
    <row r="1053" ht="14.25" customHeight="1">
      <c r="A1053" s="1">
        <v>124.0</v>
      </c>
      <c r="B1053" s="1">
        <v>7.1</v>
      </c>
      <c r="K1053" s="4"/>
      <c r="P1053" s="5"/>
      <c r="Q1053" s="24"/>
    </row>
    <row r="1054" ht="14.25" customHeight="1">
      <c r="A1054" s="1">
        <v>124.0</v>
      </c>
      <c r="B1054" s="1">
        <v>7.1</v>
      </c>
      <c r="K1054" s="4"/>
      <c r="P1054" s="5"/>
      <c r="Q1054" s="24"/>
    </row>
    <row r="1055" ht="14.25" customHeight="1">
      <c r="A1055" s="1">
        <v>123.0</v>
      </c>
      <c r="B1055" s="1">
        <v>7.1</v>
      </c>
      <c r="K1055" s="4"/>
      <c r="P1055" s="5"/>
      <c r="Q1055" s="24"/>
    </row>
    <row r="1056" ht="14.25" customHeight="1">
      <c r="A1056" s="1">
        <v>123.0</v>
      </c>
      <c r="B1056" s="1">
        <v>7.1</v>
      </c>
      <c r="K1056" s="4"/>
      <c r="P1056" s="5"/>
      <c r="Q1056" s="24"/>
    </row>
    <row r="1057" ht="14.25" customHeight="1">
      <c r="A1057" s="1">
        <v>123.0</v>
      </c>
      <c r="B1057" s="1">
        <v>7.1</v>
      </c>
      <c r="K1057" s="4"/>
      <c r="P1057" s="5"/>
      <c r="Q1057" s="24"/>
    </row>
    <row r="1058" ht="14.25" customHeight="1">
      <c r="A1058" s="1">
        <v>121.0</v>
      </c>
      <c r="B1058" s="1">
        <v>7.1</v>
      </c>
      <c r="K1058" s="4"/>
      <c r="P1058" s="5"/>
      <c r="Q1058" s="24"/>
    </row>
    <row r="1059" ht="14.25" customHeight="1">
      <c r="A1059" s="1">
        <v>121.0</v>
      </c>
      <c r="B1059" s="1">
        <v>7.1</v>
      </c>
      <c r="K1059" s="4"/>
      <c r="P1059" s="5"/>
      <c r="Q1059" s="24"/>
    </row>
    <row r="1060" ht="14.25" customHeight="1">
      <c r="A1060" s="1">
        <v>120.0</v>
      </c>
      <c r="B1060" s="1">
        <v>7.1</v>
      </c>
      <c r="K1060" s="4"/>
      <c r="P1060" s="5"/>
      <c r="Q1060" s="24"/>
    </row>
    <row r="1061" ht="14.25" customHeight="1">
      <c r="A1061" s="1">
        <v>120.0</v>
      </c>
      <c r="B1061" s="1">
        <v>7.1</v>
      </c>
      <c r="K1061" s="4"/>
      <c r="P1061" s="5"/>
      <c r="Q1061" s="24"/>
    </row>
    <row r="1062" ht="14.25" customHeight="1">
      <c r="A1062" s="1">
        <v>120.0</v>
      </c>
      <c r="B1062" s="1">
        <v>7.1</v>
      </c>
      <c r="K1062" s="4"/>
      <c r="P1062" s="5"/>
      <c r="Q1062" s="24"/>
    </row>
    <row r="1063" ht="14.25" customHeight="1">
      <c r="A1063" s="1">
        <v>120.0</v>
      </c>
      <c r="B1063" s="1">
        <v>7.1</v>
      </c>
      <c r="K1063" s="4"/>
      <c r="P1063" s="5"/>
      <c r="Q1063" s="24"/>
    </row>
    <row r="1064" ht="14.25" customHeight="1">
      <c r="A1064" s="1">
        <v>118.0</v>
      </c>
      <c r="B1064" s="1">
        <v>7.1</v>
      </c>
      <c r="K1064" s="4"/>
      <c r="P1064" s="5"/>
      <c r="Q1064" s="24"/>
    </row>
    <row r="1065" ht="14.25" customHeight="1">
      <c r="A1065" s="1">
        <v>118.0</v>
      </c>
      <c r="B1065" s="1">
        <v>7.1</v>
      </c>
      <c r="K1065" s="4"/>
      <c r="P1065" s="5"/>
      <c r="Q1065" s="24"/>
    </row>
    <row r="1066" ht="14.25" customHeight="1">
      <c r="A1066" s="1">
        <v>117.0</v>
      </c>
      <c r="B1066" s="1">
        <v>7.1</v>
      </c>
      <c r="K1066" s="4"/>
      <c r="P1066" s="5"/>
      <c r="Q1066" s="24"/>
    </row>
    <row r="1067" ht="14.25" customHeight="1">
      <c r="A1067" s="1">
        <v>117.0</v>
      </c>
      <c r="B1067" s="1">
        <v>7.1</v>
      </c>
      <c r="K1067" s="4"/>
      <c r="P1067" s="5"/>
      <c r="Q1067" s="24"/>
    </row>
    <row r="1068" ht="14.25" customHeight="1">
      <c r="A1068" s="1">
        <v>116.0</v>
      </c>
      <c r="B1068" s="1">
        <v>7.1</v>
      </c>
      <c r="K1068" s="4"/>
      <c r="P1068" s="5"/>
      <c r="Q1068" s="24"/>
    </row>
    <row r="1069" ht="14.25" customHeight="1">
      <c r="A1069" s="1">
        <v>115.0</v>
      </c>
      <c r="B1069" s="1">
        <v>7.1</v>
      </c>
      <c r="K1069" s="4"/>
      <c r="P1069" s="5"/>
      <c r="Q1069" s="24"/>
    </row>
    <row r="1070" ht="14.25" customHeight="1">
      <c r="A1070" s="1">
        <v>115.0</v>
      </c>
      <c r="B1070" s="1">
        <v>7.1</v>
      </c>
      <c r="K1070" s="4"/>
      <c r="P1070" s="5"/>
      <c r="Q1070" s="24"/>
    </row>
    <row r="1071" ht="14.25" customHeight="1">
      <c r="A1071" s="1">
        <v>115.0</v>
      </c>
      <c r="B1071" s="1">
        <v>7.1</v>
      </c>
      <c r="K1071" s="4"/>
      <c r="P1071" s="5"/>
      <c r="Q1071" s="24"/>
    </row>
    <row r="1072" ht="14.25" customHeight="1">
      <c r="A1072" s="1">
        <v>114.0</v>
      </c>
      <c r="B1072" s="1">
        <v>7.1</v>
      </c>
      <c r="K1072" s="4"/>
      <c r="P1072" s="5"/>
      <c r="Q1072" s="24"/>
    </row>
    <row r="1073" ht="14.25" customHeight="1">
      <c r="A1073" s="1">
        <v>114.0</v>
      </c>
      <c r="B1073" s="1">
        <v>7.1</v>
      </c>
      <c r="K1073" s="4"/>
      <c r="P1073" s="5"/>
      <c r="Q1073" s="24"/>
    </row>
    <row r="1074" ht="14.25" customHeight="1">
      <c r="A1074" s="1">
        <v>113.0</v>
      </c>
      <c r="B1074" s="1">
        <v>7.1</v>
      </c>
      <c r="K1074" s="4"/>
      <c r="P1074" s="5"/>
      <c r="Q1074" s="24"/>
    </row>
    <row r="1075" ht="14.25" customHeight="1">
      <c r="A1075" s="1">
        <v>113.0</v>
      </c>
      <c r="B1075" s="1">
        <v>7.1</v>
      </c>
      <c r="K1075" s="4"/>
      <c r="P1075" s="5"/>
      <c r="Q1075" s="24"/>
    </row>
    <row r="1076" ht="14.25" customHeight="1">
      <c r="A1076" s="1">
        <v>112.0</v>
      </c>
      <c r="B1076" s="1">
        <v>7.1</v>
      </c>
      <c r="K1076" s="4"/>
      <c r="P1076" s="5"/>
      <c r="Q1076" s="24"/>
    </row>
    <row r="1077" ht="14.25" customHeight="1">
      <c r="A1077" s="1">
        <v>112.0</v>
      </c>
      <c r="B1077" s="1">
        <v>7.1</v>
      </c>
      <c r="K1077" s="4"/>
      <c r="P1077" s="5"/>
      <c r="Q1077" s="24"/>
    </row>
    <row r="1078" ht="14.25" customHeight="1">
      <c r="A1078" s="1">
        <v>112.0</v>
      </c>
      <c r="B1078" s="1">
        <v>7.1</v>
      </c>
      <c r="K1078" s="4"/>
      <c r="P1078" s="5"/>
      <c r="Q1078" s="24"/>
    </row>
    <row r="1079" ht="14.25" customHeight="1">
      <c r="A1079" s="1">
        <v>112.0</v>
      </c>
      <c r="B1079" s="1">
        <v>7.1</v>
      </c>
      <c r="K1079" s="4"/>
      <c r="P1079" s="5"/>
      <c r="Q1079" s="24"/>
    </row>
    <row r="1080" ht="14.25" customHeight="1">
      <c r="A1080" s="1">
        <v>112.0</v>
      </c>
      <c r="B1080" s="1">
        <v>7.1</v>
      </c>
      <c r="K1080" s="4"/>
      <c r="P1080" s="5"/>
      <c r="Q1080" s="24"/>
    </row>
    <row r="1081" ht="14.25" customHeight="1">
      <c r="A1081" s="1">
        <v>111.0</v>
      </c>
      <c r="B1081" s="1">
        <v>7.1</v>
      </c>
      <c r="K1081" s="4"/>
      <c r="P1081" s="5"/>
      <c r="Q1081" s="24"/>
    </row>
    <row r="1082" ht="14.25" customHeight="1">
      <c r="A1082" s="1">
        <v>111.0</v>
      </c>
      <c r="B1082" s="1">
        <v>7.1</v>
      </c>
      <c r="K1082" s="4"/>
      <c r="P1082" s="5"/>
      <c r="Q1082" s="24"/>
    </row>
    <row r="1083" ht="14.25" customHeight="1">
      <c r="A1083" s="1">
        <v>111.0</v>
      </c>
      <c r="B1083" s="1">
        <v>7.1</v>
      </c>
      <c r="K1083" s="4"/>
      <c r="P1083" s="5"/>
      <c r="Q1083" s="24"/>
    </row>
    <row r="1084" ht="14.25" customHeight="1">
      <c r="A1084" s="1">
        <v>111.0</v>
      </c>
      <c r="B1084" s="1">
        <v>7.1</v>
      </c>
      <c r="K1084" s="4"/>
      <c r="P1084" s="5"/>
      <c r="Q1084" s="24"/>
    </row>
    <row r="1085" ht="14.25" customHeight="1">
      <c r="A1085" s="1">
        <v>110.0</v>
      </c>
      <c r="B1085" s="1">
        <v>7.1</v>
      </c>
      <c r="K1085" s="4"/>
      <c r="P1085" s="5"/>
      <c r="Q1085" s="24"/>
    </row>
    <row r="1086" ht="14.25" customHeight="1">
      <c r="A1086" s="1">
        <v>110.0</v>
      </c>
      <c r="B1086" s="1">
        <v>7.1</v>
      </c>
      <c r="K1086" s="4"/>
      <c r="P1086" s="5"/>
      <c r="Q1086" s="24"/>
    </row>
    <row r="1087" ht="14.25" customHeight="1">
      <c r="A1087" s="1">
        <v>110.0</v>
      </c>
      <c r="B1087" s="1">
        <v>7.1</v>
      </c>
      <c r="K1087" s="4"/>
      <c r="P1087" s="5"/>
      <c r="Q1087" s="24"/>
    </row>
    <row r="1088" ht="14.25" customHeight="1">
      <c r="A1088" s="1">
        <v>110.0</v>
      </c>
      <c r="B1088" s="1">
        <v>7.1</v>
      </c>
      <c r="K1088" s="4"/>
      <c r="P1088" s="5"/>
      <c r="Q1088" s="24"/>
    </row>
    <row r="1089" ht="14.25" customHeight="1">
      <c r="A1089" s="1">
        <v>109.0</v>
      </c>
      <c r="B1089" s="1">
        <v>7.1</v>
      </c>
      <c r="K1089" s="4"/>
      <c r="P1089" s="5"/>
      <c r="Q1089" s="24"/>
    </row>
    <row r="1090" ht="14.25" customHeight="1">
      <c r="A1090" s="1">
        <v>109.0</v>
      </c>
      <c r="B1090" s="1">
        <v>7.1</v>
      </c>
      <c r="K1090" s="4"/>
      <c r="P1090" s="5"/>
      <c r="Q1090" s="24"/>
    </row>
    <row r="1091" ht="14.25" customHeight="1">
      <c r="A1091" s="1">
        <v>108.0</v>
      </c>
      <c r="B1091" s="1">
        <v>7.1</v>
      </c>
      <c r="K1091" s="4"/>
      <c r="P1091" s="5"/>
      <c r="Q1091" s="24"/>
    </row>
    <row r="1092" ht="14.25" customHeight="1">
      <c r="A1092" s="1">
        <v>108.0</v>
      </c>
      <c r="B1092" s="1">
        <v>7.1</v>
      </c>
      <c r="K1092" s="4"/>
      <c r="P1092" s="5"/>
      <c r="Q1092" s="24"/>
    </row>
    <row r="1093" ht="14.25" customHeight="1">
      <c r="A1093" s="1">
        <v>108.0</v>
      </c>
      <c r="B1093" s="1">
        <v>7.1</v>
      </c>
      <c r="K1093" s="4"/>
      <c r="P1093" s="5"/>
      <c r="Q1093" s="24"/>
    </row>
    <row r="1094" ht="14.25" customHeight="1">
      <c r="A1094" s="1">
        <v>108.0</v>
      </c>
      <c r="B1094" s="1">
        <v>7.1</v>
      </c>
      <c r="K1094" s="4"/>
      <c r="P1094" s="5"/>
      <c r="Q1094" s="24"/>
    </row>
    <row r="1095" ht="14.25" customHeight="1">
      <c r="A1095" s="1">
        <v>107.0</v>
      </c>
      <c r="B1095" s="1">
        <v>7.1</v>
      </c>
      <c r="K1095" s="4"/>
      <c r="P1095" s="5"/>
      <c r="Q1095" s="24"/>
    </row>
    <row r="1096" ht="14.25" customHeight="1">
      <c r="A1096" s="1">
        <v>107.0</v>
      </c>
      <c r="B1096" s="1">
        <v>7.1</v>
      </c>
      <c r="K1096" s="4"/>
      <c r="P1096" s="5"/>
      <c r="Q1096" s="24"/>
    </row>
    <row r="1097" ht="14.25" customHeight="1">
      <c r="A1097" s="1">
        <v>107.0</v>
      </c>
      <c r="B1097" s="1">
        <v>7.1</v>
      </c>
      <c r="K1097" s="4"/>
      <c r="P1097" s="5"/>
      <c r="Q1097" s="24"/>
    </row>
    <row r="1098" ht="14.25" customHeight="1">
      <c r="A1098" s="1">
        <v>107.0</v>
      </c>
      <c r="B1098" s="1">
        <v>7.1</v>
      </c>
      <c r="K1098" s="4"/>
      <c r="P1098" s="5"/>
      <c r="Q1098" s="24"/>
    </row>
    <row r="1099" ht="14.25" customHeight="1">
      <c r="A1099" s="1">
        <v>107.0</v>
      </c>
      <c r="B1099" s="1">
        <v>7.1</v>
      </c>
      <c r="K1099" s="4"/>
      <c r="P1099" s="5"/>
      <c r="Q1099" s="24"/>
    </row>
    <row r="1100" ht="14.25" customHeight="1">
      <c r="A1100" s="1">
        <v>106.0</v>
      </c>
      <c r="B1100" s="1">
        <v>7.1</v>
      </c>
      <c r="K1100" s="4"/>
      <c r="P1100" s="5"/>
      <c r="Q1100" s="24"/>
    </row>
    <row r="1101" ht="14.25" customHeight="1">
      <c r="A1101" s="1">
        <v>106.0</v>
      </c>
      <c r="B1101" s="1">
        <v>7.1</v>
      </c>
      <c r="K1101" s="4"/>
      <c r="P1101" s="5"/>
      <c r="Q1101" s="24"/>
    </row>
    <row r="1102" ht="14.25" customHeight="1">
      <c r="A1102" s="1">
        <v>106.0</v>
      </c>
      <c r="B1102" s="1">
        <v>7.1</v>
      </c>
      <c r="K1102" s="4"/>
      <c r="P1102" s="5"/>
      <c r="Q1102" s="24"/>
    </row>
    <row r="1103" ht="14.25" customHeight="1">
      <c r="A1103" s="1">
        <v>106.0</v>
      </c>
      <c r="B1103" s="1">
        <v>7.1</v>
      </c>
      <c r="K1103" s="4"/>
      <c r="P1103" s="5"/>
      <c r="Q1103" s="24"/>
    </row>
    <row r="1104" ht="14.25" customHeight="1">
      <c r="A1104" s="1">
        <v>106.0</v>
      </c>
      <c r="B1104" s="1">
        <v>7.1</v>
      </c>
      <c r="K1104" s="4"/>
      <c r="P1104" s="5"/>
      <c r="Q1104" s="24"/>
    </row>
    <row r="1105" ht="14.25" customHeight="1">
      <c r="A1105" s="1">
        <v>106.0</v>
      </c>
      <c r="B1105" s="1">
        <v>7.1</v>
      </c>
      <c r="K1105" s="4"/>
      <c r="P1105" s="5"/>
      <c r="Q1105" s="24"/>
    </row>
    <row r="1106" ht="14.25" customHeight="1">
      <c r="A1106" s="1">
        <v>106.0</v>
      </c>
      <c r="B1106" s="1">
        <v>7.1</v>
      </c>
      <c r="K1106" s="4"/>
      <c r="P1106" s="5"/>
      <c r="Q1106" s="24"/>
    </row>
    <row r="1107" ht="14.25" customHeight="1">
      <c r="A1107" s="1">
        <v>105.0</v>
      </c>
      <c r="B1107" s="1">
        <v>7.1</v>
      </c>
      <c r="K1107" s="4"/>
      <c r="P1107" s="5"/>
      <c r="Q1107" s="24"/>
    </row>
    <row r="1108" ht="14.25" customHeight="1">
      <c r="A1108" s="1">
        <v>105.0</v>
      </c>
      <c r="B1108" s="1">
        <v>7.1</v>
      </c>
      <c r="K1108" s="4"/>
      <c r="P1108" s="5"/>
      <c r="Q1108" s="24"/>
    </row>
    <row r="1109" ht="14.25" customHeight="1">
      <c r="A1109" s="1">
        <v>105.0</v>
      </c>
      <c r="B1109" s="1">
        <v>7.1</v>
      </c>
      <c r="K1109" s="4"/>
      <c r="P1109" s="5"/>
      <c r="Q1109" s="24"/>
    </row>
    <row r="1110" ht="14.25" customHeight="1">
      <c r="A1110" s="1">
        <v>105.0</v>
      </c>
      <c r="B1110" s="1">
        <v>7.1</v>
      </c>
      <c r="K1110" s="4"/>
      <c r="P1110" s="5"/>
      <c r="Q1110" s="24"/>
    </row>
    <row r="1111" ht="14.25" customHeight="1">
      <c r="A1111" s="1">
        <v>104.0</v>
      </c>
      <c r="B1111" s="1">
        <v>7.1</v>
      </c>
      <c r="K1111" s="4"/>
      <c r="P1111" s="5"/>
      <c r="Q1111" s="24"/>
    </row>
    <row r="1112" ht="14.25" customHeight="1">
      <c r="A1112" s="1">
        <v>104.0</v>
      </c>
      <c r="B1112" s="1">
        <v>7.1</v>
      </c>
      <c r="K1112" s="4"/>
      <c r="P1112" s="5"/>
      <c r="Q1112" s="24"/>
    </row>
    <row r="1113" ht="14.25" customHeight="1">
      <c r="A1113" s="1">
        <v>104.0</v>
      </c>
      <c r="B1113" s="1">
        <v>7.1</v>
      </c>
      <c r="K1113" s="4"/>
      <c r="P1113" s="5"/>
      <c r="Q1113" s="24"/>
    </row>
    <row r="1114" ht="14.25" customHeight="1">
      <c r="A1114" s="1">
        <v>104.0</v>
      </c>
      <c r="B1114" s="1">
        <v>7.1</v>
      </c>
      <c r="K1114" s="4"/>
      <c r="P1114" s="5"/>
      <c r="Q1114" s="24"/>
    </row>
    <row r="1115" ht="14.25" customHeight="1">
      <c r="A1115" s="1">
        <v>104.0</v>
      </c>
      <c r="B1115" s="1">
        <v>7.1</v>
      </c>
      <c r="K1115" s="4"/>
      <c r="P1115" s="5"/>
      <c r="Q1115" s="24"/>
    </row>
    <row r="1116" ht="14.25" customHeight="1">
      <c r="A1116" s="1">
        <v>104.0</v>
      </c>
      <c r="B1116" s="1">
        <v>7.1</v>
      </c>
      <c r="K1116" s="4"/>
      <c r="P1116" s="5"/>
      <c r="Q1116" s="24"/>
    </row>
    <row r="1117" ht="14.25" customHeight="1">
      <c r="A1117" s="1">
        <v>104.0</v>
      </c>
      <c r="B1117" s="1">
        <v>7.1</v>
      </c>
      <c r="K1117" s="4"/>
      <c r="P1117" s="5"/>
      <c r="Q1117" s="24"/>
    </row>
    <row r="1118" ht="14.25" customHeight="1">
      <c r="A1118" s="1">
        <v>103.0</v>
      </c>
      <c r="B1118" s="1">
        <v>7.1</v>
      </c>
      <c r="K1118" s="4"/>
      <c r="P1118" s="5"/>
      <c r="Q1118" s="24"/>
    </row>
    <row r="1119" ht="14.25" customHeight="1">
      <c r="A1119" s="1">
        <v>103.0</v>
      </c>
      <c r="B1119" s="1">
        <v>7.1</v>
      </c>
      <c r="K1119" s="4"/>
      <c r="P1119" s="5"/>
      <c r="Q1119" s="24"/>
    </row>
    <row r="1120" ht="14.25" customHeight="1">
      <c r="A1120" s="1">
        <v>103.0</v>
      </c>
      <c r="B1120" s="1">
        <v>7.1</v>
      </c>
      <c r="K1120" s="4"/>
      <c r="P1120" s="5"/>
      <c r="Q1120" s="24"/>
    </row>
    <row r="1121" ht="14.25" customHeight="1">
      <c r="A1121" s="1">
        <v>102.0</v>
      </c>
      <c r="B1121" s="1">
        <v>7.1</v>
      </c>
      <c r="K1121" s="4"/>
      <c r="P1121" s="5"/>
      <c r="Q1121" s="24"/>
    </row>
    <row r="1122" ht="14.25" customHeight="1">
      <c r="A1122" s="1">
        <v>102.0</v>
      </c>
      <c r="B1122" s="1">
        <v>7.1</v>
      </c>
      <c r="K1122" s="4"/>
      <c r="P1122" s="5"/>
      <c r="Q1122" s="24"/>
    </row>
    <row r="1123" ht="14.25" customHeight="1">
      <c r="A1123" s="1">
        <v>102.0</v>
      </c>
      <c r="B1123" s="1">
        <v>7.1</v>
      </c>
      <c r="K1123" s="4"/>
      <c r="P1123" s="5"/>
      <c r="Q1123" s="24"/>
    </row>
    <row r="1124" ht="14.25" customHeight="1">
      <c r="A1124" s="1">
        <v>101.0</v>
      </c>
      <c r="B1124" s="1">
        <v>7.1</v>
      </c>
      <c r="K1124" s="4"/>
      <c r="P1124" s="5"/>
      <c r="Q1124" s="24"/>
    </row>
    <row r="1125" ht="14.25" customHeight="1">
      <c r="A1125" s="1">
        <v>101.0</v>
      </c>
      <c r="B1125" s="1">
        <v>7.1</v>
      </c>
      <c r="K1125" s="4"/>
      <c r="P1125" s="5"/>
      <c r="Q1125" s="24"/>
    </row>
    <row r="1126" ht="14.25" customHeight="1">
      <c r="A1126" s="1">
        <v>101.0</v>
      </c>
      <c r="B1126" s="1">
        <v>7.1</v>
      </c>
      <c r="K1126" s="4"/>
      <c r="P1126" s="5"/>
      <c r="Q1126" s="24"/>
    </row>
    <row r="1127" ht="14.25" customHeight="1">
      <c r="A1127" s="1">
        <v>101.0</v>
      </c>
      <c r="B1127" s="1">
        <v>7.1</v>
      </c>
      <c r="K1127" s="4"/>
      <c r="P1127" s="5"/>
      <c r="Q1127" s="24"/>
    </row>
    <row r="1128" ht="14.25" customHeight="1">
      <c r="A1128" s="1">
        <v>101.0</v>
      </c>
      <c r="B1128" s="1">
        <v>7.1</v>
      </c>
      <c r="K1128" s="4"/>
      <c r="P1128" s="5"/>
      <c r="Q1128" s="24"/>
    </row>
    <row r="1129" ht="14.25" customHeight="1">
      <c r="A1129" s="1">
        <v>100.0</v>
      </c>
      <c r="B1129" s="1">
        <v>7.1</v>
      </c>
      <c r="K1129" s="4"/>
      <c r="P1129" s="5"/>
      <c r="Q1129" s="24"/>
    </row>
    <row r="1130" ht="14.25" customHeight="1">
      <c r="A1130" s="1">
        <v>100.0</v>
      </c>
      <c r="B1130" s="1">
        <v>7.1</v>
      </c>
      <c r="K1130" s="4"/>
      <c r="P1130" s="5"/>
      <c r="Q1130" s="24"/>
    </row>
    <row r="1131" ht="14.25" customHeight="1">
      <c r="A1131" s="1">
        <v>100.0</v>
      </c>
      <c r="B1131" s="1">
        <v>7.1</v>
      </c>
      <c r="K1131" s="4"/>
      <c r="P1131" s="5"/>
      <c r="Q1131" s="24"/>
    </row>
    <row r="1132" ht="14.25" customHeight="1">
      <c r="A1132" s="1">
        <v>100.0</v>
      </c>
      <c r="B1132" s="1">
        <v>7.1</v>
      </c>
      <c r="K1132" s="4"/>
      <c r="P1132" s="5"/>
      <c r="Q1132" s="24"/>
    </row>
    <row r="1133" ht="14.25" customHeight="1">
      <c r="A1133" s="1">
        <v>99.0</v>
      </c>
      <c r="B1133" s="1">
        <v>7.1</v>
      </c>
      <c r="K1133" s="4"/>
      <c r="P1133" s="5"/>
      <c r="Q1133" s="24"/>
    </row>
    <row r="1134" ht="14.25" customHeight="1">
      <c r="A1134" s="1">
        <v>99.0</v>
      </c>
      <c r="B1134" s="1">
        <v>7.1</v>
      </c>
      <c r="K1134" s="4"/>
      <c r="P1134" s="5"/>
      <c r="Q1134" s="24"/>
    </row>
    <row r="1135" ht="14.25" customHeight="1">
      <c r="A1135" s="1">
        <v>98.0</v>
      </c>
      <c r="B1135" s="1">
        <v>7.1</v>
      </c>
      <c r="K1135" s="4"/>
      <c r="P1135" s="5"/>
      <c r="Q1135" s="24"/>
    </row>
    <row r="1136" ht="14.25" customHeight="1">
      <c r="A1136" s="1">
        <v>98.0</v>
      </c>
      <c r="B1136" s="1">
        <v>7.1</v>
      </c>
      <c r="K1136" s="4"/>
      <c r="P1136" s="5"/>
      <c r="Q1136" s="24"/>
    </row>
    <row r="1137" ht="14.25" customHeight="1">
      <c r="A1137" s="1">
        <v>97.0</v>
      </c>
      <c r="B1137" s="1">
        <v>7.1</v>
      </c>
      <c r="K1137" s="4"/>
      <c r="P1137" s="5"/>
      <c r="Q1137" s="24"/>
    </row>
    <row r="1138" ht="14.25" customHeight="1">
      <c r="A1138" s="1">
        <v>97.0</v>
      </c>
      <c r="B1138" s="1">
        <v>7.1</v>
      </c>
      <c r="K1138" s="4"/>
      <c r="P1138" s="5"/>
      <c r="Q1138" s="24"/>
    </row>
    <row r="1139" ht="14.25" customHeight="1">
      <c r="A1139" s="1">
        <v>97.0</v>
      </c>
      <c r="B1139" s="1">
        <v>7.1</v>
      </c>
      <c r="K1139" s="4"/>
      <c r="P1139" s="5"/>
      <c r="Q1139" s="24"/>
    </row>
    <row r="1140" ht="14.25" customHeight="1">
      <c r="A1140" s="1">
        <v>96.0</v>
      </c>
      <c r="B1140" s="1">
        <v>7.1</v>
      </c>
      <c r="K1140" s="4"/>
      <c r="P1140" s="5"/>
      <c r="Q1140" s="24"/>
    </row>
    <row r="1141" ht="14.25" customHeight="1">
      <c r="A1141" s="1">
        <v>96.0</v>
      </c>
      <c r="B1141" s="1">
        <v>7.1</v>
      </c>
      <c r="K1141" s="4"/>
      <c r="P1141" s="5"/>
      <c r="Q1141" s="24"/>
    </row>
    <row r="1142" ht="14.25" customHeight="1">
      <c r="A1142" s="1">
        <v>96.0</v>
      </c>
      <c r="B1142" s="1">
        <v>7.1</v>
      </c>
      <c r="K1142" s="4"/>
      <c r="P1142" s="5"/>
      <c r="Q1142" s="24"/>
    </row>
    <row r="1143" ht="14.25" customHeight="1">
      <c r="A1143" s="1">
        <v>95.0</v>
      </c>
      <c r="B1143" s="1">
        <v>7.1</v>
      </c>
      <c r="K1143" s="4"/>
      <c r="P1143" s="5"/>
      <c r="Q1143" s="24"/>
    </row>
    <row r="1144" ht="14.25" customHeight="1">
      <c r="A1144" s="1">
        <v>95.0</v>
      </c>
      <c r="B1144" s="1">
        <v>7.1</v>
      </c>
      <c r="K1144" s="4"/>
      <c r="P1144" s="5"/>
      <c r="Q1144" s="24"/>
    </row>
    <row r="1145" ht="14.25" customHeight="1">
      <c r="A1145" s="1">
        <v>95.0</v>
      </c>
      <c r="B1145" s="1">
        <v>7.1</v>
      </c>
      <c r="K1145" s="4"/>
      <c r="P1145" s="5"/>
      <c r="Q1145" s="24"/>
    </row>
    <row r="1146" ht="14.25" customHeight="1">
      <c r="A1146" s="1">
        <v>95.0</v>
      </c>
      <c r="B1146" s="1">
        <v>7.1</v>
      </c>
      <c r="K1146" s="4"/>
      <c r="P1146" s="5"/>
      <c r="Q1146" s="24"/>
    </row>
    <row r="1147" ht="14.25" customHeight="1">
      <c r="A1147" s="1">
        <v>95.0</v>
      </c>
      <c r="B1147" s="1">
        <v>7.1</v>
      </c>
      <c r="K1147" s="4"/>
      <c r="P1147" s="5"/>
      <c r="Q1147" s="24"/>
    </row>
    <row r="1148" ht="14.25" customHeight="1">
      <c r="A1148" s="1">
        <v>94.0</v>
      </c>
      <c r="B1148" s="1">
        <v>7.1</v>
      </c>
      <c r="K1148" s="4"/>
      <c r="P1148" s="5"/>
      <c r="Q1148" s="24"/>
    </row>
    <row r="1149" ht="14.25" customHeight="1">
      <c r="A1149" s="1">
        <v>94.0</v>
      </c>
      <c r="B1149" s="1">
        <v>7.1</v>
      </c>
      <c r="K1149" s="4"/>
      <c r="P1149" s="5"/>
      <c r="Q1149" s="24"/>
    </row>
    <row r="1150" ht="14.25" customHeight="1">
      <c r="A1150" s="1">
        <v>93.0</v>
      </c>
      <c r="B1150" s="1">
        <v>7.1</v>
      </c>
      <c r="K1150" s="4"/>
      <c r="P1150" s="5"/>
      <c r="Q1150" s="24"/>
    </row>
    <row r="1151" ht="14.25" customHeight="1">
      <c r="A1151" s="1">
        <v>92.0</v>
      </c>
      <c r="B1151" s="1">
        <v>7.1</v>
      </c>
      <c r="K1151" s="4"/>
      <c r="P1151" s="5"/>
      <c r="Q1151" s="24"/>
    </row>
    <row r="1152" ht="14.25" customHeight="1">
      <c r="A1152" s="1">
        <v>91.0</v>
      </c>
      <c r="B1152" s="1">
        <v>7.1</v>
      </c>
      <c r="K1152" s="4"/>
      <c r="P1152" s="5"/>
      <c r="Q1152" s="24"/>
    </row>
    <row r="1153" ht="14.25" customHeight="1">
      <c r="A1153" s="1">
        <v>91.0</v>
      </c>
      <c r="B1153" s="1">
        <v>7.1</v>
      </c>
      <c r="K1153" s="4"/>
      <c r="P1153" s="5"/>
      <c r="Q1153" s="24"/>
    </row>
    <row r="1154" ht="14.25" customHeight="1">
      <c r="A1154" s="1">
        <v>91.0</v>
      </c>
      <c r="B1154" s="1">
        <v>7.1</v>
      </c>
      <c r="K1154" s="4"/>
      <c r="P1154" s="5"/>
      <c r="Q1154" s="24"/>
    </row>
    <row r="1155" ht="14.25" customHeight="1">
      <c r="A1155" s="1">
        <v>90.0</v>
      </c>
      <c r="B1155" s="1">
        <v>7.1</v>
      </c>
      <c r="K1155" s="4"/>
      <c r="P1155" s="5"/>
      <c r="Q1155" s="24"/>
    </row>
    <row r="1156" ht="14.25" customHeight="1">
      <c r="A1156" s="1">
        <v>90.0</v>
      </c>
      <c r="B1156" s="1">
        <v>7.1</v>
      </c>
      <c r="K1156" s="4"/>
      <c r="P1156" s="5"/>
      <c r="Q1156" s="24"/>
    </row>
    <row r="1157" ht="14.25" customHeight="1">
      <c r="A1157" s="1">
        <v>90.0</v>
      </c>
      <c r="B1157" s="1">
        <v>7.1</v>
      </c>
      <c r="K1157" s="4"/>
      <c r="P1157" s="5"/>
      <c r="Q1157" s="24"/>
    </row>
    <row r="1158" ht="14.25" customHeight="1">
      <c r="A1158" s="1">
        <v>89.0</v>
      </c>
      <c r="B1158" s="1">
        <v>7.1</v>
      </c>
      <c r="K1158" s="4"/>
      <c r="P1158" s="5"/>
      <c r="Q1158" s="24"/>
    </row>
    <row r="1159" ht="14.25" customHeight="1">
      <c r="A1159" s="1">
        <v>89.0</v>
      </c>
      <c r="B1159" s="1">
        <v>7.1</v>
      </c>
      <c r="K1159" s="4"/>
      <c r="P1159" s="5"/>
      <c r="Q1159" s="24"/>
    </row>
    <row r="1160" ht="14.25" customHeight="1">
      <c r="A1160" s="1">
        <v>89.0</v>
      </c>
      <c r="B1160" s="1">
        <v>7.1</v>
      </c>
      <c r="K1160" s="4"/>
      <c r="P1160" s="5"/>
      <c r="Q1160" s="24"/>
    </row>
    <row r="1161" ht="14.25" customHeight="1">
      <c r="A1161" s="1">
        <v>88.0</v>
      </c>
      <c r="B1161" s="1">
        <v>7.1</v>
      </c>
      <c r="K1161" s="4"/>
      <c r="P1161" s="5"/>
      <c r="Q1161" s="24"/>
    </row>
    <row r="1162" ht="14.25" customHeight="1">
      <c r="A1162" s="1">
        <v>88.0</v>
      </c>
      <c r="B1162" s="1">
        <v>7.1</v>
      </c>
      <c r="K1162" s="4"/>
      <c r="P1162" s="5"/>
      <c r="Q1162" s="24"/>
    </row>
    <row r="1163" ht="14.25" customHeight="1">
      <c r="A1163" s="1">
        <v>84.0</v>
      </c>
      <c r="B1163" s="1">
        <v>7.1</v>
      </c>
      <c r="K1163" s="4"/>
      <c r="P1163" s="5"/>
      <c r="Q1163" s="24"/>
    </row>
    <row r="1164" ht="14.25" customHeight="1">
      <c r="A1164" s="1">
        <v>81.0</v>
      </c>
      <c r="B1164" s="1">
        <v>7.1</v>
      </c>
      <c r="K1164" s="4"/>
      <c r="P1164" s="5"/>
      <c r="Q1164" s="24"/>
    </row>
    <row r="1165" ht="14.25" customHeight="1">
      <c r="A1165" s="1">
        <v>80.0</v>
      </c>
      <c r="B1165" s="1">
        <v>7.1</v>
      </c>
      <c r="K1165" s="4"/>
      <c r="P1165" s="5"/>
      <c r="Q1165" s="24"/>
    </row>
    <row r="1166" ht="14.25" customHeight="1">
      <c r="A1166" s="1">
        <v>80.0</v>
      </c>
      <c r="B1166" s="1">
        <v>7.1</v>
      </c>
      <c r="K1166" s="4"/>
      <c r="P1166" s="5"/>
      <c r="Q1166" s="24"/>
    </row>
    <row r="1167" ht="14.25" customHeight="1">
      <c r="A1167" s="1">
        <v>80.0</v>
      </c>
      <c r="B1167" s="1">
        <v>7.1</v>
      </c>
      <c r="K1167" s="4"/>
      <c r="P1167" s="5"/>
      <c r="Q1167" s="24"/>
    </row>
    <row r="1168" ht="14.25" customHeight="1">
      <c r="A1168" s="1">
        <v>80.0</v>
      </c>
      <c r="B1168" s="1">
        <v>7.1</v>
      </c>
      <c r="K1168" s="4"/>
      <c r="P1168" s="5"/>
      <c r="Q1168" s="24"/>
    </row>
    <row r="1169" ht="14.25" customHeight="1">
      <c r="A1169" s="1">
        <v>79.0</v>
      </c>
      <c r="B1169" s="1">
        <v>7.1</v>
      </c>
      <c r="K1169" s="4"/>
      <c r="P1169" s="5"/>
      <c r="Q1169" s="24"/>
    </row>
    <row r="1170" ht="14.25" customHeight="1">
      <c r="A1170" s="1">
        <v>34.0</v>
      </c>
      <c r="B1170" s="1">
        <v>7.1</v>
      </c>
      <c r="K1170" s="4"/>
      <c r="P1170" s="5"/>
      <c r="Q1170" s="24"/>
    </row>
    <row r="1171" ht="14.25" customHeight="1">
      <c r="A1171" s="1">
        <v>251.0</v>
      </c>
      <c r="B1171" s="1">
        <v>7.0</v>
      </c>
      <c r="K1171" s="4"/>
      <c r="P1171" s="5"/>
      <c r="Q1171" s="24"/>
    </row>
    <row r="1172" ht="14.25" customHeight="1">
      <c r="A1172" s="1">
        <v>153.0</v>
      </c>
      <c r="B1172" s="1">
        <v>7.0</v>
      </c>
      <c r="K1172" s="4"/>
      <c r="P1172" s="5"/>
      <c r="Q1172" s="24"/>
    </row>
    <row r="1173" ht="14.25" customHeight="1">
      <c r="A1173" s="1">
        <v>150.0</v>
      </c>
      <c r="B1173" s="1">
        <v>7.0</v>
      </c>
      <c r="K1173" s="4"/>
      <c r="P1173" s="5"/>
      <c r="Q1173" s="24"/>
    </row>
    <row r="1174" ht="14.25" customHeight="1">
      <c r="A1174" s="1">
        <v>140.0</v>
      </c>
      <c r="B1174" s="1">
        <v>7.0</v>
      </c>
      <c r="K1174" s="4"/>
      <c r="P1174" s="5"/>
      <c r="Q1174" s="24"/>
    </row>
    <row r="1175" ht="14.25" customHeight="1">
      <c r="A1175" s="1">
        <v>136.0</v>
      </c>
      <c r="B1175" s="1">
        <v>7.0</v>
      </c>
      <c r="K1175" s="4"/>
      <c r="P1175" s="5"/>
      <c r="Q1175" s="24"/>
    </row>
    <row r="1176" ht="14.25" customHeight="1">
      <c r="A1176" s="1">
        <v>135.0</v>
      </c>
      <c r="B1176" s="1">
        <v>7.0</v>
      </c>
      <c r="K1176" s="4"/>
      <c r="P1176" s="5"/>
      <c r="Q1176" s="24"/>
    </row>
    <row r="1177" ht="14.25" customHeight="1">
      <c r="A1177" s="1">
        <v>135.0</v>
      </c>
      <c r="B1177" s="1">
        <v>7.0</v>
      </c>
      <c r="K1177" s="4"/>
      <c r="P1177" s="5"/>
      <c r="Q1177" s="24"/>
    </row>
    <row r="1178" ht="14.25" customHeight="1">
      <c r="A1178" s="1">
        <v>134.0</v>
      </c>
      <c r="B1178" s="1">
        <v>7.0</v>
      </c>
      <c r="K1178" s="4"/>
      <c r="P1178" s="5"/>
      <c r="Q1178" s="24"/>
    </row>
    <row r="1179" ht="14.25" customHeight="1">
      <c r="A1179" s="1">
        <v>133.0</v>
      </c>
      <c r="B1179" s="1">
        <v>7.0</v>
      </c>
      <c r="K1179" s="4"/>
      <c r="P1179" s="5"/>
      <c r="Q1179" s="24"/>
    </row>
    <row r="1180" ht="14.25" customHeight="1">
      <c r="A1180" s="1">
        <v>133.0</v>
      </c>
      <c r="B1180" s="1">
        <v>7.0</v>
      </c>
      <c r="K1180" s="4"/>
      <c r="P1180" s="5"/>
      <c r="Q1180" s="24"/>
    </row>
    <row r="1181" ht="14.25" customHeight="1">
      <c r="A1181" s="1">
        <v>132.0</v>
      </c>
      <c r="B1181" s="1">
        <v>7.0</v>
      </c>
      <c r="K1181" s="4"/>
      <c r="P1181" s="5"/>
      <c r="Q1181" s="24"/>
    </row>
    <row r="1182" ht="14.25" customHeight="1">
      <c r="A1182" s="1">
        <v>132.0</v>
      </c>
      <c r="B1182" s="1">
        <v>7.0</v>
      </c>
      <c r="K1182" s="4"/>
      <c r="P1182" s="5"/>
      <c r="Q1182" s="24"/>
    </row>
    <row r="1183" ht="14.25" customHeight="1">
      <c r="A1183" s="1">
        <v>131.0</v>
      </c>
      <c r="B1183" s="1">
        <v>7.0</v>
      </c>
      <c r="K1183" s="4"/>
      <c r="P1183" s="5"/>
      <c r="Q1183" s="24"/>
    </row>
    <row r="1184" ht="14.25" customHeight="1">
      <c r="A1184" s="1">
        <v>130.0</v>
      </c>
      <c r="B1184" s="1">
        <v>7.0</v>
      </c>
      <c r="K1184" s="4"/>
      <c r="P1184" s="5"/>
      <c r="Q1184" s="24"/>
    </row>
    <row r="1185" ht="14.25" customHeight="1">
      <c r="A1185" s="1">
        <v>130.0</v>
      </c>
      <c r="B1185" s="1">
        <v>7.0</v>
      </c>
      <c r="K1185" s="4"/>
      <c r="P1185" s="5"/>
      <c r="Q1185" s="24"/>
    </row>
    <row r="1186" ht="14.25" customHeight="1">
      <c r="A1186" s="1">
        <v>130.0</v>
      </c>
      <c r="B1186" s="1">
        <v>7.0</v>
      </c>
      <c r="K1186" s="4"/>
      <c r="P1186" s="5"/>
      <c r="Q1186" s="24"/>
    </row>
    <row r="1187" ht="14.25" customHeight="1">
      <c r="A1187" s="1">
        <v>129.0</v>
      </c>
      <c r="B1187" s="1">
        <v>7.0</v>
      </c>
      <c r="K1187" s="4"/>
      <c r="P1187" s="5"/>
      <c r="Q1187" s="24"/>
    </row>
    <row r="1188" ht="14.25" customHeight="1">
      <c r="A1188" s="1">
        <v>128.0</v>
      </c>
      <c r="B1188" s="1">
        <v>7.0</v>
      </c>
      <c r="K1188" s="4"/>
      <c r="P1188" s="5"/>
      <c r="Q1188" s="24"/>
    </row>
    <row r="1189" ht="14.25" customHeight="1">
      <c r="A1189" s="1">
        <v>128.0</v>
      </c>
      <c r="B1189" s="1">
        <v>7.0</v>
      </c>
      <c r="K1189" s="4"/>
      <c r="P1189" s="5"/>
      <c r="Q1189" s="24"/>
    </row>
    <row r="1190" ht="14.25" customHeight="1">
      <c r="A1190" s="1">
        <v>127.0</v>
      </c>
      <c r="B1190" s="1">
        <v>7.0</v>
      </c>
      <c r="K1190" s="4"/>
      <c r="P1190" s="5"/>
      <c r="Q1190" s="24"/>
    </row>
    <row r="1191" ht="14.25" customHeight="1">
      <c r="A1191" s="1">
        <v>127.0</v>
      </c>
      <c r="B1191" s="1">
        <v>7.0</v>
      </c>
      <c r="K1191" s="4"/>
      <c r="P1191" s="5"/>
      <c r="Q1191" s="24"/>
    </row>
    <row r="1192" ht="14.25" customHeight="1">
      <c r="A1192" s="1">
        <v>127.0</v>
      </c>
      <c r="B1192" s="1">
        <v>7.0</v>
      </c>
      <c r="K1192" s="4"/>
      <c r="P1192" s="5"/>
      <c r="Q1192" s="24"/>
    </row>
    <row r="1193" ht="14.25" customHeight="1">
      <c r="A1193" s="1">
        <v>126.0</v>
      </c>
      <c r="B1193" s="1">
        <v>7.0</v>
      </c>
      <c r="K1193" s="4"/>
      <c r="P1193" s="5"/>
      <c r="Q1193" s="24"/>
    </row>
    <row r="1194" ht="14.25" customHeight="1">
      <c r="A1194" s="1">
        <v>126.0</v>
      </c>
      <c r="B1194" s="1">
        <v>7.0</v>
      </c>
      <c r="K1194" s="4"/>
      <c r="P1194" s="5"/>
      <c r="Q1194" s="24"/>
    </row>
    <row r="1195" ht="14.25" customHeight="1">
      <c r="A1195" s="1">
        <v>126.0</v>
      </c>
      <c r="B1195" s="1">
        <v>7.0</v>
      </c>
      <c r="K1195" s="4"/>
      <c r="P1195" s="5"/>
      <c r="Q1195" s="24"/>
    </row>
    <row r="1196" ht="14.25" customHeight="1">
      <c r="A1196" s="1">
        <v>125.0</v>
      </c>
      <c r="B1196" s="1">
        <v>7.0</v>
      </c>
      <c r="K1196" s="4"/>
      <c r="P1196" s="5"/>
      <c r="Q1196" s="24"/>
    </row>
    <row r="1197" ht="14.25" customHeight="1">
      <c r="A1197" s="1">
        <v>124.0</v>
      </c>
      <c r="B1197" s="1">
        <v>7.0</v>
      </c>
      <c r="K1197" s="4"/>
      <c r="P1197" s="5"/>
      <c r="Q1197" s="24"/>
    </row>
    <row r="1198" ht="14.25" customHeight="1">
      <c r="A1198" s="1">
        <v>124.0</v>
      </c>
      <c r="B1198" s="1">
        <v>7.0</v>
      </c>
      <c r="K1198" s="4"/>
      <c r="P1198" s="5"/>
      <c r="Q1198" s="24"/>
    </row>
    <row r="1199" ht="14.25" customHeight="1">
      <c r="A1199" s="1">
        <v>124.0</v>
      </c>
      <c r="B1199" s="1">
        <v>7.0</v>
      </c>
      <c r="K1199" s="4"/>
      <c r="P1199" s="5"/>
      <c r="Q1199" s="24"/>
    </row>
    <row r="1200" ht="14.25" customHeight="1">
      <c r="A1200" s="1">
        <v>124.0</v>
      </c>
      <c r="B1200" s="1">
        <v>7.0</v>
      </c>
      <c r="K1200" s="4"/>
      <c r="P1200" s="5"/>
      <c r="Q1200" s="24"/>
    </row>
    <row r="1201" ht="14.25" customHeight="1">
      <c r="A1201" s="1">
        <v>124.0</v>
      </c>
      <c r="B1201" s="1">
        <v>7.0</v>
      </c>
      <c r="K1201" s="4"/>
      <c r="P1201" s="5"/>
      <c r="Q1201" s="24"/>
    </row>
    <row r="1202" ht="14.25" customHeight="1">
      <c r="A1202" s="1">
        <v>124.0</v>
      </c>
      <c r="B1202" s="1">
        <v>7.0</v>
      </c>
      <c r="K1202" s="4"/>
      <c r="P1202" s="5"/>
      <c r="Q1202" s="24"/>
    </row>
    <row r="1203" ht="14.25" customHeight="1">
      <c r="A1203" s="1">
        <v>123.0</v>
      </c>
      <c r="B1203" s="1">
        <v>7.0</v>
      </c>
      <c r="K1203" s="4"/>
      <c r="P1203" s="5"/>
      <c r="Q1203" s="24"/>
    </row>
    <row r="1204" ht="14.25" customHeight="1">
      <c r="A1204" s="1">
        <v>123.0</v>
      </c>
      <c r="B1204" s="1">
        <v>7.0</v>
      </c>
      <c r="K1204" s="4"/>
      <c r="P1204" s="5"/>
      <c r="Q1204" s="24"/>
    </row>
    <row r="1205" ht="14.25" customHeight="1">
      <c r="A1205" s="1">
        <v>123.0</v>
      </c>
      <c r="B1205" s="1">
        <v>7.0</v>
      </c>
      <c r="K1205" s="4"/>
      <c r="P1205" s="5"/>
      <c r="Q1205" s="24"/>
    </row>
    <row r="1206" ht="14.25" customHeight="1">
      <c r="A1206" s="1">
        <v>123.0</v>
      </c>
      <c r="B1206" s="1">
        <v>7.0</v>
      </c>
      <c r="K1206" s="4"/>
      <c r="P1206" s="5"/>
      <c r="Q1206" s="24"/>
    </row>
    <row r="1207" ht="14.25" customHeight="1">
      <c r="A1207" s="1">
        <v>122.0</v>
      </c>
      <c r="B1207" s="1">
        <v>7.0</v>
      </c>
      <c r="K1207" s="4"/>
      <c r="P1207" s="5"/>
      <c r="Q1207" s="24"/>
    </row>
    <row r="1208" ht="14.25" customHeight="1">
      <c r="A1208" s="1">
        <v>122.0</v>
      </c>
      <c r="B1208" s="1">
        <v>7.0</v>
      </c>
      <c r="K1208" s="4"/>
      <c r="P1208" s="5"/>
      <c r="Q1208" s="24"/>
    </row>
    <row r="1209" ht="14.25" customHeight="1">
      <c r="A1209" s="1">
        <v>122.0</v>
      </c>
      <c r="B1209" s="1">
        <v>7.0</v>
      </c>
      <c r="K1209" s="4"/>
      <c r="P1209" s="5"/>
      <c r="Q1209" s="24"/>
    </row>
    <row r="1210" ht="14.25" customHeight="1">
      <c r="A1210" s="1">
        <v>121.0</v>
      </c>
      <c r="B1210" s="1">
        <v>7.0</v>
      </c>
      <c r="K1210" s="4"/>
      <c r="P1210" s="5"/>
      <c r="Q1210" s="24"/>
    </row>
    <row r="1211" ht="14.25" customHeight="1">
      <c r="A1211" s="1">
        <v>121.0</v>
      </c>
      <c r="B1211" s="1">
        <v>7.0</v>
      </c>
      <c r="K1211" s="4"/>
      <c r="P1211" s="5"/>
      <c r="Q1211" s="24"/>
    </row>
    <row r="1212" ht="14.25" customHeight="1">
      <c r="A1212" s="1">
        <v>121.0</v>
      </c>
      <c r="B1212" s="1">
        <v>7.0</v>
      </c>
      <c r="K1212" s="4"/>
      <c r="P1212" s="5"/>
      <c r="Q1212" s="24"/>
    </row>
    <row r="1213" ht="14.25" customHeight="1">
      <c r="A1213" s="1">
        <v>120.0</v>
      </c>
      <c r="B1213" s="1">
        <v>7.0</v>
      </c>
      <c r="K1213" s="4"/>
      <c r="P1213" s="5"/>
      <c r="Q1213" s="24"/>
    </row>
    <row r="1214" ht="14.25" customHeight="1">
      <c r="A1214" s="1">
        <v>120.0</v>
      </c>
      <c r="B1214" s="1">
        <v>7.0</v>
      </c>
      <c r="K1214" s="4"/>
      <c r="P1214" s="5"/>
      <c r="Q1214" s="24"/>
    </row>
    <row r="1215" ht="14.25" customHeight="1">
      <c r="A1215" s="1">
        <v>120.0</v>
      </c>
      <c r="B1215" s="1">
        <v>7.0</v>
      </c>
      <c r="K1215" s="4"/>
      <c r="P1215" s="5"/>
      <c r="Q1215" s="24"/>
    </row>
    <row r="1216" ht="14.25" customHeight="1">
      <c r="A1216" s="1">
        <v>119.0</v>
      </c>
      <c r="B1216" s="1">
        <v>7.0</v>
      </c>
      <c r="K1216" s="4"/>
      <c r="P1216" s="5"/>
      <c r="Q1216" s="24"/>
    </row>
    <row r="1217" ht="14.25" customHeight="1">
      <c r="A1217" s="1">
        <v>119.0</v>
      </c>
      <c r="B1217" s="1">
        <v>7.0</v>
      </c>
      <c r="K1217" s="4"/>
      <c r="P1217" s="5"/>
      <c r="Q1217" s="24"/>
    </row>
    <row r="1218" ht="14.25" customHeight="1">
      <c r="A1218" s="1">
        <v>119.0</v>
      </c>
      <c r="B1218" s="1">
        <v>7.0</v>
      </c>
      <c r="K1218" s="4"/>
      <c r="P1218" s="5"/>
      <c r="Q1218" s="24"/>
    </row>
    <row r="1219" ht="14.25" customHeight="1">
      <c r="A1219" s="1">
        <v>118.0</v>
      </c>
      <c r="B1219" s="1">
        <v>7.0</v>
      </c>
      <c r="K1219" s="4"/>
      <c r="P1219" s="5"/>
      <c r="Q1219" s="24"/>
    </row>
    <row r="1220" ht="14.25" customHeight="1">
      <c r="A1220" s="1">
        <v>118.0</v>
      </c>
      <c r="B1220" s="1">
        <v>7.0</v>
      </c>
      <c r="K1220" s="4"/>
      <c r="P1220" s="5"/>
      <c r="Q1220" s="24"/>
    </row>
    <row r="1221" ht="14.25" customHeight="1">
      <c r="A1221" s="1">
        <v>118.0</v>
      </c>
      <c r="B1221" s="1">
        <v>7.0</v>
      </c>
      <c r="K1221" s="4"/>
      <c r="P1221" s="5"/>
      <c r="Q1221" s="24"/>
    </row>
    <row r="1222" ht="14.25" customHeight="1">
      <c r="A1222" s="1">
        <v>118.0</v>
      </c>
      <c r="B1222" s="1">
        <v>7.0</v>
      </c>
      <c r="K1222" s="4"/>
      <c r="P1222" s="5"/>
      <c r="Q1222" s="24"/>
    </row>
    <row r="1223" ht="14.25" customHeight="1">
      <c r="A1223" s="1">
        <v>117.0</v>
      </c>
      <c r="B1223" s="1">
        <v>7.0</v>
      </c>
      <c r="K1223" s="4"/>
      <c r="P1223" s="5"/>
      <c r="Q1223" s="24"/>
    </row>
    <row r="1224" ht="14.25" customHeight="1">
      <c r="A1224" s="1">
        <v>116.0</v>
      </c>
      <c r="B1224" s="1">
        <v>7.0</v>
      </c>
      <c r="K1224" s="4"/>
      <c r="P1224" s="5"/>
      <c r="Q1224" s="24"/>
    </row>
    <row r="1225" ht="14.25" customHeight="1">
      <c r="A1225" s="1">
        <v>116.0</v>
      </c>
      <c r="B1225" s="1">
        <v>7.0</v>
      </c>
      <c r="K1225" s="4"/>
      <c r="P1225" s="5"/>
      <c r="Q1225" s="24"/>
    </row>
    <row r="1226" ht="14.25" customHeight="1">
      <c r="A1226" s="1">
        <v>116.0</v>
      </c>
      <c r="B1226" s="1">
        <v>7.0</v>
      </c>
      <c r="K1226" s="4"/>
      <c r="P1226" s="5"/>
      <c r="Q1226" s="24"/>
    </row>
    <row r="1227" ht="14.25" customHeight="1">
      <c r="A1227" s="1">
        <v>116.0</v>
      </c>
      <c r="B1227" s="1">
        <v>7.0</v>
      </c>
      <c r="K1227" s="4"/>
      <c r="P1227" s="5"/>
      <c r="Q1227" s="24"/>
    </row>
    <row r="1228" ht="14.25" customHeight="1">
      <c r="A1228" s="1">
        <v>115.0</v>
      </c>
      <c r="B1228" s="1">
        <v>7.0</v>
      </c>
      <c r="K1228" s="4"/>
      <c r="P1228" s="5"/>
      <c r="Q1228" s="24"/>
    </row>
    <row r="1229" ht="14.25" customHeight="1">
      <c r="A1229" s="1">
        <v>115.0</v>
      </c>
      <c r="B1229" s="1">
        <v>7.0</v>
      </c>
      <c r="K1229" s="4"/>
      <c r="P1229" s="5"/>
      <c r="Q1229" s="24"/>
    </row>
    <row r="1230" ht="14.25" customHeight="1">
      <c r="A1230" s="1">
        <v>114.0</v>
      </c>
      <c r="B1230" s="1">
        <v>7.0</v>
      </c>
      <c r="K1230" s="4"/>
      <c r="P1230" s="5"/>
      <c r="Q1230" s="24"/>
    </row>
    <row r="1231" ht="14.25" customHeight="1">
      <c r="A1231" s="1">
        <v>114.0</v>
      </c>
      <c r="B1231" s="1">
        <v>7.0</v>
      </c>
      <c r="K1231" s="4"/>
      <c r="P1231" s="5"/>
      <c r="Q1231" s="24"/>
    </row>
    <row r="1232" ht="14.25" customHeight="1">
      <c r="A1232" s="1">
        <v>114.0</v>
      </c>
      <c r="B1232" s="1">
        <v>7.0</v>
      </c>
      <c r="K1232" s="4"/>
      <c r="P1232" s="5"/>
      <c r="Q1232" s="24"/>
    </row>
    <row r="1233" ht="14.25" customHeight="1">
      <c r="A1233" s="1">
        <v>113.0</v>
      </c>
      <c r="B1233" s="1">
        <v>7.0</v>
      </c>
      <c r="K1233" s="4"/>
      <c r="P1233" s="5"/>
      <c r="Q1233" s="24"/>
    </row>
    <row r="1234" ht="14.25" customHeight="1">
      <c r="A1234" s="1">
        <v>112.0</v>
      </c>
      <c r="B1234" s="1">
        <v>7.0</v>
      </c>
      <c r="K1234" s="4"/>
      <c r="P1234" s="5"/>
      <c r="Q1234" s="24"/>
    </row>
    <row r="1235" ht="14.25" customHeight="1">
      <c r="A1235" s="1">
        <v>112.0</v>
      </c>
      <c r="B1235" s="1">
        <v>7.0</v>
      </c>
      <c r="K1235" s="4"/>
      <c r="P1235" s="5"/>
      <c r="Q1235" s="24"/>
    </row>
    <row r="1236" ht="14.25" customHeight="1">
      <c r="A1236" s="1">
        <v>112.0</v>
      </c>
      <c r="B1236" s="1">
        <v>7.0</v>
      </c>
      <c r="K1236" s="4"/>
      <c r="P1236" s="5"/>
      <c r="Q1236" s="24"/>
    </row>
    <row r="1237" ht="14.25" customHeight="1">
      <c r="A1237" s="1">
        <v>112.0</v>
      </c>
      <c r="B1237" s="1">
        <v>7.0</v>
      </c>
      <c r="K1237" s="4"/>
      <c r="P1237" s="5"/>
      <c r="Q1237" s="24"/>
    </row>
    <row r="1238" ht="14.25" customHeight="1">
      <c r="A1238" s="1">
        <v>111.0</v>
      </c>
      <c r="B1238" s="1">
        <v>7.0</v>
      </c>
      <c r="K1238" s="4"/>
      <c r="P1238" s="5"/>
      <c r="Q1238" s="24"/>
    </row>
    <row r="1239" ht="14.25" customHeight="1">
      <c r="A1239" s="1">
        <v>110.0</v>
      </c>
      <c r="B1239" s="1">
        <v>7.0</v>
      </c>
      <c r="K1239" s="4"/>
      <c r="P1239" s="5"/>
      <c r="Q1239" s="24"/>
    </row>
    <row r="1240" ht="14.25" customHeight="1">
      <c r="A1240" s="1">
        <v>110.0</v>
      </c>
      <c r="B1240" s="1">
        <v>7.0</v>
      </c>
      <c r="K1240" s="4"/>
      <c r="P1240" s="5"/>
      <c r="Q1240" s="24"/>
    </row>
    <row r="1241" ht="14.25" customHeight="1">
      <c r="A1241" s="1">
        <v>109.0</v>
      </c>
      <c r="B1241" s="1">
        <v>7.0</v>
      </c>
      <c r="K1241" s="4"/>
      <c r="P1241" s="5"/>
      <c r="Q1241" s="24"/>
    </row>
    <row r="1242" ht="14.25" customHeight="1">
      <c r="A1242" s="1">
        <v>109.0</v>
      </c>
      <c r="B1242" s="1">
        <v>7.0</v>
      </c>
      <c r="K1242" s="4"/>
      <c r="P1242" s="5"/>
      <c r="Q1242" s="24"/>
    </row>
    <row r="1243" ht="14.25" customHeight="1">
      <c r="A1243" s="1">
        <v>109.0</v>
      </c>
      <c r="B1243" s="1">
        <v>7.0</v>
      </c>
      <c r="K1243" s="4"/>
      <c r="P1243" s="5"/>
      <c r="Q1243" s="24"/>
    </row>
    <row r="1244" ht="14.25" customHeight="1">
      <c r="A1244" s="1">
        <v>109.0</v>
      </c>
      <c r="B1244" s="1">
        <v>7.0</v>
      </c>
      <c r="K1244" s="4"/>
      <c r="P1244" s="5"/>
      <c r="Q1244" s="24"/>
    </row>
    <row r="1245" ht="14.25" customHeight="1">
      <c r="A1245" s="1">
        <v>108.0</v>
      </c>
      <c r="B1245" s="1">
        <v>7.0</v>
      </c>
      <c r="K1245" s="4"/>
      <c r="P1245" s="5"/>
      <c r="Q1245" s="24"/>
    </row>
    <row r="1246" ht="14.25" customHeight="1">
      <c r="A1246" s="1">
        <v>108.0</v>
      </c>
      <c r="B1246" s="1">
        <v>7.0</v>
      </c>
      <c r="K1246" s="4"/>
      <c r="P1246" s="5"/>
      <c r="Q1246" s="24"/>
    </row>
    <row r="1247" ht="14.25" customHeight="1">
      <c r="A1247" s="1">
        <v>108.0</v>
      </c>
      <c r="B1247" s="1">
        <v>7.0</v>
      </c>
      <c r="K1247" s="4"/>
      <c r="P1247" s="5"/>
      <c r="Q1247" s="24"/>
    </row>
    <row r="1248" ht="14.25" customHeight="1">
      <c r="A1248" s="1">
        <v>108.0</v>
      </c>
      <c r="B1248" s="1">
        <v>7.0</v>
      </c>
      <c r="K1248" s="4"/>
      <c r="P1248" s="5"/>
      <c r="Q1248" s="24"/>
    </row>
    <row r="1249" ht="14.25" customHeight="1">
      <c r="A1249" s="1">
        <v>107.0</v>
      </c>
      <c r="B1249" s="1">
        <v>7.0</v>
      </c>
      <c r="K1249" s="4"/>
      <c r="P1249" s="5"/>
      <c r="Q1249" s="24"/>
    </row>
    <row r="1250" ht="14.25" customHeight="1">
      <c r="A1250" s="1">
        <v>107.0</v>
      </c>
      <c r="B1250" s="1">
        <v>7.0</v>
      </c>
      <c r="K1250" s="4"/>
      <c r="P1250" s="5"/>
      <c r="Q1250" s="24"/>
    </row>
    <row r="1251" ht="14.25" customHeight="1">
      <c r="A1251" s="1">
        <v>107.0</v>
      </c>
      <c r="B1251" s="1">
        <v>7.0</v>
      </c>
      <c r="K1251" s="4"/>
      <c r="P1251" s="5"/>
      <c r="Q1251" s="24"/>
    </row>
    <row r="1252" ht="14.25" customHeight="1">
      <c r="A1252" s="1">
        <v>107.0</v>
      </c>
      <c r="B1252" s="1">
        <v>7.0</v>
      </c>
      <c r="K1252" s="4"/>
      <c r="P1252" s="5"/>
      <c r="Q1252" s="24"/>
    </row>
    <row r="1253" ht="14.25" customHeight="1">
      <c r="A1253" s="1">
        <v>106.0</v>
      </c>
      <c r="B1253" s="1">
        <v>7.0</v>
      </c>
      <c r="K1253" s="4"/>
      <c r="P1253" s="5"/>
      <c r="Q1253" s="24"/>
    </row>
    <row r="1254" ht="14.25" customHeight="1">
      <c r="A1254" s="1">
        <v>106.0</v>
      </c>
      <c r="B1254" s="1">
        <v>7.0</v>
      </c>
      <c r="K1254" s="4"/>
      <c r="P1254" s="5"/>
      <c r="Q1254" s="24"/>
    </row>
    <row r="1255" ht="14.25" customHeight="1">
      <c r="A1255" s="1">
        <v>106.0</v>
      </c>
      <c r="B1255" s="1">
        <v>7.0</v>
      </c>
      <c r="K1255" s="4"/>
      <c r="P1255" s="5"/>
      <c r="Q1255" s="24"/>
    </row>
    <row r="1256" ht="14.25" customHeight="1">
      <c r="A1256" s="1">
        <v>106.0</v>
      </c>
      <c r="B1256" s="1">
        <v>7.0</v>
      </c>
      <c r="K1256" s="4"/>
      <c r="P1256" s="5"/>
      <c r="Q1256" s="24"/>
    </row>
    <row r="1257" ht="14.25" customHeight="1">
      <c r="A1257" s="1">
        <v>106.0</v>
      </c>
      <c r="B1257" s="1">
        <v>7.0</v>
      </c>
      <c r="K1257" s="4"/>
      <c r="P1257" s="5"/>
      <c r="Q1257" s="24"/>
    </row>
    <row r="1258" ht="14.25" customHeight="1">
      <c r="A1258" s="1">
        <v>105.0</v>
      </c>
      <c r="B1258" s="1">
        <v>7.0</v>
      </c>
      <c r="K1258" s="4"/>
      <c r="P1258" s="5"/>
      <c r="Q1258" s="24"/>
    </row>
    <row r="1259" ht="14.25" customHeight="1">
      <c r="A1259" s="1">
        <v>105.0</v>
      </c>
      <c r="B1259" s="1">
        <v>7.0</v>
      </c>
      <c r="K1259" s="4"/>
      <c r="P1259" s="5"/>
      <c r="Q1259" s="24"/>
    </row>
    <row r="1260" ht="14.25" customHeight="1">
      <c r="A1260" s="1">
        <v>103.0</v>
      </c>
      <c r="B1260" s="1">
        <v>7.0</v>
      </c>
      <c r="K1260" s="4"/>
      <c r="P1260" s="5"/>
      <c r="Q1260" s="24"/>
    </row>
    <row r="1261" ht="14.25" customHeight="1">
      <c r="A1261" s="1">
        <v>103.0</v>
      </c>
      <c r="B1261" s="1">
        <v>7.0</v>
      </c>
      <c r="K1261" s="4"/>
      <c r="P1261" s="5"/>
      <c r="Q1261" s="24"/>
    </row>
    <row r="1262" ht="14.25" customHeight="1">
      <c r="A1262" s="1">
        <v>103.0</v>
      </c>
      <c r="B1262" s="1">
        <v>7.0</v>
      </c>
      <c r="K1262" s="4"/>
      <c r="P1262" s="5"/>
      <c r="Q1262" s="24"/>
    </row>
    <row r="1263" ht="14.25" customHeight="1">
      <c r="A1263" s="1">
        <v>101.0</v>
      </c>
      <c r="B1263" s="1">
        <v>7.0</v>
      </c>
      <c r="K1263" s="4"/>
      <c r="P1263" s="5"/>
      <c r="Q1263" s="24"/>
    </row>
    <row r="1264" ht="14.25" customHeight="1">
      <c r="A1264" s="1">
        <v>101.0</v>
      </c>
      <c r="B1264" s="1">
        <v>7.0</v>
      </c>
      <c r="K1264" s="4"/>
      <c r="P1264" s="5"/>
      <c r="Q1264" s="24"/>
    </row>
    <row r="1265" ht="14.25" customHeight="1">
      <c r="A1265" s="1">
        <v>101.0</v>
      </c>
      <c r="B1265" s="1">
        <v>7.0</v>
      </c>
      <c r="K1265" s="4"/>
      <c r="P1265" s="5"/>
      <c r="Q1265" s="24"/>
    </row>
    <row r="1266" ht="14.25" customHeight="1">
      <c r="A1266" s="1">
        <v>101.0</v>
      </c>
      <c r="B1266" s="1">
        <v>7.0</v>
      </c>
      <c r="K1266" s="4"/>
      <c r="P1266" s="5"/>
      <c r="Q1266" s="24"/>
    </row>
    <row r="1267" ht="14.25" customHeight="1">
      <c r="A1267" s="1">
        <v>100.0</v>
      </c>
      <c r="B1267" s="1">
        <v>7.0</v>
      </c>
      <c r="K1267" s="4"/>
      <c r="P1267" s="5"/>
      <c r="Q1267" s="24"/>
    </row>
    <row r="1268" ht="14.25" customHeight="1">
      <c r="A1268" s="1">
        <v>100.0</v>
      </c>
      <c r="B1268" s="1">
        <v>7.0</v>
      </c>
      <c r="K1268" s="4"/>
      <c r="P1268" s="5"/>
      <c r="Q1268" s="24"/>
    </row>
    <row r="1269" ht="14.25" customHeight="1">
      <c r="A1269" s="1">
        <v>100.0</v>
      </c>
      <c r="B1269" s="1">
        <v>7.0</v>
      </c>
      <c r="K1269" s="4"/>
      <c r="P1269" s="5"/>
      <c r="Q1269" s="24"/>
    </row>
    <row r="1270" ht="14.25" customHeight="1">
      <c r="A1270" s="1">
        <v>99.0</v>
      </c>
      <c r="B1270" s="1">
        <v>7.0</v>
      </c>
      <c r="K1270" s="4"/>
      <c r="P1270" s="5"/>
      <c r="Q1270" s="24"/>
    </row>
    <row r="1271" ht="14.25" customHeight="1">
      <c r="A1271" s="1">
        <v>99.0</v>
      </c>
      <c r="B1271" s="1">
        <v>7.0</v>
      </c>
      <c r="K1271" s="4"/>
      <c r="P1271" s="5"/>
      <c r="Q1271" s="24"/>
    </row>
    <row r="1272" ht="14.25" customHeight="1">
      <c r="A1272" s="1">
        <v>99.0</v>
      </c>
      <c r="B1272" s="1">
        <v>7.0</v>
      </c>
      <c r="K1272" s="4"/>
      <c r="P1272" s="5"/>
      <c r="Q1272" s="24"/>
    </row>
    <row r="1273" ht="14.25" customHeight="1">
      <c r="A1273" s="1">
        <v>99.0</v>
      </c>
      <c r="B1273" s="1">
        <v>7.0</v>
      </c>
      <c r="K1273" s="4"/>
      <c r="P1273" s="5"/>
      <c r="Q1273" s="24"/>
    </row>
    <row r="1274" ht="14.25" customHeight="1">
      <c r="A1274" s="1">
        <v>99.0</v>
      </c>
      <c r="B1274" s="1">
        <v>7.0</v>
      </c>
      <c r="K1274" s="4"/>
      <c r="P1274" s="5"/>
      <c r="Q1274" s="24"/>
    </row>
    <row r="1275" ht="14.25" customHeight="1">
      <c r="A1275" s="1">
        <v>99.0</v>
      </c>
      <c r="B1275" s="1">
        <v>7.0</v>
      </c>
      <c r="K1275" s="4"/>
      <c r="P1275" s="5"/>
      <c r="Q1275" s="24"/>
    </row>
    <row r="1276" ht="14.25" customHeight="1">
      <c r="A1276" s="1">
        <v>97.0</v>
      </c>
      <c r="B1276" s="1">
        <v>7.0</v>
      </c>
      <c r="K1276" s="4"/>
      <c r="P1276" s="5"/>
      <c r="Q1276" s="24"/>
    </row>
    <row r="1277" ht="14.25" customHeight="1">
      <c r="A1277" s="1">
        <v>97.0</v>
      </c>
      <c r="B1277" s="1">
        <v>7.0</v>
      </c>
      <c r="K1277" s="4"/>
      <c r="P1277" s="5"/>
      <c r="Q1277" s="24"/>
    </row>
    <row r="1278" ht="14.25" customHeight="1">
      <c r="A1278" s="1">
        <v>97.0</v>
      </c>
      <c r="B1278" s="1">
        <v>7.0</v>
      </c>
      <c r="K1278" s="4"/>
      <c r="P1278" s="5"/>
      <c r="Q1278" s="24"/>
    </row>
    <row r="1279" ht="14.25" customHeight="1">
      <c r="A1279" s="1">
        <v>97.0</v>
      </c>
      <c r="B1279" s="1">
        <v>7.0</v>
      </c>
      <c r="K1279" s="4"/>
      <c r="P1279" s="5"/>
      <c r="Q1279" s="24"/>
    </row>
    <row r="1280" ht="14.25" customHeight="1">
      <c r="A1280" s="1">
        <v>96.0</v>
      </c>
      <c r="B1280" s="1">
        <v>7.0</v>
      </c>
      <c r="K1280" s="4"/>
      <c r="P1280" s="5"/>
      <c r="Q1280" s="24"/>
    </row>
    <row r="1281" ht="14.25" customHeight="1">
      <c r="A1281" s="1">
        <v>96.0</v>
      </c>
      <c r="B1281" s="1">
        <v>7.0</v>
      </c>
      <c r="K1281" s="4"/>
      <c r="P1281" s="5"/>
      <c r="Q1281" s="24"/>
    </row>
    <row r="1282" ht="14.25" customHeight="1">
      <c r="A1282" s="1">
        <v>96.0</v>
      </c>
      <c r="B1282" s="1">
        <v>7.0</v>
      </c>
      <c r="K1282" s="4"/>
      <c r="P1282" s="5"/>
      <c r="Q1282" s="24"/>
    </row>
    <row r="1283" ht="14.25" customHeight="1">
      <c r="A1283" s="1">
        <v>95.0</v>
      </c>
      <c r="B1283" s="1">
        <v>7.0</v>
      </c>
      <c r="K1283" s="4"/>
      <c r="P1283" s="5"/>
      <c r="Q1283" s="24"/>
    </row>
    <row r="1284" ht="14.25" customHeight="1">
      <c r="A1284" s="1">
        <v>95.0</v>
      </c>
      <c r="B1284" s="1">
        <v>7.0</v>
      </c>
      <c r="K1284" s="4"/>
      <c r="P1284" s="5"/>
      <c r="Q1284" s="24"/>
    </row>
    <row r="1285" ht="14.25" customHeight="1">
      <c r="A1285" s="1">
        <v>95.0</v>
      </c>
      <c r="B1285" s="1">
        <v>7.0</v>
      </c>
      <c r="K1285" s="4"/>
      <c r="P1285" s="5"/>
      <c r="Q1285" s="24"/>
    </row>
    <row r="1286" ht="14.25" customHeight="1">
      <c r="A1286" s="1">
        <v>95.0</v>
      </c>
      <c r="B1286" s="1">
        <v>7.0</v>
      </c>
      <c r="K1286" s="4"/>
      <c r="P1286" s="5"/>
      <c r="Q1286" s="24"/>
    </row>
    <row r="1287" ht="14.25" customHeight="1">
      <c r="A1287" s="1">
        <v>94.0</v>
      </c>
      <c r="B1287" s="1">
        <v>7.0</v>
      </c>
      <c r="K1287" s="4"/>
      <c r="P1287" s="5"/>
      <c r="Q1287" s="24"/>
    </row>
    <row r="1288" ht="14.25" customHeight="1">
      <c r="A1288" s="1">
        <v>94.0</v>
      </c>
      <c r="B1288" s="1">
        <v>7.0</v>
      </c>
      <c r="K1288" s="4"/>
      <c r="P1288" s="5"/>
      <c r="Q1288" s="24"/>
    </row>
    <row r="1289" ht="14.25" customHeight="1">
      <c r="A1289" s="1">
        <v>94.0</v>
      </c>
      <c r="B1289" s="1">
        <v>7.0</v>
      </c>
      <c r="K1289" s="4"/>
      <c r="P1289" s="5"/>
      <c r="Q1289" s="24"/>
    </row>
    <row r="1290" ht="14.25" customHeight="1">
      <c r="A1290" s="1">
        <v>93.0</v>
      </c>
      <c r="B1290" s="1">
        <v>7.0</v>
      </c>
      <c r="K1290" s="4"/>
      <c r="P1290" s="5"/>
      <c r="Q1290" s="24"/>
    </row>
    <row r="1291" ht="14.25" customHeight="1">
      <c r="A1291" s="1">
        <v>92.0</v>
      </c>
      <c r="B1291" s="1">
        <v>7.0</v>
      </c>
      <c r="K1291" s="4"/>
      <c r="P1291" s="5"/>
      <c r="Q1291" s="24"/>
    </row>
    <row r="1292" ht="14.25" customHeight="1">
      <c r="A1292" s="1">
        <v>92.0</v>
      </c>
      <c r="B1292" s="1">
        <v>7.0</v>
      </c>
      <c r="K1292" s="4"/>
      <c r="P1292" s="5"/>
      <c r="Q1292" s="24"/>
    </row>
    <row r="1293" ht="14.25" customHeight="1">
      <c r="A1293" s="1">
        <v>92.0</v>
      </c>
      <c r="B1293" s="1">
        <v>7.0</v>
      </c>
      <c r="K1293" s="4"/>
      <c r="P1293" s="5"/>
      <c r="Q1293" s="24"/>
    </row>
    <row r="1294" ht="14.25" customHeight="1">
      <c r="A1294" s="1">
        <v>91.0</v>
      </c>
      <c r="B1294" s="1">
        <v>7.0</v>
      </c>
      <c r="K1294" s="4"/>
      <c r="P1294" s="5"/>
      <c r="Q1294" s="24"/>
    </row>
    <row r="1295" ht="14.25" customHeight="1">
      <c r="A1295" s="1">
        <v>91.0</v>
      </c>
      <c r="B1295" s="1">
        <v>7.0</v>
      </c>
      <c r="K1295" s="4"/>
      <c r="P1295" s="5"/>
      <c r="Q1295" s="24"/>
    </row>
    <row r="1296" ht="14.25" customHeight="1">
      <c r="A1296" s="1">
        <v>90.0</v>
      </c>
      <c r="B1296" s="1">
        <v>7.0</v>
      </c>
      <c r="K1296" s="4"/>
      <c r="P1296" s="5"/>
      <c r="Q1296" s="24"/>
    </row>
    <row r="1297" ht="14.25" customHeight="1">
      <c r="A1297" s="1">
        <v>90.0</v>
      </c>
      <c r="B1297" s="1">
        <v>7.0</v>
      </c>
      <c r="K1297" s="4"/>
      <c r="P1297" s="5"/>
      <c r="Q1297" s="24"/>
    </row>
    <row r="1298" ht="14.25" customHeight="1">
      <c r="A1298" s="1">
        <v>90.0</v>
      </c>
      <c r="B1298" s="1">
        <v>7.0</v>
      </c>
      <c r="K1298" s="4"/>
      <c r="P1298" s="5"/>
      <c r="Q1298" s="24"/>
    </row>
    <row r="1299" ht="14.25" customHeight="1">
      <c r="A1299" s="1">
        <v>89.0</v>
      </c>
      <c r="B1299" s="1">
        <v>7.0</v>
      </c>
      <c r="K1299" s="4"/>
      <c r="P1299" s="5"/>
      <c r="Q1299" s="24"/>
    </row>
    <row r="1300" ht="14.25" customHeight="1">
      <c r="A1300" s="1">
        <v>88.0</v>
      </c>
      <c r="B1300" s="1">
        <v>7.0</v>
      </c>
      <c r="K1300" s="4"/>
      <c r="P1300" s="5"/>
      <c r="Q1300" s="24"/>
    </row>
    <row r="1301" ht="14.25" customHeight="1">
      <c r="A1301" s="1">
        <v>87.0</v>
      </c>
      <c r="B1301" s="1">
        <v>7.0</v>
      </c>
      <c r="K1301" s="4"/>
      <c r="P1301" s="5"/>
      <c r="Q1301" s="24"/>
    </row>
    <row r="1302" ht="14.25" customHeight="1">
      <c r="A1302" s="1">
        <v>87.0</v>
      </c>
      <c r="B1302" s="1">
        <v>7.0</v>
      </c>
      <c r="K1302" s="4"/>
      <c r="P1302" s="5"/>
      <c r="Q1302" s="24"/>
    </row>
    <row r="1303" ht="14.25" customHeight="1">
      <c r="A1303" s="1">
        <v>86.0</v>
      </c>
      <c r="B1303" s="1">
        <v>7.0</v>
      </c>
      <c r="K1303" s="4"/>
      <c r="P1303" s="5"/>
      <c r="Q1303" s="24"/>
    </row>
    <row r="1304" ht="14.25" customHeight="1">
      <c r="A1304" s="1">
        <v>86.0</v>
      </c>
      <c r="B1304" s="1">
        <v>7.0</v>
      </c>
      <c r="K1304" s="4"/>
      <c r="P1304" s="5"/>
      <c r="Q1304" s="24"/>
    </row>
    <row r="1305" ht="14.25" customHeight="1">
      <c r="A1305" s="1">
        <v>86.0</v>
      </c>
      <c r="B1305" s="1">
        <v>7.0</v>
      </c>
      <c r="K1305" s="4"/>
      <c r="P1305" s="5"/>
      <c r="Q1305" s="24"/>
    </row>
    <row r="1306" ht="14.25" customHeight="1">
      <c r="A1306" s="1">
        <v>85.0</v>
      </c>
      <c r="B1306" s="1">
        <v>7.0</v>
      </c>
      <c r="K1306" s="4"/>
      <c r="P1306" s="5"/>
      <c r="Q1306" s="24"/>
    </row>
    <row r="1307" ht="14.25" customHeight="1">
      <c r="A1307" s="1">
        <v>84.0</v>
      </c>
      <c r="B1307" s="1">
        <v>7.0</v>
      </c>
      <c r="K1307" s="4"/>
      <c r="P1307" s="5"/>
      <c r="Q1307" s="24"/>
    </row>
    <row r="1308" ht="14.25" customHeight="1">
      <c r="A1308" s="1">
        <v>83.0</v>
      </c>
      <c r="B1308" s="1">
        <v>7.0</v>
      </c>
      <c r="K1308" s="4"/>
      <c r="P1308" s="5"/>
      <c r="Q1308" s="24"/>
    </row>
    <row r="1309" ht="14.25" customHeight="1">
      <c r="A1309" s="1">
        <v>81.0</v>
      </c>
      <c r="B1309" s="1">
        <v>7.0</v>
      </c>
      <c r="K1309" s="4"/>
      <c r="P1309" s="5"/>
      <c r="Q1309" s="24"/>
    </row>
    <row r="1310" ht="14.25" customHeight="1">
      <c r="A1310" s="1">
        <v>77.0</v>
      </c>
      <c r="B1310" s="1">
        <v>7.0</v>
      </c>
      <c r="K1310" s="4"/>
      <c r="P1310" s="5"/>
      <c r="Q1310" s="24"/>
    </row>
    <row r="1311" ht="14.25" customHeight="1">
      <c r="A1311" s="1">
        <v>75.0</v>
      </c>
      <c r="B1311" s="1">
        <v>7.0</v>
      </c>
      <c r="K1311" s="4"/>
      <c r="P1311" s="5"/>
      <c r="Q1311" s="24"/>
    </row>
    <row r="1312" ht="14.25" customHeight="1">
      <c r="A1312" s="1">
        <v>73.0</v>
      </c>
      <c r="B1312" s="1">
        <v>7.0</v>
      </c>
      <c r="K1312" s="4"/>
      <c r="P1312" s="5"/>
      <c r="Q1312" s="24"/>
    </row>
    <row r="1313" ht="14.25" customHeight="1">
      <c r="A1313" s="1">
        <v>72.0</v>
      </c>
      <c r="B1313" s="1">
        <v>7.0</v>
      </c>
      <c r="K1313" s="4"/>
      <c r="P1313" s="5"/>
      <c r="Q1313" s="24"/>
    </row>
    <row r="1314" ht="14.25" customHeight="1">
      <c r="A1314" s="1">
        <v>68.0</v>
      </c>
      <c r="B1314" s="1">
        <v>7.0</v>
      </c>
      <c r="K1314" s="4"/>
      <c r="P1314" s="5"/>
      <c r="Q1314" s="24"/>
    </row>
    <row r="1315" ht="14.25" customHeight="1">
      <c r="A1315" s="1">
        <v>183.0</v>
      </c>
      <c r="B1315" s="1">
        <v>6.9</v>
      </c>
      <c r="K1315" s="4"/>
      <c r="P1315" s="5"/>
      <c r="Q1315" s="24"/>
    </row>
    <row r="1316" ht="14.25" customHeight="1">
      <c r="A1316" s="1">
        <v>176.0</v>
      </c>
      <c r="B1316" s="1">
        <v>6.9</v>
      </c>
      <c r="K1316" s="4"/>
      <c r="P1316" s="5"/>
      <c r="Q1316" s="24"/>
    </row>
    <row r="1317" ht="14.25" customHeight="1">
      <c r="A1317" s="1">
        <v>155.0</v>
      </c>
      <c r="B1317" s="1">
        <v>6.9</v>
      </c>
      <c r="K1317" s="4"/>
      <c r="P1317" s="5"/>
      <c r="Q1317" s="24"/>
    </row>
    <row r="1318" ht="14.25" customHeight="1">
      <c r="A1318" s="1">
        <v>154.0</v>
      </c>
      <c r="B1318" s="1">
        <v>6.9</v>
      </c>
      <c r="K1318" s="4"/>
      <c r="P1318" s="5"/>
      <c r="Q1318" s="24"/>
    </row>
    <row r="1319" ht="14.25" customHeight="1">
      <c r="A1319" s="1">
        <v>152.0</v>
      </c>
      <c r="B1319" s="1">
        <v>6.9</v>
      </c>
      <c r="K1319" s="4"/>
      <c r="P1319" s="5"/>
      <c r="Q1319" s="24"/>
    </row>
    <row r="1320" ht="14.25" customHeight="1">
      <c r="A1320" s="1">
        <v>150.0</v>
      </c>
      <c r="B1320" s="1">
        <v>6.9</v>
      </c>
      <c r="K1320" s="4"/>
      <c r="P1320" s="5"/>
      <c r="Q1320" s="24"/>
    </row>
    <row r="1321" ht="14.25" customHeight="1">
      <c r="A1321" s="1">
        <v>149.0</v>
      </c>
      <c r="B1321" s="1">
        <v>6.9</v>
      </c>
      <c r="K1321" s="4"/>
      <c r="P1321" s="5"/>
      <c r="Q1321" s="24"/>
    </row>
    <row r="1322" ht="14.25" customHeight="1">
      <c r="A1322" s="1">
        <v>144.0</v>
      </c>
      <c r="B1322" s="1">
        <v>6.9</v>
      </c>
      <c r="K1322" s="4"/>
      <c r="P1322" s="5"/>
      <c r="Q1322" s="24"/>
    </row>
    <row r="1323" ht="14.25" customHeight="1">
      <c r="A1323" s="1">
        <v>144.0</v>
      </c>
      <c r="B1323" s="1">
        <v>6.9</v>
      </c>
      <c r="K1323" s="4"/>
      <c r="P1323" s="5"/>
      <c r="Q1323" s="24"/>
    </row>
    <row r="1324" ht="14.25" customHeight="1">
      <c r="A1324" s="1">
        <v>141.0</v>
      </c>
      <c r="B1324" s="1">
        <v>6.9</v>
      </c>
      <c r="K1324" s="4"/>
      <c r="P1324" s="5"/>
      <c r="Q1324" s="24"/>
    </row>
    <row r="1325" ht="14.25" customHeight="1">
      <c r="A1325" s="1">
        <v>141.0</v>
      </c>
      <c r="B1325" s="1">
        <v>6.9</v>
      </c>
      <c r="K1325" s="4"/>
      <c r="P1325" s="5"/>
      <c r="Q1325" s="24"/>
    </row>
    <row r="1326" ht="14.25" customHeight="1">
      <c r="A1326" s="1">
        <v>141.0</v>
      </c>
      <c r="B1326" s="1">
        <v>6.9</v>
      </c>
      <c r="K1326" s="4"/>
      <c r="P1326" s="5"/>
      <c r="Q1326" s="24"/>
    </row>
    <row r="1327" ht="14.25" customHeight="1">
      <c r="A1327" s="1">
        <v>139.0</v>
      </c>
      <c r="B1327" s="1">
        <v>6.9</v>
      </c>
      <c r="K1327" s="4"/>
      <c r="P1327" s="5"/>
      <c r="Q1327" s="24"/>
    </row>
    <row r="1328" ht="14.25" customHeight="1">
      <c r="A1328" s="1">
        <v>139.0</v>
      </c>
      <c r="B1328" s="1">
        <v>6.9</v>
      </c>
      <c r="K1328" s="4"/>
      <c r="P1328" s="5"/>
      <c r="Q1328" s="24"/>
    </row>
    <row r="1329" ht="14.25" customHeight="1">
      <c r="A1329" s="1">
        <v>138.0</v>
      </c>
      <c r="B1329" s="1">
        <v>6.9</v>
      </c>
      <c r="K1329" s="4"/>
      <c r="P1329" s="5"/>
      <c r="Q1329" s="24"/>
    </row>
    <row r="1330" ht="14.25" customHeight="1">
      <c r="A1330" s="1">
        <v>136.0</v>
      </c>
      <c r="B1330" s="1">
        <v>6.9</v>
      </c>
      <c r="K1330" s="4"/>
      <c r="P1330" s="5"/>
      <c r="Q1330" s="24"/>
    </row>
    <row r="1331" ht="14.25" customHeight="1">
      <c r="A1331" s="1">
        <v>136.0</v>
      </c>
      <c r="B1331" s="1">
        <v>6.9</v>
      </c>
      <c r="K1331" s="4"/>
      <c r="P1331" s="5"/>
      <c r="Q1331" s="24"/>
    </row>
    <row r="1332" ht="14.25" customHeight="1">
      <c r="A1332" s="1">
        <v>136.0</v>
      </c>
      <c r="B1332" s="1">
        <v>6.9</v>
      </c>
      <c r="K1332" s="4"/>
      <c r="P1332" s="5"/>
      <c r="Q1332" s="24"/>
    </row>
    <row r="1333" ht="14.25" customHeight="1">
      <c r="A1333" s="1">
        <v>134.0</v>
      </c>
      <c r="B1333" s="1">
        <v>6.9</v>
      </c>
      <c r="K1333" s="4"/>
      <c r="P1333" s="5"/>
      <c r="Q1333" s="24"/>
    </row>
    <row r="1334" ht="14.25" customHeight="1">
      <c r="A1334" s="1">
        <v>132.0</v>
      </c>
      <c r="B1334" s="1">
        <v>6.9</v>
      </c>
      <c r="K1334" s="4"/>
      <c r="P1334" s="5"/>
      <c r="Q1334" s="24"/>
    </row>
    <row r="1335" ht="14.25" customHeight="1">
      <c r="A1335" s="1">
        <v>131.0</v>
      </c>
      <c r="B1335" s="1">
        <v>6.9</v>
      </c>
      <c r="K1335" s="4"/>
      <c r="P1335" s="5"/>
      <c r="Q1335" s="24"/>
    </row>
    <row r="1336" ht="14.25" customHeight="1">
      <c r="A1336" s="1">
        <v>131.0</v>
      </c>
      <c r="B1336" s="1">
        <v>6.9</v>
      </c>
      <c r="K1336" s="4"/>
      <c r="P1336" s="5"/>
      <c r="Q1336" s="24"/>
    </row>
    <row r="1337" ht="14.25" customHeight="1">
      <c r="A1337" s="1">
        <v>130.0</v>
      </c>
      <c r="B1337" s="1">
        <v>6.9</v>
      </c>
      <c r="K1337" s="4"/>
      <c r="P1337" s="5"/>
      <c r="Q1337" s="24"/>
    </row>
    <row r="1338" ht="14.25" customHeight="1">
      <c r="A1338" s="1">
        <v>130.0</v>
      </c>
      <c r="B1338" s="1">
        <v>6.9</v>
      </c>
      <c r="K1338" s="4"/>
      <c r="P1338" s="5"/>
      <c r="Q1338" s="24"/>
    </row>
    <row r="1339" ht="14.25" customHeight="1">
      <c r="A1339" s="1">
        <v>129.0</v>
      </c>
      <c r="B1339" s="1">
        <v>6.9</v>
      </c>
      <c r="K1339" s="4"/>
      <c r="P1339" s="5"/>
      <c r="Q1339" s="24"/>
    </row>
    <row r="1340" ht="14.25" customHeight="1">
      <c r="A1340" s="1">
        <v>129.0</v>
      </c>
      <c r="B1340" s="1">
        <v>6.9</v>
      </c>
      <c r="K1340" s="4"/>
      <c r="P1340" s="5"/>
      <c r="Q1340" s="24"/>
    </row>
    <row r="1341" ht="14.25" customHeight="1">
      <c r="A1341" s="1">
        <v>129.0</v>
      </c>
      <c r="B1341" s="1">
        <v>6.9</v>
      </c>
      <c r="K1341" s="4"/>
      <c r="P1341" s="5"/>
      <c r="Q1341" s="24"/>
    </row>
    <row r="1342" ht="14.25" customHeight="1">
      <c r="A1342" s="1">
        <v>129.0</v>
      </c>
      <c r="B1342" s="1">
        <v>6.9</v>
      </c>
      <c r="K1342" s="4"/>
      <c r="P1342" s="5"/>
      <c r="Q1342" s="24"/>
    </row>
    <row r="1343" ht="14.25" customHeight="1">
      <c r="A1343" s="1">
        <v>127.0</v>
      </c>
      <c r="B1343" s="1">
        <v>6.9</v>
      </c>
      <c r="K1343" s="4"/>
      <c r="P1343" s="5"/>
      <c r="Q1343" s="24"/>
    </row>
    <row r="1344" ht="14.25" customHeight="1">
      <c r="A1344" s="1">
        <v>125.0</v>
      </c>
      <c r="B1344" s="1">
        <v>6.9</v>
      </c>
      <c r="K1344" s="4"/>
      <c r="P1344" s="5"/>
      <c r="Q1344" s="24"/>
    </row>
    <row r="1345" ht="14.25" customHeight="1">
      <c r="A1345" s="1">
        <v>125.0</v>
      </c>
      <c r="B1345" s="1">
        <v>6.9</v>
      </c>
      <c r="K1345" s="4"/>
      <c r="P1345" s="5"/>
      <c r="Q1345" s="24"/>
    </row>
    <row r="1346" ht="14.25" customHeight="1">
      <c r="A1346" s="1">
        <v>125.0</v>
      </c>
      <c r="B1346" s="1">
        <v>6.9</v>
      </c>
      <c r="K1346" s="4"/>
      <c r="P1346" s="5"/>
      <c r="Q1346" s="24"/>
    </row>
    <row r="1347" ht="14.25" customHeight="1">
      <c r="A1347" s="1">
        <v>125.0</v>
      </c>
      <c r="B1347" s="1">
        <v>6.9</v>
      </c>
      <c r="K1347" s="4"/>
      <c r="P1347" s="5"/>
      <c r="Q1347" s="24"/>
    </row>
    <row r="1348" ht="14.25" customHeight="1">
      <c r="A1348" s="1">
        <v>124.0</v>
      </c>
      <c r="B1348" s="1">
        <v>6.9</v>
      </c>
      <c r="K1348" s="4"/>
      <c r="P1348" s="5"/>
      <c r="Q1348" s="24"/>
    </row>
    <row r="1349" ht="14.25" customHeight="1">
      <c r="A1349" s="1">
        <v>124.0</v>
      </c>
      <c r="B1349" s="1">
        <v>6.9</v>
      </c>
      <c r="K1349" s="4"/>
      <c r="P1349" s="5"/>
      <c r="Q1349" s="24"/>
    </row>
    <row r="1350" ht="14.25" customHeight="1">
      <c r="A1350" s="1">
        <v>123.0</v>
      </c>
      <c r="B1350" s="1">
        <v>6.9</v>
      </c>
      <c r="K1350" s="4"/>
      <c r="P1350" s="5"/>
      <c r="Q1350" s="24"/>
    </row>
    <row r="1351" ht="14.25" customHeight="1">
      <c r="A1351" s="1">
        <v>122.0</v>
      </c>
      <c r="B1351" s="1">
        <v>6.9</v>
      </c>
      <c r="K1351" s="4"/>
      <c r="P1351" s="5"/>
      <c r="Q1351" s="24"/>
    </row>
    <row r="1352" ht="14.25" customHeight="1">
      <c r="A1352" s="1">
        <v>120.0</v>
      </c>
      <c r="B1352" s="1">
        <v>6.9</v>
      </c>
      <c r="K1352" s="4"/>
      <c r="P1352" s="5"/>
      <c r="Q1352" s="24"/>
    </row>
    <row r="1353" ht="14.25" customHeight="1">
      <c r="A1353" s="1">
        <v>120.0</v>
      </c>
      <c r="B1353" s="1">
        <v>6.9</v>
      </c>
      <c r="K1353" s="4"/>
      <c r="P1353" s="5"/>
      <c r="Q1353" s="24"/>
    </row>
    <row r="1354" ht="14.25" customHeight="1">
      <c r="A1354" s="1">
        <v>120.0</v>
      </c>
      <c r="B1354" s="1">
        <v>6.9</v>
      </c>
      <c r="K1354" s="4"/>
      <c r="P1354" s="5"/>
      <c r="Q1354" s="24"/>
    </row>
    <row r="1355" ht="14.25" customHeight="1">
      <c r="A1355" s="1">
        <v>119.0</v>
      </c>
      <c r="B1355" s="1">
        <v>6.9</v>
      </c>
      <c r="K1355" s="4"/>
      <c r="P1355" s="5"/>
      <c r="Q1355" s="24"/>
    </row>
    <row r="1356" ht="14.25" customHeight="1">
      <c r="A1356" s="1">
        <v>118.0</v>
      </c>
      <c r="B1356" s="1">
        <v>6.9</v>
      </c>
      <c r="K1356" s="4"/>
      <c r="P1356" s="5"/>
      <c r="Q1356" s="24"/>
    </row>
    <row r="1357" ht="14.25" customHeight="1">
      <c r="A1357" s="1">
        <v>118.0</v>
      </c>
      <c r="B1357" s="1">
        <v>6.9</v>
      </c>
      <c r="K1357" s="4"/>
      <c r="P1357" s="5"/>
      <c r="Q1357" s="24"/>
    </row>
    <row r="1358" ht="14.25" customHeight="1">
      <c r="A1358" s="1">
        <v>118.0</v>
      </c>
      <c r="B1358" s="1">
        <v>6.9</v>
      </c>
      <c r="K1358" s="4"/>
      <c r="P1358" s="5"/>
      <c r="Q1358" s="24"/>
    </row>
    <row r="1359" ht="14.25" customHeight="1">
      <c r="A1359" s="1">
        <v>117.0</v>
      </c>
      <c r="B1359" s="1">
        <v>6.9</v>
      </c>
      <c r="K1359" s="4"/>
      <c r="P1359" s="5"/>
      <c r="Q1359" s="24"/>
    </row>
    <row r="1360" ht="14.25" customHeight="1">
      <c r="A1360" s="1">
        <v>117.0</v>
      </c>
      <c r="B1360" s="1">
        <v>6.9</v>
      </c>
      <c r="K1360" s="4"/>
      <c r="P1360" s="5"/>
      <c r="Q1360" s="24"/>
    </row>
    <row r="1361" ht="14.25" customHeight="1">
      <c r="A1361" s="1">
        <v>117.0</v>
      </c>
      <c r="B1361" s="1">
        <v>6.9</v>
      </c>
      <c r="K1361" s="4"/>
      <c r="P1361" s="5"/>
      <c r="Q1361" s="24"/>
    </row>
    <row r="1362" ht="14.25" customHeight="1">
      <c r="A1362" s="1">
        <v>117.0</v>
      </c>
      <c r="B1362" s="1">
        <v>6.9</v>
      </c>
      <c r="K1362" s="4"/>
      <c r="P1362" s="5"/>
      <c r="Q1362" s="24"/>
    </row>
    <row r="1363" ht="14.25" customHeight="1">
      <c r="A1363" s="1">
        <v>117.0</v>
      </c>
      <c r="B1363" s="1">
        <v>6.9</v>
      </c>
      <c r="K1363" s="4"/>
      <c r="P1363" s="5"/>
      <c r="Q1363" s="24"/>
    </row>
    <row r="1364" ht="14.25" customHeight="1">
      <c r="A1364" s="1">
        <v>117.0</v>
      </c>
      <c r="B1364" s="1">
        <v>6.9</v>
      </c>
      <c r="K1364" s="4"/>
      <c r="P1364" s="5"/>
      <c r="Q1364" s="24"/>
    </row>
    <row r="1365" ht="14.25" customHeight="1">
      <c r="A1365" s="1">
        <v>117.0</v>
      </c>
      <c r="B1365" s="1">
        <v>6.9</v>
      </c>
      <c r="K1365" s="4"/>
      <c r="P1365" s="5"/>
      <c r="Q1365" s="24"/>
    </row>
    <row r="1366" ht="14.25" customHeight="1">
      <c r="A1366" s="1">
        <v>117.0</v>
      </c>
      <c r="B1366" s="1">
        <v>6.9</v>
      </c>
      <c r="K1366" s="4"/>
      <c r="P1366" s="5"/>
      <c r="Q1366" s="24"/>
    </row>
    <row r="1367" ht="14.25" customHeight="1">
      <c r="A1367" s="1">
        <v>116.0</v>
      </c>
      <c r="B1367" s="1">
        <v>6.9</v>
      </c>
      <c r="K1367" s="4"/>
      <c r="P1367" s="5"/>
      <c r="Q1367" s="24"/>
    </row>
    <row r="1368" ht="14.25" customHeight="1">
      <c r="A1368" s="1">
        <v>116.0</v>
      </c>
      <c r="B1368" s="1">
        <v>6.9</v>
      </c>
      <c r="K1368" s="4"/>
      <c r="P1368" s="5"/>
      <c r="Q1368" s="24"/>
    </row>
    <row r="1369" ht="14.25" customHeight="1">
      <c r="A1369" s="1">
        <v>115.0</v>
      </c>
      <c r="B1369" s="1">
        <v>6.9</v>
      </c>
      <c r="K1369" s="4"/>
      <c r="P1369" s="5"/>
      <c r="Q1369" s="24"/>
    </row>
    <row r="1370" ht="14.25" customHeight="1">
      <c r="A1370" s="1">
        <v>115.0</v>
      </c>
      <c r="B1370" s="1">
        <v>6.9</v>
      </c>
      <c r="K1370" s="4"/>
      <c r="P1370" s="5"/>
      <c r="Q1370" s="24"/>
    </row>
    <row r="1371" ht="14.25" customHeight="1">
      <c r="A1371" s="1">
        <v>115.0</v>
      </c>
      <c r="B1371" s="1">
        <v>6.9</v>
      </c>
      <c r="K1371" s="4"/>
      <c r="P1371" s="5"/>
      <c r="Q1371" s="24"/>
    </row>
    <row r="1372" ht="14.25" customHeight="1">
      <c r="A1372" s="1">
        <v>115.0</v>
      </c>
      <c r="B1372" s="1">
        <v>6.9</v>
      </c>
      <c r="K1372" s="4"/>
      <c r="P1372" s="5"/>
      <c r="Q1372" s="24"/>
    </row>
    <row r="1373" ht="14.25" customHeight="1">
      <c r="A1373" s="1">
        <v>115.0</v>
      </c>
      <c r="B1373" s="1">
        <v>6.9</v>
      </c>
      <c r="K1373" s="4"/>
      <c r="P1373" s="5"/>
      <c r="Q1373" s="24"/>
    </row>
    <row r="1374" ht="14.25" customHeight="1">
      <c r="A1374" s="1">
        <v>114.0</v>
      </c>
      <c r="B1374" s="1">
        <v>6.9</v>
      </c>
      <c r="K1374" s="4"/>
      <c r="P1374" s="5"/>
      <c r="Q1374" s="24"/>
    </row>
    <row r="1375" ht="14.25" customHeight="1">
      <c r="A1375" s="1">
        <v>114.0</v>
      </c>
      <c r="B1375" s="1">
        <v>6.9</v>
      </c>
      <c r="K1375" s="4"/>
      <c r="P1375" s="5"/>
      <c r="Q1375" s="24"/>
    </row>
    <row r="1376" ht="14.25" customHeight="1">
      <c r="A1376" s="1">
        <v>114.0</v>
      </c>
      <c r="B1376" s="1">
        <v>6.9</v>
      </c>
      <c r="K1376" s="4"/>
      <c r="P1376" s="5"/>
      <c r="Q1376" s="24"/>
    </row>
    <row r="1377" ht="14.25" customHeight="1">
      <c r="A1377" s="1">
        <v>114.0</v>
      </c>
      <c r="B1377" s="1">
        <v>6.9</v>
      </c>
      <c r="K1377" s="4"/>
      <c r="P1377" s="5"/>
      <c r="Q1377" s="24"/>
    </row>
    <row r="1378" ht="14.25" customHeight="1">
      <c r="A1378" s="1">
        <v>114.0</v>
      </c>
      <c r="B1378" s="1">
        <v>6.9</v>
      </c>
      <c r="K1378" s="4"/>
      <c r="P1378" s="5"/>
      <c r="Q1378" s="24"/>
    </row>
    <row r="1379" ht="14.25" customHeight="1">
      <c r="A1379" s="1">
        <v>114.0</v>
      </c>
      <c r="B1379" s="1">
        <v>6.9</v>
      </c>
      <c r="K1379" s="4"/>
      <c r="P1379" s="5"/>
      <c r="Q1379" s="24"/>
    </row>
    <row r="1380" ht="14.25" customHeight="1">
      <c r="A1380" s="1">
        <v>113.0</v>
      </c>
      <c r="B1380" s="1">
        <v>6.9</v>
      </c>
      <c r="K1380" s="4"/>
      <c r="P1380" s="5"/>
      <c r="Q1380" s="24"/>
    </row>
    <row r="1381" ht="14.25" customHeight="1">
      <c r="A1381" s="1">
        <v>113.0</v>
      </c>
      <c r="B1381" s="1">
        <v>6.9</v>
      </c>
      <c r="K1381" s="4"/>
      <c r="P1381" s="5"/>
      <c r="Q1381" s="24"/>
    </row>
    <row r="1382" ht="14.25" customHeight="1">
      <c r="A1382" s="1">
        <v>113.0</v>
      </c>
      <c r="B1382" s="1">
        <v>6.9</v>
      </c>
      <c r="K1382" s="4"/>
      <c r="P1382" s="5"/>
      <c r="Q1382" s="24"/>
    </row>
    <row r="1383" ht="14.25" customHeight="1">
      <c r="A1383" s="1">
        <v>113.0</v>
      </c>
      <c r="B1383" s="1">
        <v>6.9</v>
      </c>
      <c r="K1383" s="4"/>
      <c r="P1383" s="5"/>
      <c r="Q1383" s="24"/>
    </row>
    <row r="1384" ht="14.25" customHeight="1">
      <c r="A1384" s="1">
        <v>112.0</v>
      </c>
      <c r="B1384" s="1">
        <v>6.9</v>
      </c>
      <c r="K1384" s="4"/>
      <c r="P1384" s="5"/>
      <c r="Q1384" s="24"/>
    </row>
    <row r="1385" ht="14.25" customHeight="1">
      <c r="A1385" s="1">
        <v>111.0</v>
      </c>
      <c r="B1385" s="1">
        <v>6.9</v>
      </c>
      <c r="K1385" s="4"/>
      <c r="P1385" s="5"/>
      <c r="Q1385" s="24"/>
    </row>
    <row r="1386" ht="14.25" customHeight="1">
      <c r="A1386" s="1">
        <v>111.0</v>
      </c>
      <c r="B1386" s="1">
        <v>6.9</v>
      </c>
      <c r="K1386" s="4"/>
      <c r="P1386" s="5"/>
      <c r="Q1386" s="24"/>
    </row>
    <row r="1387" ht="14.25" customHeight="1">
      <c r="A1387" s="1">
        <v>110.0</v>
      </c>
      <c r="B1387" s="1">
        <v>6.9</v>
      </c>
      <c r="K1387" s="4"/>
      <c r="P1387" s="5"/>
      <c r="Q1387" s="24"/>
    </row>
    <row r="1388" ht="14.25" customHeight="1">
      <c r="A1388" s="1">
        <v>110.0</v>
      </c>
      <c r="B1388" s="1">
        <v>6.9</v>
      </c>
      <c r="K1388" s="4"/>
      <c r="P1388" s="5"/>
      <c r="Q1388" s="24"/>
    </row>
    <row r="1389" ht="14.25" customHeight="1">
      <c r="A1389" s="1">
        <v>110.0</v>
      </c>
      <c r="B1389" s="1">
        <v>6.9</v>
      </c>
      <c r="K1389" s="4"/>
      <c r="P1389" s="5"/>
      <c r="Q1389" s="24"/>
    </row>
    <row r="1390" ht="14.25" customHeight="1">
      <c r="A1390" s="1">
        <v>109.0</v>
      </c>
      <c r="B1390" s="1">
        <v>6.9</v>
      </c>
      <c r="K1390" s="4"/>
      <c r="P1390" s="5"/>
      <c r="Q1390" s="24"/>
    </row>
    <row r="1391" ht="14.25" customHeight="1">
      <c r="A1391" s="1">
        <v>109.0</v>
      </c>
      <c r="B1391" s="1">
        <v>6.9</v>
      </c>
      <c r="K1391" s="4"/>
      <c r="P1391" s="5"/>
      <c r="Q1391" s="24"/>
    </row>
    <row r="1392" ht="14.25" customHeight="1">
      <c r="A1392" s="1">
        <v>109.0</v>
      </c>
      <c r="B1392" s="1">
        <v>6.9</v>
      </c>
      <c r="K1392" s="4"/>
      <c r="P1392" s="5"/>
      <c r="Q1392" s="24"/>
    </row>
    <row r="1393" ht="14.25" customHeight="1">
      <c r="A1393" s="1">
        <v>109.0</v>
      </c>
      <c r="B1393" s="1">
        <v>6.9</v>
      </c>
      <c r="K1393" s="4"/>
      <c r="P1393" s="5"/>
      <c r="Q1393" s="24"/>
    </row>
    <row r="1394" ht="14.25" customHeight="1">
      <c r="A1394" s="1">
        <v>109.0</v>
      </c>
      <c r="B1394" s="1">
        <v>6.9</v>
      </c>
      <c r="K1394" s="4"/>
      <c r="P1394" s="5"/>
      <c r="Q1394" s="24"/>
    </row>
    <row r="1395" ht="14.25" customHeight="1">
      <c r="A1395" s="1">
        <v>109.0</v>
      </c>
      <c r="B1395" s="1">
        <v>6.9</v>
      </c>
      <c r="K1395" s="4"/>
      <c r="P1395" s="5"/>
      <c r="Q1395" s="24"/>
    </row>
    <row r="1396" ht="14.25" customHeight="1">
      <c r="A1396" s="1">
        <v>108.0</v>
      </c>
      <c r="B1396" s="1">
        <v>6.9</v>
      </c>
      <c r="K1396" s="4"/>
      <c r="P1396" s="5"/>
      <c r="Q1396" s="24"/>
    </row>
    <row r="1397" ht="14.25" customHeight="1">
      <c r="A1397" s="1">
        <v>108.0</v>
      </c>
      <c r="B1397" s="1">
        <v>6.9</v>
      </c>
      <c r="K1397" s="4"/>
      <c r="P1397" s="5"/>
      <c r="Q1397" s="24"/>
    </row>
    <row r="1398" ht="14.25" customHeight="1">
      <c r="A1398" s="1">
        <v>106.0</v>
      </c>
      <c r="B1398" s="1">
        <v>6.9</v>
      </c>
      <c r="K1398" s="4"/>
      <c r="P1398" s="5"/>
      <c r="Q1398" s="24"/>
    </row>
    <row r="1399" ht="14.25" customHeight="1">
      <c r="A1399" s="1">
        <v>106.0</v>
      </c>
      <c r="B1399" s="1">
        <v>6.9</v>
      </c>
      <c r="K1399" s="4"/>
      <c r="P1399" s="5"/>
      <c r="Q1399" s="24"/>
    </row>
    <row r="1400" ht="14.25" customHeight="1">
      <c r="A1400" s="1">
        <v>106.0</v>
      </c>
      <c r="B1400" s="1">
        <v>6.9</v>
      </c>
      <c r="K1400" s="4"/>
      <c r="P1400" s="5"/>
      <c r="Q1400" s="24"/>
    </row>
    <row r="1401" ht="14.25" customHeight="1">
      <c r="A1401" s="1">
        <v>106.0</v>
      </c>
      <c r="B1401" s="1">
        <v>6.9</v>
      </c>
      <c r="K1401" s="4"/>
      <c r="P1401" s="5"/>
      <c r="Q1401" s="24"/>
    </row>
    <row r="1402" ht="14.25" customHeight="1">
      <c r="A1402" s="1">
        <v>106.0</v>
      </c>
      <c r="B1402" s="1">
        <v>6.9</v>
      </c>
      <c r="K1402" s="4"/>
      <c r="P1402" s="5"/>
      <c r="Q1402" s="24"/>
    </row>
    <row r="1403" ht="14.25" customHeight="1">
      <c r="A1403" s="1">
        <v>105.0</v>
      </c>
      <c r="B1403" s="1">
        <v>6.9</v>
      </c>
      <c r="K1403" s="4"/>
      <c r="P1403" s="5"/>
      <c r="Q1403" s="24"/>
    </row>
    <row r="1404" ht="14.25" customHeight="1">
      <c r="A1404" s="1">
        <v>105.0</v>
      </c>
      <c r="B1404" s="1">
        <v>6.9</v>
      </c>
      <c r="K1404" s="4"/>
      <c r="P1404" s="5"/>
      <c r="Q1404" s="24"/>
    </row>
    <row r="1405" ht="14.25" customHeight="1">
      <c r="A1405" s="1">
        <v>105.0</v>
      </c>
      <c r="B1405" s="1">
        <v>6.9</v>
      </c>
      <c r="K1405" s="4"/>
      <c r="P1405" s="5"/>
      <c r="Q1405" s="24"/>
    </row>
    <row r="1406" ht="14.25" customHeight="1">
      <c r="A1406" s="1">
        <v>104.0</v>
      </c>
      <c r="B1406" s="1">
        <v>6.9</v>
      </c>
      <c r="K1406" s="4"/>
      <c r="P1406" s="5"/>
      <c r="Q1406" s="24"/>
    </row>
    <row r="1407" ht="14.25" customHeight="1">
      <c r="A1407" s="1">
        <v>103.0</v>
      </c>
      <c r="B1407" s="1">
        <v>6.9</v>
      </c>
      <c r="K1407" s="4"/>
      <c r="P1407" s="5"/>
      <c r="Q1407" s="24"/>
    </row>
    <row r="1408" ht="14.25" customHeight="1">
      <c r="A1408" s="1">
        <v>103.0</v>
      </c>
      <c r="B1408" s="1">
        <v>6.9</v>
      </c>
      <c r="K1408" s="4"/>
      <c r="P1408" s="5"/>
      <c r="Q1408" s="24"/>
    </row>
    <row r="1409" ht="14.25" customHeight="1">
      <c r="A1409" s="1">
        <v>103.0</v>
      </c>
      <c r="B1409" s="1">
        <v>6.9</v>
      </c>
      <c r="K1409" s="4"/>
      <c r="P1409" s="5"/>
      <c r="Q1409" s="24"/>
    </row>
    <row r="1410" ht="14.25" customHeight="1">
      <c r="A1410" s="1">
        <v>102.0</v>
      </c>
      <c r="B1410" s="1">
        <v>6.9</v>
      </c>
      <c r="K1410" s="4"/>
      <c r="P1410" s="5"/>
      <c r="Q1410" s="24"/>
    </row>
    <row r="1411" ht="14.25" customHeight="1">
      <c r="A1411" s="1">
        <v>102.0</v>
      </c>
      <c r="B1411" s="1">
        <v>6.9</v>
      </c>
      <c r="K1411" s="4"/>
      <c r="P1411" s="5"/>
      <c r="Q1411" s="24"/>
    </row>
    <row r="1412" ht="14.25" customHeight="1">
      <c r="A1412" s="1">
        <v>101.0</v>
      </c>
      <c r="B1412" s="1">
        <v>6.9</v>
      </c>
      <c r="K1412" s="4"/>
      <c r="P1412" s="5"/>
      <c r="Q1412" s="24"/>
    </row>
    <row r="1413" ht="14.25" customHeight="1">
      <c r="A1413" s="1">
        <v>101.0</v>
      </c>
      <c r="B1413" s="1">
        <v>6.9</v>
      </c>
      <c r="K1413" s="4"/>
      <c r="P1413" s="5"/>
      <c r="Q1413" s="24"/>
    </row>
    <row r="1414" ht="14.25" customHeight="1">
      <c r="A1414" s="1">
        <v>101.0</v>
      </c>
      <c r="B1414" s="1">
        <v>6.9</v>
      </c>
      <c r="K1414" s="4"/>
      <c r="P1414" s="5"/>
      <c r="Q1414" s="24"/>
    </row>
    <row r="1415" ht="14.25" customHeight="1">
      <c r="A1415" s="1">
        <v>101.0</v>
      </c>
      <c r="B1415" s="1">
        <v>6.9</v>
      </c>
      <c r="K1415" s="4"/>
      <c r="P1415" s="5"/>
      <c r="Q1415" s="24"/>
    </row>
    <row r="1416" ht="14.25" customHeight="1">
      <c r="A1416" s="1">
        <v>100.0</v>
      </c>
      <c r="B1416" s="1">
        <v>6.9</v>
      </c>
      <c r="K1416" s="4"/>
      <c r="P1416" s="5"/>
      <c r="Q1416" s="24"/>
    </row>
    <row r="1417" ht="14.25" customHeight="1">
      <c r="A1417" s="1">
        <v>100.0</v>
      </c>
      <c r="B1417" s="1">
        <v>6.9</v>
      </c>
      <c r="K1417" s="4"/>
      <c r="P1417" s="5"/>
      <c r="Q1417" s="24"/>
    </row>
    <row r="1418" ht="14.25" customHeight="1">
      <c r="A1418" s="1">
        <v>99.0</v>
      </c>
      <c r="B1418" s="1">
        <v>6.9</v>
      </c>
      <c r="K1418" s="4"/>
      <c r="P1418" s="5"/>
      <c r="Q1418" s="24"/>
    </row>
    <row r="1419" ht="14.25" customHeight="1">
      <c r="A1419" s="1">
        <v>98.0</v>
      </c>
      <c r="B1419" s="1">
        <v>6.9</v>
      </c>
      <c r="K1419" s="4"/>
      <c r="P1419" s="5"/>
      <c r="Q1419" s="24"/>
    </row>
    <row r="1420" ht="14.25" customHeight="1">
      <c r="A1420" s="1">
        <v>98.0</v>
      </c>
      <c r="B1420" s="1">
        <v>6.9</v>
      </c>
      <c r="K1420" s="4"/>
      <c r="P1420" s="5"/>
      <c r="Q1420" s="24"/>
    </row>
    <row r="1421" ht="14.25" customHeight="1">
      <c r="A1421" s="1">
        <v>98.0</v>
      </c>
      <c r="B1421" s="1">
        <v>6.9</v>
      </c>
      <c r="K1421" s="4"/>
      <c r="P1421" s="5"/>
      <c r="Q1421" s="24"/>
    </row>
    <row r="1422" ht="14.25" customHeight="1">
      <c r="A1422" s="1">
        <v>98.0</v>
      </c>
      <c r="B1422" s="1">
        <v>6.9</v>
      </c>
      <c r="K1422" s="4"/>
      <c r="P1422" s="5"/>
      <c r="Q1422" s="24"/>
    </row>
    <row r="1423" ht="14.25" customHeight="1">
      <c r="A1423" s="1">
        <v>98.0</v>
      </c>
      <c r="B1423" s="1">
        <v>6.9</v>
      </c>
      <c r="K1423" s="4"/>
      <c r="P1423" s="5"/>
      <c r="Q1423" s="24"/>
    </row>
    <row r="1424" ht="14.25" customHeight="1">
      <c r="A1424" s="1">
        <v>98.0</v>
      </c>
      <c r="B1424" s="1">
        <v>6.9</v>
      </c>
      <c r="K1424" s="4"/>
      <c r="P1424" s="5"/>
      <c r="Q1424" s="24"/>
    </row>
    <row r="1425" ht="14.25" customHeight="1">
      <c r="A1425" s="1">
        <v>97.0</v>
      </c>
      <c r="B1425" s="1">
        <v>6.9</v>
      </c>
      <c r="K1425" s="4"/>
      <c r="P1425" s="5"/>
      <c r="Q1425" s="24"/>
    </row>
    <row r="1426" ht="14.25" customHeight="1">
      <c r="A1426" s="1">
        <v>97.0</v>
      </c>
      <c r="B1426" s="1">
        <v>6.9</v>
      </c>
      <c r="K1426" s="4"/>
      <c r="P1426" s="5"/>
      <c r="Q1426" s="24"/>
    </row>
    <row r="1427" ht="14.25" customHeight="1">
      <c r="A1427" s="1">
        <v>97.0</v>
      </c>
      <c r="B1427" s="1">
        <v>6.9</v>
      </c>
      <c r="K1427" s="4"/>
      <c r="P1427" s="5"/>
      <c r="Q1427" s="24"/>
    </row>
    <row r="1428" ht="14.25" customHeight="1">
      <c r="A1428" s="1">
        <v>97.0</v>
      </c>
      <c r="B1428" s="1">
        <v>6.9</v>
      </c>
      <c r="K1428" s="4"/>
      <c r="P1428" s="5"/>
      <c r="Q1428" s="24"/>
    </row>
    <row r="1429" ht="14.25" customHeight="1">
      <c r="A1429" s="1">
        <v>97.0</v>
      </c>
      <c r="B1429" s="1">
        <v>6.9</v>
      </c>
      <c r="K1429" s="4"/>
      <c r="P1429" s="5"/>
      <c r="Q1429" s="24"/>
    </row>
    <row r="1430" ht="14.25" customHeight="1">
      <c r="A1430" s="1">
        <v>96.0</v>
      </c>
      <c r="B1430" s="1">
        <v>6.9</v>
      </c>
      <c r="K1430" s="4"/>
      <c r="P1430" s="5"/>
      <c r="Q1430" s="24"/>
    </row>
    <row r="1431" ht="14.25" customHeight="1">
      <c r="A1431" s="1">
        <v>96.0</v>
      </c>
      <c r="B1431" s="1">
        <v>6.9</v>
      </c>
      <c r="K1431" s="4"/>
      <c r="P1431" s="5"/>
      <c r="Q1431" s="24"/>
    </row>
    <row r="1432" ht="14.25" customHeight="1">
      <c r="A1432" s="1">
        <v>93.0</v>
      </c>
      <c r="B1432" s="1">
        <v>6.9</v>
      </c>
      <c r="K1432" s="4"/>
      <c r="P1432" s="5"/>
      <c r="Q1432" s="24"/>
    </row>
    <row r="1433" ht="14.25" customHeight="1">
      <c r="A1433" s="1">
        <v>93.0</v>
      </c>
      <c r="B1433" s="1">
        <v>6.9</v>
      </c>
      <c r="K1433" s="4"/>
      <c r="P1433" s="5"/>
      <c r="Q1433" s="24"/>
    </row>
    <row r="1434" ht="14.25" customHeight="1">
      <c r="A1434" s="1">
        <v>92.0</v>
      </c>
      <c r="B1434" s="1">
        <v>6.9</v>
      </c>
      <c r="K1434" s="4"/>
      <c r="P1434" s="5"/>
      <c r="Q1434" s="24"/>
    </row>
    <row r="1435" ht="14.25" customHeight="1">
      <c r="A1435" s="1">
        <v>92.0</v>
      </c>
      <c r="B1435" s="1">
        <v>6.9</v>
      </c>
      <c r="K1435" s="4"/>
      <c r="P1435" s="5"/>
      <c r="Q1435" s="24"/>
    </row>
    <row r="1436" ht="14.25" customHeight="1">
      <c r="A1436" s="1">
        <v>92.0</v>
      </c>
      <c r="B1436" s="1">
        <v>6.9</v>
      </c>
      <c r="K1436" s="4"/>
      <c r="P1436" s="5"/>
      <c r="Q1436" s="24"/>
    </row>
    <row r="1437" ht="14.25" customHeight="1">
      <c r="A1437" s="1">
        <v>92.0</v>
      </c>
      <c r="B1437" s="1">
        <v>6.9</v>
      </c>
      <c r="K1437" s="4"/>
      <c r="P1437" s="5"/>
      <c r="Q1437" s="24"/>
    </row>
    <row r="1438" ht="14.25" customHeight="1">
      <c r="A1438" s="1">
        <v>92.0</v>
      </c>
      <c r="B1438" s="1">
        <v>6.9</v>
      </c>
      <c r="K1438" s="4"/>
      <c r="P1438" s="5"/>
      <c r="Q1438" s="24"/>
    </row>
    <row r="1439" ht="14.25" customHeight="1">
      <c r="A1439" s="1">
        <v>91.0</v>
      </c>
      <c r="B1439" s="1">
        <v>6.9</v>
      </c>
      <c r="K1439" s="4"/>
      <c r="P1439" s="5"/>
      <c r="Q1439" s="24"/>
    </row>
    <row r="1440" ht="14.25" customHeight="1">
      <c r="A1440" s="1">
        <v>91.0</v>
      </c>
      <c r="B1440" s="1">
        <v>6.9</v>
      </c>
      <c r="K1440" s="4"/>
      <c r="P1440" s="5"/>
      <c r="Q1440" s="24"/>
    </row>
    <row r="1441" ht="14.25" customHeight="1">
      <c r="A1441" s="1">
        <v>91.0</v>
      </c>
      <c r="B1441" s="1">
        <v>6.9</v>
      </c>
      <c r="K1441" s="4"/>
      <c r="P1441" s="5"/>
      <c r="Q1441" s="24"/>
    </row>
    <row r="1442" ht="14.25" customHeight="1">
      <c r="A1442" s="1">
        <v>91.0</v>
      </c>
      <c r="B1442" s="1">
        <v>6.9</v>
      </c>
      <c r="K1442" s="4"/>
      <c r="P1442" s="5"/>
      <c r="Q1442" s="24"/>
    </row>
    <row r="1443" ht="14.25" customHeight="1">
      <c r="A1443" s="1">
        <v>90.0</v>
      </c>
      <c r="B1443" s="1">
        <v>6.9</v>
      </c>
      <c r="K1443" s="4"/>
      <c r="P1443" s="5"/>
      <c r="Q1443" s="24"/>
    </row>
    <row r="1444" ht="14.25" customHeight="1">
      <c r="A1444" s="1">
        <v>90.0</v>
      </c>
      <c r="B1444" s="1">
        <v>6.9</v>
      </c>
      <c r="K1444" s="4"/>
      <c r="P1444" s="5"/>
      <c r="Q1444" s="24"/>
    </row>
    <row r="1445" ht="14.25" customHeight="1">
      <c r="A1445" s="1">
        <v>89.0</v>
      </c>
      <c r="B1445" s="1">
        <v>6.9</v>
      </c>
      <c r="K1445" s="4"/>
      <c r="P1445" s="5"/>
      <c r="Q1445" s="24"/>
    </row>
    <row r="1446" ht="14.25" customHeight="1">
      <c r="A1446" s="1">
        <v>86.0</v>
      </c>
      <c r="B1446" s="1">
        <v>6.9</v>
      </c>
      <c r="K1446" s="4"/>
      <c r="P1446" s="5"/>
      <c r="Q1446" s="24"/>
    </row>
    <row r="1447" ht="14.25" customHeight="1">
      <c r="A1447" s="1">
        <v>86.0</v>
      </c>
      <c r="B1447" s="1">
        <v>6.9</v>
      </c>
      <c r="K1447" s="4"/>
      <c r="P1447" s="5"/>
      <c r="Q1447" s="24"/>
    </row>
    <row r="1448" ht="14.25" customHeight="1">
      <c r="A1448" s="1">
        <v>82.0</v>
      </c>
      <c r="B1448" s="1">
        <v>6.9</v>
      </c>
      <c r="K1448" s="4"/>
      <c r="P1448" s="5"/>
      <c r="Q1448" s="24"/>
    </row>
    <row r="1449" ht="14.25" customHeight="1">
      <c r="A1449" s="1">
        <v>82.0</v>
      </c>
      <c r="B1449" s="1">
        <v>6.9</v>
      </c>
      <c r="K1449" s="4"/>
      <c r="P1449" s="5"/>
      <c r="Q1449" s="24"/>
    </row>
    <row r="1450" ht="14.25" customHeight="1">
      <c r="A1450" s="1">
        <v>81.0</v>
      </c>
      <c r="B1450" s="1">
        <v>6.9</v>
      </c>
      <c r="K1450" s="4"/>
      <c r="P1450" s="5"/>
      <c r="Q1450" s="24"/>
    </row>
    <row r="1451" ht="14.25" customHeight="1">
      <c r="A1451" s="1">
        <v>81.0</v>
      </c>
      <c r="B1451" s="1">
        <v>6.9</v>
      </c>
      <c r="K1451" s="4"/>
      <c r="P1451" s="5"/>
      <c r="Q1451" s="24"/>
    </row>
    <row r="1452" ht="14.25" customHeight="1">
      <c r="A1452" s="1">
        <v>81.0</v>
      </c>
      <c r="B1452" s="1">
        <v>6.9</v>
      </c>
      <c r="K1452" s="4"/>
      <c r="P1452" s="5"/>
      <c r="Q1452" s="24"/>
    </row>
    <row r="1453" ht="14.25" customHeight="1">
      <c r="A1453" s="1">
        <v>81.0</v>
      </c>
      <c r="B1453" s="1">
        <v>6.9</v>
      </c>
      <c r="K1453" s="4"/>
      <c r="P1453" s="5"/>
      <c r="Q1453" s="24"/>
    </row>
    <row r="1454" ht="14.25" customHeight="1">
      <c r="A1454" s="1">
        <v>78.0</v>
      </c>
      <c r="B1454" s="1">
        <v>6.9</v>
      </c>
      <c r="K1454" s="4"/>
      <c r="P1454" s="5"/>
      <c r="Q1454" s="24"/>
    </row>
    <row r="1455" ht="14.25" customHeight="1">
      <c r="A1455" s="1">
        <v>75.0</v>
      </c>
      <c r="B1455" s="1">
        <v>6.9</v>
      </c>
      <c r="K1455" s="4"/>
      <c r="P1455" s="5"/>
      <c r="Q1455" s="24"/>
    </row>
    <row r="1456" ht="14.25" customHeight="1">
      <c r="A1456" s="1">
        <v>41.0</v>
      </c>
      <c r="B1456" s="1">
        <v>6.9</v>
      </c>
      <c r="K1456" s="4"/>
      <c r="P1456" s="5"/>
      <c r="Q1456" s="24"/>
    </row>
    <row r="1457" ht="14.25" customHeight="1">
      <c r="A1457" s="1">
        <v>325.0</v>
      </c>
      <c r="B1457" s="1">
        <v>6.8</v>
      </c>
      <c r="K1457" s="4"/>
      <c r="P1457" s="5"/>
      <c r="Q1457" s="24"/>
    </row>
    <row r="1458" ht="14.25" customHeight="1">
      <c r="A1458" s="1">
        <v>165.0</v>
      </c>
      <c r="B1458" s="1">
        <v>6.8</v>
      </c>
      <c r="K1458" s="4"/>
      <c r="P1458" s="5"/>
      <c r="Q1458" s="24"/>
    </row>
    <row r="1459" ht="14.25" customHeight="1">
      <c r="A1459" s="1">
        <v>156.0</v>
      </c>
      <c r="B1459" s="1">
        <v>6.8</v>
      </c>
      <c r="K1459" s="4"/>
      <c r="P1459" s="5"/>
      <c r="Q1459" s="24"/>
    </row>
    <row r="1460" ht="14.25" customHeight="1">
      <c r="A1460" s="1">
        <v>154.0</v>
      </c>
      <c r="B1460" s="1">
        <v>6.8</v>
      </c>
      <c r="K1460" s="4"/>
      <c r="P1460" s="5"/>
      <c r="Q1460" s="24"/>
    </row>
    <row r="1461" ht="14.25" customHeight="1">
      <c r="A1461" s="1">
        <v>152.0</v>
      </c>
      <c r="B1461" s="1">
        <v>6.8</v>
      </c>
      <c r="K1461" s="4"/>
      <c r="P1461" s="5"/>
      <c r="Q1461" s="24"/>
    </row>
    <row r="1462" ht="14.25" customHeight="1">
      <c r="A1462" s="1">
        <v>150.0</v>
      </c>
      <c r="B1462" s="1">
        <v>6.8</v>
      </c>
      <c r="K1462" s="4"/>
      <c r="P1462" s="5"/>
      <c r="Q1462" s="24"/>
    </row>
    <row r="1463" ht="14.25" customHeight="1">
      <c r="A1463" s="1">
        <v>148.0</v>
      </c>
      <c r="B1463" s="1">
        <v>6.8</v>
      </c>
      <c r="K1463" s="4"/>
      <c r="P1463" s="5"/>
      <c r="Q1463" s="24"/>
    </row>
    <row r="1464" ht="14.25" customHeight="1">
      <c r="A1464" s="1">
        <v>148.0</v>
      </c>
      <c r="B1464" s="1">
        <v>6.8</v>
      </c>
      <c r="K1464" s="4"/>
      <c r="P1464" s="5"/>
      <c r="Q1464" s="24"/>
    </row>
    <row r="1465" ht="14.25" customHeight="1">
      <c r="A1465" s="1">
        <v>142.0</v>
      </c>
      <c r="B1465" s="1">
        <v>6.8</v>
      </c>
      <c r="K1465" s="4"/>
      <c r="P1465" s="5"/>
      <c r="Q1465" s="24"/>
    </row>
    <row r="1466" ht="14.25" customHeight="1">
      <c r="A1466" s="1">
        <v>135.0</v>
      </c>
      <c r="B1466" s="1">
        <v>6.8</v>
      </c>
      <c r="K1466" s="4"/>
      <c r="P1466" s="5"/>
      <c r="Q1466" s="24"/>
    </row>
    <row r="1467" ht="14.25" customHeight="1">
      <c r="A1467" s="1">
        <v>135.0</v>
      </c>
      <c r="B1467" s="1">
        <v>6.8</v>
      </c>
      <c r="K1467" s="4"/>
      <c r="P1467" s="5"/>
      <c r="Q1467" s="24"/>
    </row>
    <row r="1468" ht="14.25" customHeight="1">
      <c r="A1468" s="1">
        <v>132.0</v>
      </c>
      <c r="B1468" s="1">
        <v>6.8</v>
      </c>
      <c r="K1468" s="4"/>
      <c r="P1468" s="5"/>
      <c r="Q1468" s="24"/>
    </row>
    <row r="1469" ht="14.25" customHeight="1">
      <c r="A1469" s="1">
        <v>132.0</v>
      </c>
      <c r="B1469" s="1">
        <v>6.8</v>
      </c>
      <c r="K1469" s="4"/>
      <c r="P1469" s="5"/>
      <c r="Q1469" s="24"/>
    </row>
    <row r="1470" ht="14.25" customHeight="1">
      <c r="A1470" s="1">
        <v>131.0</v>
      </c>
      <c r="B1470" s="1">
        <v>6.8</v>
      </c>
      <c r="K1470" s="4"/>
      <c r="P1470" s="5"/>
      <c r="Q1470" s="24"/>
    </row>
    <row r="1471" ht="14.25" customHeight="1">
      <c r="A1471" s="1">
        <v>129.0</v>
      </c>
      <c r="B1471" s="1">
        <v>6.8</v>
      </c>
      <c r="K1471" s="4"/>
      <c r="P1471" s="5"/>
      <c r="Q1471" s="24"/>
    </row>
    <row r="1472" ht="14.25" customHeight="1">
      <c r="A1472" s="1">
        <v>127.0</v>
      </c>
      <c r="B1472" s="1">
        <v>6.8</v>
      </c>
      <c r="K1472" s="4"/>
      <c r="P1472" s="5"/>
      <c r="Q1472" s="24"/>
    </row>
    <row r="1473" ht="14.25" customHeight="1">
      <c r="A1473" s="1">
        <v>127.0</v>
      </c>
      <c r="B1473" s="1">
        <v>6.8</v>
      </c>
      <c r="K1473" s="4"/>
      <c r="P1473" s="5"/>
      <c r="Q1473" s="24"/>
    </row>
    <row r="1474" ht="14.25" customHeight="1">
      <c r="A1474" s="1">
        <v>125.0</v>
      </c>
      <c r="B1474" s="1">
        <v>6.8</v>
      </c>
      <c r="K1474" s="4"/>
      <c r="P1474" s="5"/>
      <c r="Q1474" s="24"/>
    </row>
    <row r="1475" ht="14.25" customHeight="1">
      <c r="A1475" s="1">
        <v>125.0</v>
      </c>
      <c r="B1475" s="1">
        <v>6.8</v>
      </c>
      <c r="K1475" s="4"/>
      <c r="P1475" s="5"/>
      <c r="Q1475" s="24"/>
    </row>
    <row r="1476" ht="14.25" customHeight="1">
      <c r="A1476" s="1">
        <v>125.0</v>
      </c>
      <c r="B1476" s="1">
        <v>6.8</v>
      </c>
      <c r="K1476" s="4"/>
      <c r="P1476" s="5"/>
      <c r="Q1476" s="24"/>
    </row>
    <row r="1477" ht="14.25" customHeight="1">
      <c r="A1477" s="1">
        <v>124.0</v>
      </c>
      <c r="B1477" s="1">
        <v>6.8</v>
      </c>
      <c r="K1477" s="4"/>
      <c r="P1477" s="5"/>
      <c r="Q1477" s="24"/>
    </row>
    <row r="1478" ht="14.25" customHeight="1">
      <c r="A1478" s="1">
        <v>124.0</v>
      </c>
      <c r="B1478" s="1">
        <v>6.8</v>
      </c>
      <c r="K1478" s="4"/>
      <c r="P1478" s="5"/>
      <c r="Q1478" s="24"/>
    </row>
    <row r="1479" ht="14.25" customHeight="1">
      <c r="A1479" s="1">
        <v>123.0</v>
      </c>
      <c r="B1479" s="1">
        <v>6.8</v>
      </c>
      <c r="K1479" s="4"/>
      <c r="P1479" s="5"/>
      <c r="Q1479" s="24"/>
    </row>
    <row r="1480" ht="14.25" customHeight="1">
      <c r="A1480" s="1">
        <v>123.0</v>
      </c>
      <c r="B1480" s="1">
        <v>6.8</v>
      </c>
      <c r="K1480" s="4"/>
      <c r="P1480" s="5"/>
      <c r="Q1480" s="24"/>
    </row>
    <row r="1481" ht="14.25" customHeight="1">
      <c r="A1481" s="1">
        <v>123.0</v>
      </c>
      <c r="B1481" s="1">
        <v>6.8</v>
      </c>
      <c r="K1481" s="4"/>
      <c r="P1481" s="5"/>
      <c r="Q1481" s="24"/>
    </row>
    <row r="1482" ht="14.25" customHeight="1">
      <c r="A1482" s="1">
        <v>123.0</v>
      </c>
      <c r="B1482" s="1">
        <v>6.8</v>
      </c>
      <c r="K1482" s="4"/>
      <c r="P1482" s="5"/>
      <c r="Q1482" s="24"/>
    </row>
    <row r="1483" ht="14.25" customHeight="1">
      <c r="A1483" s="1">
        <v>122.0</v>
      </c>
      <c r="B1483" s="1">
        <v>6.8</v>
      </c>
      <c r="K1483" s="4"/>
      <c r="P1483" s="5"/>
      <c r="Q1483" s="24"/>
    </row>
    <row r="1484" ht="14.25" customHeight="1">
      <c r="A1484" s="1">
        <v>122.0</v>
      </c>
      <c r="B1484" s="1">
        <v>6.8</v>
      </c>
      <c r="K1484" s="4"/>
      <c r="P1484" s="5"/>
      <c r="Q1484" s="24"/>
    </row>
    <row r="1485" ht="14.25" customHeight="1">
      <c r="A1485" s="1">
        <v>122.0</v>
      </c>
      <c r="B1485" s="1">
        <v>6.8</v>
      </c>
      <c r="K1485" s="4"/>
      <c r="P1485" s="5"/>
      <c r="Q1485" s="24"/>
    </row>
    <row r="1486" ht="14.25" customHeight="1">
      <c r="A1486" s="1">
        <v>121.0</v>
      </c>
      <c r="B1486" s="1">
        <v>6.8</v>
      </c>
      <c r="K1486" s="4"/>
      <c r="P1486" s="5"/>
      <c r="Q1486" s="24"/>
    </row>
    <row r="1487" ht="14.25" customHeight="1">
      <c r="A1487" s="1">
        <v>121.0</v>
      </c>
      <c r="B1487" s="1">
        <v>6.8</v>
      </c>
      <c r="K1487" s="4"/>
      <c r="P1487" s="5"/>
      <c r="Q1487" s="24"/>
    </row>
    <row r="1488" ht="14.25" customHeight="1">
      <c r="A1488" s="1">
        <v>120.0</v>
      </c>
      <c r="B1488" s="1">
        <v>6.8</v>
      </c>
      <c r="K1488" s="4"/>
      <c r="P1488" s="5"/>
      <c r="Q1488" s="24"/>
    </row>
    <row r="1489" ht="14.25" customHeight="1">
      <c r="A1489" s="1">
        <v>120.0</v>
      </c>
      <c r="B1489" s="1">
        <v>6.8</v>
      </c>
      <c r="K1489" s="4"/>
      <c r="P1489" s="5"/>
      <c r="Q1489" s="24"/>
    </row>
    <row r="1490" ht="14.25" customHeight="1">
      <c r="A1490" s="1">
        <v>120.0</v>
      </c>
      <c r="B1490" s="1">
        <v>6.8</v>
      </c>
      <c r="K1490" s="4"/>
      <c r="P1490" s="5"/>
      <c r="Q1490" s="24"/>
    </row>
    <row r="1491" ht="14.25" customHeight="1">
      <c r="A1491" s="1">
        <v>119.0</v>
      </c>
      <c r="B1491" s="1">
        <v>6.8</v>
      </c>
      <c r="K1491" s="4"/>
      <c r="P1491" s="5"/>
      <c r="Q1491" s="24"/>
    </row>
    <row r="1492" ht="14.25" customHeight="1">
      <c r="A1492" s="1">
        <v>119.0</v>
      </c>
      <c r="B1492" s="1">
        <v>6.8</v>
      </c>
      <c r="K1492" s="4"/>
      <c r="P1492" s="5"/>
      <c r="Q1492" s="24"/>
    </row>
    <row r="1493" ht="14.25" customHeight="1">
      <c r="A1493" s="1">
        <v>119.0</v>
      </c>
      <c r="B1493" s="1">
        <v>6.8</v>
      </c>
      <c r="K1493" s="4"/>
      <c r="P1493" s="5"/>
      <c r="Q1493" s="24"/>
    </row>
    <row r="1494" ht="14.25" customHeight="1">
      <c r="A1494" s="1">
        <v>118.0</v>
      </c>
      <c r="B1494" s="1">
        <v>6.8</v>
      </c>
      <c r="K1494" s="4"/>
      <c r="P1494" s="5"/>
      <c r="Q1494" s="24"/>
    </row>
    <row r="1495" ht="14.25" customHeight="1">
      <c r="A1495" s="1">
        <v>118.0</v>
      </c>
      <c r="B1495" s="1">
        <v>6.8</v>
      </c>
      <c r="K1495" s="4"/>
      <c r="P1495" s="5"/>
      <c r="Q1495" s="24"/>
    </row>
    <row r="1496" ht="14.25" customHeight="1">
      <c r="A1496" s="1">
        <v>117.0</v>
      </c>
      <c r="B1496" s="1">
        <v>6.8</v>
      </c>
      <c r="K1496" s="4"/>
      <c r="P1496" s="5"/>
      <c r="Q1496" s="24"/>
    </row>
    <row r="1497" ht="14.25" customHeight="1">
      <c r="A1497" s="1">
        <v>117.0</v>
      </c>
      <c r="B1497" s="1">
        <v>6.8</v>
      </c>
      <c r="K1497" s="4"/>
      <c r="P1497" s="5"/>
      <c r="Q1497" s="24"/>
    </row>
    <row r="1498" ht="14.25" customHeight="1">
      <c r="A1498" s="1">
        <v>116.0</v>
      </c>
      <c r="B1498" s="1">
        <v>6.8</v>
      </c>
      <c r="K1498" s="4"/>
      <c r="P1498" s="5"/>
      <c r="Q1498" s="24"/>
    </row>
    <row r="1499" ht="14.25" customHeight="1">
      <c r="A1499" s="1">
        <v>116.0</v>
      </c>
      <c r="B1499" s="1">
        <v>6.8</v>
      </c>
      <c r="K1499" s="4"/>
      <c r="P1499" s="5"/>
      <c r="Q1499" s="24"/>
    </row>
    <row r="1500" ht="14.25" customHeight="1">
      <c r="A1500" s="1">
        <v>115.0</v>
      </c>
      <c r="B1500" s="1">
        <v>6.8</v>
      </c>
      <c r="K1500" s="4"/>
      <c r="P1500" s="5"/>
      <c r="Q1500" s="24"/>
    </row>
    <row r="1501" ht="14.25" customHeight="1">
      <c r="A1501" s="1">
        <v>115.0</v>
      </c>
      <c r="B1501" s="1">
        <v>6.8</v>
      </c>
      <c r="K1501" s="4"/>
      <c r="P1501" s="5"/>
      <c r="Q1501" s="24"/>
    </row>
    <row r="1502" ht="14.25" customHeight="1">
      <c r="A1502" s="1">
        <v>115.0</v>
      </c>
      <c r="B1502" s="1">
        <v>6.8</v>
      </c>
      <c r="K1502" s="4"/>
      <c r="P1502" s="5"/>
      <c r="Q1502" s="24"/>
    </row>
    <row r="1503" ht="14.25" customHeight="1">
      <c r="A1503" s="1">
        <v>115.0</v>
      </c>
      <c r="B1503" s="1">
        <v>6.8</v>
      </c>
      <c r="K1503" s="4"/>
      <c r="P1503" s="5"/>
      <c r="Q1503" s="24"/>
    </row>
    <row r="1504" ht="14.25" customHeight="1">
      <c r="A1504" s="1">
        <v>114.0</v>
      </c>
      <c r="B1504" s="1">
        <v>6.8</v>
      </c>
      <c r="K1504" s="4"/>
      <c r="P1504" s="5"/>
      <c r="Q1504" s="24"/>
    </row>
    <row r="1505" ht="14.25" customHeight="1">
      <c r="A1505" s="1">
        <v>114.0</v>
      </c>
      <c r="B1505" s="1">
        <v>6.8</v>
      </c>
      <c r="K1505" s="4"/>
      <c r="P1505" s="5"/>
      <c r="Q1505" s="24"/>
    </row>
    <row r="1506" ht="14.25" customHeight="1">
      <c r="A1506" s="1">
        <v>113.0</v>
      </c>
      <c r="B1506" s="1">
        <v>6.8</v>
      </c>
      <c r="K1506" s="4"/>
      <c r="P1506" s="5"/>
      <c r="Q1506" s="24"/>
    </row>
    <row r="1507" ht="14.25" customHeight="1">
      <c r="A1507" s="1">
        <v>113.0</v>
      </c>
      <c r="B1507" s="1">
        <v>6.8</v>
      </c>
      <c r="K1507" s="4"/>
      <c r="P1507" s="5"/>
      <c r="Q1507" s="24"/>
    </row>
    <row r="1508" ht="14.25" customHeight="1">
      <c r="A1508" s="1">
        <v>113.0</v>
      </c>
      <c r="B1508" s="1">
        <v>6.8</v>
      </c>
      <c r="K1508" s="4"/>
      <c r="P1508" s="5"/>
      <c r="Q1508" s="24"/>
    </row>
    <row r="1509" ht="14.25" customHeight="1">
      <c r="A1509" s="1">
        <v>112.0</v>
      </c>
      <c r="B1509" s="1">
        <v>6.8</v>
      </c>
      <c r="K1509" s="4"/>
      <c r="P1509" s="5"/>
      <c r="Q1509" s="24"/>
    </row>
    <row r="1510" ht="14.25" customHeight="1">
      <c r="A1510" s="1">
        <v>112.0</v>
      </c>
      <c r="B1510" s="1">
        <v>6.8</v>
      </c>
      <c r="K1510" s="4"/>
      <c r="P1510" s="5"/>
      <c r="Q1510" s="24"/>
    </row>
    <row r="1511" ht="14.25" customHeight="1">
      <c r="A1511" s="1">
        <v>111.0</v>
      </c>
      <c r="B1511" s="1">
        <v>6.8</v>
      </c>
      <c r="K1511" s="4"/>
      <c r="P1511" s="5"/>
      <c r="Q1511" s="24"/>
    </row>
    <row r="1512" ht="14.25" customHeight="1">
      <c r="A1512" s="1">
        <v>111.0</v>
      </c>
      <c r="B1512" s="1">
        <v>6.8</v>
      </c>
      <c r="K1512" s="4"/>
      <c r="P1512" s="5"/>
      <c r="Q1512" s="24"/>
    </row>
    <row r="1513" ht="14.25" customHeight="1">
      <c r="A1513" s="1">
        <v>111.0</v>
      </c>
      <c r="B1513" s="1">
        <v>6.8</v>
      </c>
      <c r="K1513" s="4"/>
      <c r="P1513" s="5"/>
      <c r="Q1513" s="24"/>
    </row>
    <row r="1514" ht="14.25" customHeight="1">
      <c r="A1514" s="1">
        <v>111.0</v>
      </c>
      <c r="B1514" s="1">
        <v>6.8</v>
      </c>
      <c r="K1514" s="4"/>
      <c r="P1514" s="5"/>
      <c r="Q1514" s="24"/>
    </row>
    <row r="1515" ht="14.25" customHeight="1">
      <c r="A1515" s="1">
        <v>111.0</v>
      </c>
      <c r="B1515" s="1">
        <v>6.8</v>
      </c>
      <c r="K1515" s="4"/>
      <c r="P1515" s="5"/>
      <c r="Q1515" s="24"/>
    </row>
    <row r="1516" ht="14.25" customHeight="1">
      <c r="A1516" s="1">
        <v>110.0</v>
      </c>
      <c r="B1516" s="1">
        <v>6.8</v>
      </c>
      <c r="K1516" s="4"/>
      <c r="P1516" s="5"/>
      <c r="Q1516" s="24"/>
    </row>
    <row r="1517" ht="14.25" customHeight="1">
      <c r="A1517" s="1">
        <v>110.0</v>
      </c>
      <c r="B1517" s="1">
        <v>6.8</v>
      </c>
      <c r="K1517" s="4"/>
      <c r="P1517" s="5"/>
      <c r="Q1517" s="24"/>
    </row>
    <row r="1518" ht="14.25" customHeight="1">
      <c r="A1518" s="1">
        <v>110.0</v>
      </c>
      <c r="B1518" s="1">
        <v>6.8</v>
      </c>
      <c r="K1518" s="4"/>
      <c r="P1518" s="5"/>
      <c r="Q1518" s="24"/>
    </row>
    <row r="1519" ht="14.25" customHeight="1">
      <c r="A1519" s="1">
        <v>110.0</v>
      </c>
      <c r="B1519" s="1">
        <v>6.8</v>
      </c>
      <c r="K1519" s="4"/>
      <c r="P1519" s="5"/>
      <c r="Q1519" s="24"/>
    </row>
    <row r="1520" ht="14.25" customHeight="1">
      <c r="A1520" s="1">
        <v>110.0</v>
      </c>
      <c r="B1520" s="1">
        <v>6.8</v>
      </c>
      <c r="K1520" s="4"/>
      <c r="P1520" s="5"/>
      <c r="Q1520" s="24"/>
    </row>
    <row r="1521" ht="14.25" customHeight="1">
      <c r="A1521" s="1">
        <v>109.0</v>
      </c>
      <c r="B1521" s="1">
        <v>6.8</v>
      </c>
      <c r="K1521" s="4"/>
      <c r="P1521" s="5"/>
      <c r="Q1521" s="24"/>
    </row>
    <row r="1522" ht="14.25" customHeight="1">
      <c r="A1522" s="1">
        <v>109.0</v>
      </c>
      <c r="B1522" s="1">
        <v>6.8</v>
      </c>
      <c r="K1522" s="4"/>
      <c r="P1522" s="5"/>
      <c r="Q1522" s="24"/>
    </row>
    <row r="1523" ht="14.25" customHeight="1">
      <c r="A1523" s="1">
        <v>109.0</v>
      </c>
      <c r="B1523" s="1">
        <v>6.8</v>
      </c>
      <c r="K1523" s="4"/>
      <c r="P1523" s="5"/>
      <c r="Q1523" s="24"/>
    </row>
    <row r="1524" ht="14.25" customHeight="1">
      <c r="A1524" s="1">
        <v>109.0</v>
      </c>
      <c r="B1524" s="1">
        <v>6.8</v>
      </c>
      <c r="K1524" s="4"/>
      <c r="P1524" s="5"/>
      <c r="Q1524" s="24"/>
    </row>
    <row r="1525" ht="14.25" customHeight="1">
      <c r="A1525" s="1">
        <v>109.0</v>
      </c>
      <c r="B1525" s="1">
        <v>6.8</v>
      </c>
      <c r="K1525" s="4"/>
      <c r="P1525" s="5"/>
      <c r="Q1525" s="24"/>
    </row>
    <row r="1526" ht="14.25" customHeight="1">
      <c r="A1526" s="1">
        <v>108.0</v>
      </c>
      <c r="B1526" s="1">
        <v>6.8</v>
      </c>
      <c r="K1526" s="4"/>
      <c r="P1526" s="5"/>
      <c r="Q1526" s="24"/>
    </row>
    <row r="1527" ht="14.25" customHeight="1">
      <c r="A1527" s="1">
        <v>108.0</v>
      </c>
      <c r="B1527" s="1">
        <v>6.8</v>
      </c>
      <c r="K1527" s="4"/>
      <c r="P1527" s="5"/>
      <c r="Q1527" s="24"/>
    </row>
    <row r="1528" ht="14.25" customHeight="1">
      <c r="A1528" s="1">
        <v>108.0</v>
      </c>
      <c r="B1528" s="1">
        <v>6.8</v>
      </c>
      <c r="K1528" s="4"/>
      <c r="P1528" s="5"/>
      <c r="Q1528" s="24"/>
    </row>
    <row r="1529" ht="14.25" customHeight="1">
      <c r="A1529" s="1">
        <v>108.0</v>
      </c>
      <c r="B1529" s="1">
        <v>6.8</v>
      </c>
      <c r="K1529" s="4"/>
      <c r="P1529" s="5"/>
      <c r="Q1529" s="24"/>
    </row>
    <row r="1530" ht="14.25" customHeight="1">
      <c r="A1530" s="1">
        <v>107.0</v>
      </c>
      <c r="B1530" s="1">
        <v>6.8</v>
      </c>
      <c r="K1530" s="4"/>
      <c r="P1530" s="5"/>
      <c r="Q1530" s="24"/>
    </row>
    <row r="1531" ht="14.25" customHeight="1">
      <c r="A1531" s="1">
        <v>107.0</v>
      </c>
      <c r="B1531" s="1">
        <v>6.8</v>
      </c>
      <c r="K1531" s="4"/>
      <c r="P1531" s="5"/>
      <c r="Q1531" s="24"/>
    </row>
    <row r="1532" ht="14.25" customHeight="1">
      <c r="A1532" s="1">
        <v>107.0</v>
      </c>
      <c r="B1532" s="1">
        <v>6.8</v>
      </c>
      <c r="K1532" s="4"/>
      <c r="P1532" s="5"/>
      <c r="Q1532" s="24"/>
    </row>
    <row r="1533" ht="14.25" customHeight="1">
      <c r="A1533" s="1">
        <v>106.0</v>
      </c>
      <c r="B1533" s="1">
        <v>6.8</v>
      </c>
      <c r="K1533" s="4"/>
      <c r="P1533" s="5"/>
      <c r="Q1533" s="24"/>
    </row>
    <row r="1534" ht="14.25" customHeight="1">
      <c r="A1534" s="1">
        <v>106.0</v>
      </c>
      <c r="B1534" s="1">
        <v>6.8</v>
      </c>
      <c r="K1534" s="4"/>
      <c r="P1534" s="5"/>
      <c r="Q1534" s="24"/>
    </row>
    <row r="1535" ht="14.25" customHeight="1">
      <c r="A1535" s="1">
        <v>106.0</v>
      </c>
      <c r="B1535" s="1">
        <v>6.8</v>
      </c>
      <c r="K1535" s="4"/>
      <c r="P1535" s="5"/>
      <c r="Q1535" s="24"/>
    </row>
    <row r="1536" ht="14.25" customHeight="1">
      <c r="A1536" s="1">
        <v>106.0</v>
      </c>
      <c r="B1536" s="1">
        <v>6.8</v>
      </c>
      <c r="K1536" s="4"/>
      <c r="P1536" s="5"/>
      <c r="Q1536" s="24"/>
    </row>
    <row r="1537" ht="14.25" customHeight="1">
      <c r="A1537" s="1">
        <v>106.0</v>
      </c>
      <c r="B1537" s="1">
        <v>6.8</v>
      </c>
      <c r="K1537" s="4"/>
      <c r="P1537" s="5"/>
      <c r="Q1537" s="24"/>
    </row>
    <row r="1538" ht="14.25" customHeight="1">
      <c r="A1538" s="1">
        <v>106.0</v>
      </c>
      <c r="B1538" s="1">
        <v>6.8</v>
      </c>
      <c r="K1538" s="4"/>
      <c r="P1538" s="5"/>
      <c r="Q1538" s="24"/>
    </row>
    <row r="1539" ht="14.25" customHeight="1">
      <c r="A1539" s="1">
        <v>105.0</v>
      </c>
      <c r="B1539" s="1">
        <v>6.8</v>
      </c>
      <c r="K1539" s="4"/>
      <c r="P1539" s="5"/>
      <c r="Q1539" s="24"/>
    </row>
    <row r="1540" ht="14.25" customHeight="1">
      <c r="A1540" s="1">
        <v>104.0</v>
      </c>
      <c r="B1540" s="1">
        <v>6.8</v>
      </c>
      <c r="K1540" s="4"/>
      <c r="P1540" s="5"/>
      <c r="Q1540" s="24"/>
    </row>
    <row r="1541" ht="14.25" customHeight="1">
      <c r="A1541" s="1">
        <v>104.0</v>
      </c>
      <c r="B1541" s="1">
        <v>6.8</v>
      </c>
      <c r="K1541" s="4"/>
      <c r="P1541" s="5"/>
      <c r="Q1541" s="24"/>
    </row>
    <row r="1542" ht="14.25" customHeight="1">
      <c r="A1542" s="1">
        <v>104.0</v>
      </c>
      <c r="B1542" s="1">
        <v>6.8</v>
      </c>
      <c r="K1542" s="4"/>
      <c r="P1542" s="5"/>
      <c r="Q1542" s="24"/>
    </row>
    <row r="1543" ht="14.25" customHeight="1">
      <c r="A1543" s="1">
        <v>104.0</v>
      </c>
      <c r="B1543" s="1">
        <v>6.8</v>
      </c>
      <c r="K1543" s="4"/>
      <c r="P1543" s="5"/>
      <c r="Q1543" s="24"/>
    </row>
    <row r="1544" ht="14.25" customHeight="1">
      <c r="A1544" s="1">
        <v>103.0</v>
      </c>
      <c r="B1544" s="1">
        <v>6.8</v>
      </c>
      <c r="K1544" s="4"/>
      <c r="P1544" s="5"/>
      <c r="Q1544" s="24"/>
    </row>
    <row r="1545" ht="14.25" customHeight="1">
      <c r="A1545" s="1">
        <v>103.0</v>
      </c>
      <c r="B1545" s="1">
        <v>6.8</v>
      </c>
      <c r="K1545" s="4"/>
      <c r="P1545" s="5"/>
      <c r="Q1545" s="24"/>
    </row>
    <row r="1546" ht="14.25" customHeight="1">
      <c r="A1546" s="1">
        <v>103.0</v>
      </c>
      <c r="B1546" s="1">
        <v>6.8</v>
      </c>
      <c r="K1546" s="4"/>
      <c r="P1546" s="5"/>
      <c r="Q1546" s="24"/>
    </row>
    <row r="1547" ht="14.25" customHeight="1">
      <c r="A1547" s="1">
        <v>103.0</v>
      </c>
      <c r="B1547" s="1">
        <v>6.8</v>
      </c>
      <c r="K1547" s="4"/>
      <c r="P1547" s="5"/>
      <c r="Q1547" s="24"/>
    </row>
    <row r="1548" ht="14.25" customHeight="1">
      <c r="A1548" s="1">
        <v>102.0</v>
      </c>
      <c r="B1548" s="1">
        <v>6.8</v>
      </c>
      <c r="K1548" s="4"/>
      <c r="P1548" s="5"/>
      <c r="Q1548" s="24"/>
    </row>
    <row r="1549" ht="14.25" customHeight="1">
      <c r="A1549" s="1">
        <v>102.0</v>
      </c>
      <c r="B1549" s="1">
        <v>6.8</v>
      </c>
      <c r="K1549" s="4"/>
      <c r="P1549" s="5"/>
      <c r="Q1549" s="24"/>
    </row>
    <row r="1550" ht="14.25" customHeight="1">
      <c r="A1550" s="1">
        <v>102.0</v>
      </c>
      <c r="B1550" s="1">
        <v>6.8</v>
      </c>
      <c r="K1550" s="4"/>
      <c r="P1550" s="5"/>
      <c r="Q1550" s="24"/>
    </row>
    <row r="1551" ht="14.25" customHeight="1">
      <c r="A1551" s="1">
        <v>101.0</v>
      </c>
      <c r="B1551" s="1">
        <v>6.8</v>
      </c>
      <c r="K1551" s="4"/>
      <c r="P1551" s="5"/>
      <c r="Q1551" s="24"/>
    </row>
    <row r="1552" ht="14.25" customHeight="1">
      <c r="A1552" s="1">
        <v>101.0</v>
      </c>
      <c r="B1552" s="1">
        <v>6.8</v>
      </c>
      <c r="K1552" s="4"/>
      <c r="P1552" s="5"/>
      <c r="Q1552" s="24"/>
    </row>
    <row r="1553" ht="14.25" customHeight="1">
      <c r="A1553" s="1">
        <v>101.0</v>
      </c>
      <c r="B1553" s="1">
        <v>6.8</v>
      </c>
      <c r="K1553" s="4"/>
      <c r="P1553" s="5"/>
      <c r="Q1553" s="24"/>
    </row>
    <row r="1554" ht="14.25" customHeight="1">
      <c r="A1554" s="1">
        <v>100.0</v>
      </c>
      <c r="B1554" s="1">
        <v>6.8</v>
      </c>
      <c r="K1554" s="4"/>
      <c r="P1554" s="5"/>
      <c r="Q1554" s="24"/>
    </row>
    <row r="1555" ht="14.25" customHeight="1">
      <c r="A1555" s="1">
        <v>99.0</v>
      </c>
      <c r="B1555" s="1">
        <v>6.8</v>
      </c>
      <c r="K1555" s="4"/>
      <c r="P1555" s="5"/>
      <c r="Q1555" s="24"/>
    </row>
    <row r="1556" ht="14.25" customHeight="1">
      <c r="A1556" s="1">
        <v>99.0</v>
      </c>
      <c r="B1556" s="1">
        <v>6.8</v>
      </c>
      <c r="K1556" s="4"/>
      <c r="P1556" s="5"/>
      <c r="Q1556" s="24"/>
    </row>
    <row r="1557" ht="14.25" customHeight="1">
      <c r="A1557" s="1">
        <v>99.0</v>
      </c>
      <c r="B1557" s="1">
        <v>6.8</v>
      </c>
      <c r="K1557" s="4"/>
      <c r="P1557" s="5"/>
      <c r="Q1557" s="24"/>
    </row>
    <row r="1558" ht="14.25" customHeight="1">
      <c r="A1558" s="1">
        <v>99.0</v>
      </c>
      <c r="B1558" s="1">
        <v>6.8</v>
      </c>
      <c r="K1558" s="4"/>
      <c r="P1558" s="5"/>
      <c r="Q1558" s="24"/>
    </row>
    <row r="1559" ht="14.25" customHeight="1">
      <c r="A1559" s="1">
        <v>99.0</v>
      </c>
      <c r="B1559" s="1">
        <v>6.8</v>
      </c>
      <c r="K1559" s="4"/>
      <c r="P1559" s="5"/>
      <c r="Q1559" s="24"/>
    </row>
    <row r="1560" ht="14.25" customHeight="1">
      <c r="A1560" s="1">
        <v>99.0</v>
      </c>
      <c r="B1560" s="1">
        <v>6.8</v>
      </c>
      <c r="K1560" s="4"/>
      <c r="P1560" s="5"/>
      <c r="Q1560" s="24"/>
    </row>
    <row r="1561" ht="14.25" customHeight="1">
      <c r="A1561" s="1">
        <v>99.0</v>
      </c>
      <c r="B1561" s="1">
        <v>6.8</v>
      </c>
      <c r="K1561" s="4"/>
      <c r="P1561" s="5"/>
      <c r="Q1561" s="24"/>
    </row>
    <row r="1562" ht="14.25" customHeight="1">
      <c r="A1562" s="1">
        <v>98.0</v>
      </c>
      <c r="B1562" s="1">
        <v>6.8</v>
      </c>
      <c r="K1562" s="4"/>
      <c r="P1562" s="5"/>
      <c r="Q1562" s="24"/>
    </row>
    <row r="1563" ht="14.25" customHeight="1">
      <c r="A1563" s="1">
        <v>98.0</v>
      </c>
      <c r="B1563" s="1">
        <v>6.8</v>
      </c>
      <c r="K1563" s="4"/>
      <c r="P1563" s="5"/>
      <c r="Q1563" s="24"/>
    </row>
    <row r="1564" ht="14.25" customHeight="1">
      <c r="A1564" s="1">
        <v>98.0</v>
      </c>
      <c r="B1564" s="1">
        <v>6.8</v>
      </c>
      <c r="K1564" s="4"/>
      <c r="P1564" s="5"/>
      <c r="Q1564" s="24"/>
    </row>
    <row r="1565" ht="14.25" customHeight="1">
      <c r="A1565" s="1">
        <v>97.0</v>
      </c>
      <c r="B1565" s="1">
        <v>6.8</v>
      </c>
      <c r="K1565" s="4"/>
      <c r="P1565" s="5"/>
      <c r="Q1565" s="24"/>
    </row>
    <row r="1566" ht="14.25" customHeight="1">
      <c r="A1566" s="1">
        <v>97.0</v>
      </c>
      <c r="B1566" s="1">
        <v>6.8</v>
      </c>
      <c r="K1566" s="4"/>
      <c r="P1566" s="5"/>
      <c r="Q1566" s="24"/>
    </row>
    <row r="1567" ht="14.25" customHeight="1">
      <c r="A1567" s="1">
        <v>97.0</v>
      </c>
      <c r="B1567" s="1">
        <v>6.8</v>
      </c>
      <c r="K1567" s="4"/>
      <c r="P1567" s="5"/>
      <c r="Q1567" s="24"/>
    </row>
    <row r="1568" ht="14.25" customHeight="1">
      <c r="A1568" s="1">
        <v>96.0</v>
      </c>
      <c r="B1568" s="1">
        <v>6.8</v>
      </c>
      <c r="K1568" s="4"/>
      <c r="P1568" s="5"/>
      <c r="Q1568" s="24"/>
    </row>
    <row r="1569" ht="14.25" customHeight="1">
      <c r="A1569" s="1">
        <v>96.0</v>
      </c>
      <c r="B1569" s="1">
        <v>6.8</v>
      </c>
      <c r="K1569" s="4"/>
      <c r="P1569" s="5"/>
      <c r="Q1569" s="24"/>
    </row>
    <row r="1570" ht="14.25" customHeight="1">
      <c r="A1570" s="1">
        <v>96.0</v>
      </c>
      <c r="B1570" s="1">
        <v>6.8</v>
      </c>
      <c r="K1570" s="4"/>
      <c r="P1570" s="5"/>
      <c r="Q1570" s="24"/>
    </row>
    <row r="1571" ht="14.25" customHeight="1">
      <c r="A1571" s="1">
        <v>96.0</v>
      </c>
      <c r="B1571" s="1">
        <v>6.8</v>
      </c>
      <c r="K1571" s="4"/>
      <c r="P1571" s="5"/>
      <c r="Q1571" s="24"/>
    </row>
    <row r="1572" ht="14.25" customHeight="1">
      <c r="A1572" s="1">
        <v>96.0</v>
      </c>
      <c r="B1572" s="1">
        <v>6.8</v>
      </c>
      <c r="K1572" s="4"/>
      <c r="P1572" s="5"/>
      <c r="Q1572" s="24"/>
    </row>
    <row r="1573" ht="14.25" customHeight="1">
      <c r="A1573" s="1">
        <v>95.0</v>
      </c>
      <c r="B1573" s="1">
        <v>6.8</v>
      </c>
      <c r="K1573" s="4"/>
      <c r="P1573" s="5"/>
      <c r="Q1573" s="24"/>
    </row>
    <row r="1574" ht="14.25" customHeight="1">
      <c r="A1574" s="1">
        <v>95.0</v>
      </c>
      <c r="B1574" s="1">
        <v>6.8</v>
      </c>
      <c r="K1574" s="4"/>
      <c r="P1574" s="5"/>
      <c r="Q1574" s="24"/>
    </row>
    <row r="1575" ht="14.25" customHeight="1">
      <c r="A1575" s="1">
        <v>95.0</v>
      </c>
      <c r="B1575" s="1">
        <v>6.8</v>
      </c>
      <c r="K1575" s="4"/>
      <c r="P1575" s="5"/>
      <c r="Q1575" s="24"/>
    </row>
    <row r="1576" ht="14.25" customHeight="1">
      <c r="A1576" s="1">
        <v>94.0</v>
      </c>
      <c r="B1576" s="1">
        <v>6.8</v>
      </c>
      <c r="K1576" s="4"/>
      <c r="P1576" s="5"/>
      <c r="Q1576" s="24"/>
    </row>
    <row r="1577" ht="14.25" customHeight="1">
      <c r="A1577" s="1">
        <v>94.0</v>
      </c>
      <c r="B1577" s="1">
        <v>6.8</v>
      </c>
      <c r="K1577" s="4"/>
      <c r="P1577" s="5"/>
      <c r="Q1577" s="24"/>
    </row>
    <row r="1578" ht="14.25" customHeight="1">
      <c r="A1578" s="1">
        <v>93.0</v>
      </c>
      <c r="B1578" s="1">
        <v>6.8</v>
      </c>
      <c r="K1578" s="4"/>
      <c r="P1578" s="5"/>
      <c r="Q1578" s="24"/>
    </row>
    <row r="1579" ht="14.25" customHeight="1">
      <c r="A1579" s="1">
        <v>93.0</v>
      </c>
      <c r="B1579" s="1">
        <v>6.8</v>
      </c>
      <c r="K1579" s="4"/>
      <c r="P1579" s="5"/>
      <c r="Q1579" s="24"/>
    </row>
    <row r="1580" ht="14.25" customHeight="1">
      <c r="A1580" s="1">
        <v>93.0</v>
      </c>
      <c r="B1580" s="1">
        <v>6.8</v>
      </c>
      <c r="K1580" s="4"/>
      <c r="P1580" s="5"/>
      <c r="Q1580" s="24"/>
    </row>
    <row r="1581" ht="14.25" customHeight="1">
      <c r="A1581" s="1">
        <v>93.0</v>
      </c>
      <c r="B1581" s="1">
        <v>6.8</v>
      </c>
      <c r="K1581" s="4"/>
      <c r="P1581" s="5"/>
      <c r="Q1581" s="24"/>
    </row>
    <row r="1582" ht="14.25" customHeight="1">
      <c r="A1582" s="1">
        <v>92.0</v>
      </c>
      <c r="B1582" s="1">
        <v>6.8</v>
      </c>
      <c r="K1582" s="4"/>
      <c r="P1582" s="5"/>
      <c r="Q1582" s="24"/>
    </row>
    <row r="1583" ht="14.25" customHeight="1">
      <c r="A1583" s="1">
        <v>92.0</v>
      </c>
      <c r="B1583" s="1">
        <v>6.8</v>
      </c>
      <c r="K1583" s="4"/>
      <c r="P1583" s="5"/>
      <c r="Q1583" s="24"/>
    </row>
    <row r="1584" ht="14.25" customHeight="1">
      <c r="A1584" s="1">
        <v>92.0</v>
      </c>
      <c r="B1584" s="1">
        <v>6.8</v>
      </c>
      <c r="K1584" s="4"/>
      <c r="P1584" s="5"/>
      <c r="Q1584" s="24"/>
    </row>
    <row r="1585" ht="14.25" customHeight="1">
      <c r="A1585" s="1">
        <v>92.0</v>
      </c>
      <c r="B1585" s="1">
        <v>6.8</v>
      </c>
      <c r="K1585" s="4"/>
      <c r="P1585" s="5"/>
      <c r="Q1585" s="24"/>
    </row>
    <row r="1586" ht="14.25" customHeight="1">
      <c r="A1586" s="1">
        <v>91.0</v>
      </c>
      <c r="B1586" s="1">
        <v>6.8</v>
      </c>
      <c r="K1586" s="4"/>
      <c r="P1586" s="5"/>
      <c r="Q1586" s="24"/>
    </row>
    <row r="1587" ht="14.25" customHeight="1">
      <c r="A1587" s="1">
        <v>90.0</v>
      </c>
      <c r="B1587" s="1">
        <v>6.8</v>
      </c>
      <c r="K1587" s="4"/>
      <c r="P1587" s="5"/>
      <c r="Q1587" s="24"/>
    </row>
    <row r="1588" ht="14.25" customHeight="1">
      <c r="A1588" s="1">
        <v>89.0</v>
      </c>
      <c r="B1588" s="1">
        <v>6.8</v>
      </c>
      <c r="K1588" s="4"/>
      <c r="P1588" s="5"/>
      <c r="Q1588" s="24"/>
    </row>
    <row r="1589" ht="14.25" customHeight="1">
      <c r="A1589" s="1">
        <v>89.0</v>
      </c>
      <c r="B1589" s="1">
        <v>6.8</v>
      </c>
      <c r="K1589" s="4"/>
      <c r="P1589" s="5"/>
      <c r="Q1589" s="24"/>
    </row>
    <row r="1590" ht="14.25" customHeight="1">
      <c r="A1590" s="1">
        <v>89.0</v>
      </c>
      <c r="B1590" s="1">
        <v>6.8</v>
      </c>
      <c r="K1590" s="4"/>
      <c r="P1590" s="5"/>
      <c r="Q1590" s="24"/>
    </row>
    <row r="1591" ht="14.25" customHeight="1">
      <c r="A1591" s="1">
        <v>89.0</v>
      </c>
      <c r="B1591" s="1">
        <v>6.8</v>
      </c>
      <c r="K1591" s="4"/>
      <c r="P1591" s="5"/>
      <c r="Q1591" s="24"/>
    </row>
    <row r="1592" ht="14.25" customHeight="1">
      <c r="A1592" s="1">
        <v>88.0</v>
      </c>
      <c r="B1592" s="1">
        <v>6.8</v>
      </c>
      <c r="K1592" s="4"/>
      <c r="P1592" s="5"/>
      <c r="Q1592" s="24"/>
    </row>
    <row r="1593" ht="14.25" customHeight="1">
      <c r="A1593" s="1">
        <v>87.0</v>
      </c>
      <c r="B1593" s="1">
        <v>6.8</v>
      </c>
      <c r="K1593" s="4"/>
      <c r="P1593" s="5"/>
      <c r="Q1593" s="24"/>
    </row>
    <row r="1594" ht="14.25" customHeight="1">
      <c r="A1594" s="1">
        <v>86.0</v>
      </c>
      <c r="B1594" s="1">
        <v>6.8</v>
      </c>
      <c r="K1594" s="4"/>
      <c r="P1594" s="5"/>
      <c r="Q1594" s="24"/>
    </row>
    <row r="1595" ht="14.25" customHeight="1">
      <c r="A1595" s="1">
        <v>86.0</v>
      </c>
      <c r="B1595" s="1">
        <v>6.8</v>
      </c>
      <c r="K1595" s="4"/>
      <c r="P1595" s="5"/>
      <c r="Q1595" s="24"/>
    </row>
    <row r="1596" ht="14.25" customHeight="1">
      <c r="A1596" s="1">
        <v>86.0</v>
      </c>
      <c r="B1596" s="1">
        <v>6.8</v>
      </c>
      <c r="K1596" s="4"/>
      <c r="P1596" s="5"/>
      <c r="Q1596" s="24"/>
    </row>
    <row r="1597" ht="14.25" customHeight="1">
      <c r="A1597" s="1">
        <v>86.0</v>
      </c>
      <c r="B1597" s="1">
        <v>6.8</v>
      </c>
      <c r="K1597" s="4"/>
      <c r="P1597" s="5"/>
      <c r="Q1597" s="24"/>
    </row>
    <row r="1598" ht="14.25" customHeight="1">
      <c r="A1598" s="1">
        <v>85.0</v>
      </c>
      <c r="B1598" s="1">
        <v>6.8</v>
      </c>
      <c r="K1598" s="4"/>
      <c r="P1598" s="5"/>
      <c r="Q1598" s="24"/>
    </row>
    <row r="1599" ht="14.25" customHeight="1">
      <c r="A1599" s="1">
        <v>85.0</v>
      </c>
      <c r="B1599" s="1">
        <v>6.8</v>
      </c>
      <c r="K1599" s="4"/>
      <c r="P1599" s="5"/>
      <c r="Q1599" s="24"/>
    </row>
    <row r="1600" ht="14.25" customHeight="1">
      <c r="A1600" s="1">
        <v>83.0</v>
      </c>
      <c r="B1600" s="1">
        <v>6.8</v>
      </c>
      <c r="K1600" s="4"/>
      <c r="P1600" s="5"/>
      <c r="Q1600" s="24"/>
    </row>
    <row r="1601" ht="14.25" customHeight="1">
      <c r="A1601" s="1">
        <v>82.0</v>
      </c>
      <c r="B1601" s="1">
        <v>6.8</v>
      </c>
      <c r="K1601" s="4"/>
      <c r="P1601" s="5"/>
      <c r="Q1601" s="24"/>
    </row>
    <row r="1602" ht="14.25" customHeight="1">
      <c r="A1602" s="1">
        <v>81.0</v>
      </c>
      <c r="B1602" s="1">
        <v>6.8</v>
      </c>
      <c r="K1602" s="4"/>
      <c r="P1602" s="5"/>
      <c r="Q1602" s="24"/>
    </row>
    <row r="1603" ht="14.25" customHeight="1">
      <c r="A1603" s="1">
        <v>156.0</v>
      </c>
      <c r="B1603" s="1">
        <v>6.7</v>
      </c>
      <c r="K1603" s="4"/>
      <c r="P1603" s="5"/>
      <c r="Q1603" s="24"/>
    </row>
    <row r="1604" ht="14.25" customHeight="1">
      <c r="A1604" s="1">
        <v>152.0</v>
      </c>
      <c r="B1604" s="1">
        <v>6.7</v>
      </c>
      <c r="K1604" s="4"/>
      <c r="P1604" s="5"/>
      <c r="Q1604" s="24"/>
    </row>
    <row r="1605" ht="14.25" customHeight="1">
      <c r="A1605" s="1">
        <v>150.0</v>
      </c>
      <c r="B1605" s="1">
        <v>6.7</v>
      </c>
      <c r="K1605" s="4"/>
      <c r="P1605" s="5"/>
      <c r="Q1605" s="24"/>
    </row>
    <row r="1606" ht="14.25" customHeight="1">
      <c r="A1606" s="1">
        <v>150.0</v>
      </c>
      <c r="B1606" s="1">
        <v>6.7</v>
      </c>
      <c r="K1606" s="4"/>
      <c r="P1606" s="5"/>
      <c r="Q1606" s="24"/>
    </row>
    <row r="1607" ht="14.25" customHeight="1">
      <c r="A1607" s="1">
        <v>148.0</v>
      </c>
      <c r="B1607" s="1">
        <v>6.7</v>
      </c>
      <c r="K1607" s="4"/>
      <c r="P1607" s="5"/>
      <c r="Q1607" s="24"/>
    </row>
    <row r="1608" ht="14.25" customHeight="1">
      <c r="A1608" s="1">
        <v>148.0</v>
      </c>
      <c r="B1608" s="1">
        <v>6.7</v>
      </c>
      <c r="K1608" s="4"/>
      <c r="P1608" s="5"/>
      <c r="Q1608" s="24"/>
    </row>
    <row r="1609" ht="14.25" customHeight="1">
      <c r="A1609" s="1">
        <v>146.0</v>
      </c>
      <c r="B1609" s="1">
        <v>6.7</v>
      </c>
      <c r="K1609" s="4"/>
      <c r="P1609" s="5"/>
      <c r="Q1609" s="24"/>
    </row>
    <row r="1610" ht="14.25" customHeight="1">
      <c r="A1610" s="1">
        <v>144.0</v>
      </c>
      <c r="B1610" s="1">
        <v>6.7</v>
      </c>
      <c r="K1610" s="4"/>
      <c r="P1610" s="5"/>
      <c r="Q1610" s="24"/>
    </row>
    <row r="1611" ht="14.25" customHeight="1">
      <c r="A1611" s="1">
        <v>143.0</v>
      </c>
      <c r="B1611" s="1">
        <v>6.7</v>
      </c>
      <c r="K1611" s="4"/>
      <c r="P1611" s="5"/>
      <c r="Q1611" s="24"/>
    </row>
    <row r="1612" ht="14.25" customHeight="1">
      <c r="A1612" s="1">
        <v>142.0</v>
      </c>
      <c r="B1612" s="1">
        <v>6.7</v>
      </c>
      <c r="K1612" s="4"/>
      <c r="P1612" s="5"/>
      <c r="Q1612" s="24"/>
    </row>
    <row r="1613" ht="14.25" customHeight="1">
      <c r="A1613" s="1">
        <v>142.0</v>
      </c>
      <c r="B1613" s="1">
        <v>6.7</v>
      </c>
      <c r="K1613" s="4"/>
      <c r="P1613" s="5"/>
      <c r="Q1613" s="24"/>
    </row>
    <row r="1614" ht="14.25" customHeight="1">
      <c r="A1614" s="1">
        <v>142.0</v>
      </c>
      <c r="B1614" s="1">
        <v>6.7</v>
      </c>
      <c r="K1614" s="4"/>
      <c r="P1614" s="5"/>
      <c r="Q1614" s="24"/>
    </row>
    <row r="1615" ht="14.25" customHeight="1">
      <c r="A1615" s="1">
        <v>139.0</v>
      </c>
      <c r="B1615" s="1">
        <v>6.7</v>
      </c>
      <c r="K1615" s="4"/>
      <c r="P1615" s="5"/>
      <c r="Q1615" s="24"/>
    </row>
    <row r="1616" ht="14.25" customHeight="1">
      <c r="A1616" s="1">
        <v>139.0</v>
      </c>
      <c r="B1616" s="1">
        <v>6.7</v>
      </c>
      <c r="K1616" s="4"/>
      <c r="P1616" s="5"/>
      <c r="Q1616" s="24"/>
    </row>
    <row r="1617" ht="14.25" customHeight="1">
      <c r="A1617" s="1">
        <v>139.0</v>
      </c>
      <c r="B1617" s="1">
        <v>6.7</v>
      </c>
      <c r="K1617" s="4"/>
      <c r="P1617" s="5"/>
      <c r="Q1617" s="24"/>
    </row>
    <row r="1618" ht="14.25" customHeight="1">
      <c r="A1618" s="1">
        <v>138.0</v>
      </c>
      <c r="B1618" s="1">
        <v>6.7</v>
      </c>
      <c r="K1618" s="4"/>
      <c r="P1618" s="5"/>
      <c r="Q1618" s="24"/>
    </row>
    <row r="1619" ht="14.25" customHeight="1">
      <c r="A1619" s="1">
        <v>138.0</v>
      </c>
      <c r="B1619" s="1">
        <v>6.7</v>
      </c>
      <c r="K1619" s="4"/>
      <c r="P1619" s="5"/>
      <c r="Q1619" s="24"/>
    </row>
    <row r="1620" ht="14.25" customHeight="1">
      <c r="A1620" s="1">
        <v>136.0</v>
      </c>
      <c r="B1620" s="1">
        <v>6.7</v>
      </c>
      <c r="K1620" s="4"/>
      <c r="P1620" s="5"/>
      <c r="Q1620" s="24"/>
    </row>
    <row r="1621" ht="14.25" customHeight="1">
      <c r="A1621" s="1">
        <v>136.0</v>
      </c>
      <c r="B1621" s="1">
        <v>6.7</v>
      </c>
      <c r="K1621" s="4"/>
      <c r="P1621" s="5"/>
      <c r="Q1621" s="24"/>
    </row>
    <row r="1622" ht="14.25" customHeight="1">
      <c r="A1622" s="1">
        <v>136.0</v>
      </c>
      <c r="B1622" s="1">
        <v>6.7</v>
      </c>
      <c r="K1622" s="4"/>
      <c r="P1622" s="5"/>
      <c r="Q1622" s="24"/>
    </row>
    <row r="1623" ht="14.25" customHeight="1">
      <c r="A1623" s="1">
        <v>135.0</v>
      </c>
      <c r="B1623" s="1">
        <v>6.7</v>
      </c>
      <c r="K1623" s="4"/>
      <c r="P1623" s="5"/>
      <c r="Q1623" s="24"/>
    </row>
    <row r="1624" ht="14.25" customHeight="1">
      <c r="A1624" s="1">
        <v>135.0</v>
      </c>
      <c r="B1624" s="1">
        <v>6.7</v>
      </c>
      <c r="K1624" s="4"/>
      <c r="P1624" s="5"/>
      <c r="Q1624" s="24"/>
    </row>
    <row r="1625" ht="14.25" customHeight="1">
      <c r="A1625" s="1">
        <v>135.0</v>
      </c>
      <c r="B1625" s="1">
        <v>6.7</v>
      </c>
      <c r="K1625" s="4"/>
      <c r="P1625" s="5"/>
      <c r="Q1625" s="24"/>
    </row>
    <row r="1626" ht="14.25" customHeight="1">
      <c r="A1626" s="1">
        <v>135.0</v>
      </c>
      <c r="B1626" s="1">
        <v>6.7</v>
      </c>
      <c r="K1626" s="4"/>
      <c r="P1626" s="5"/>
      <c r="Q1626" s="24"/>
    </row>
    <row r="1627" ht="14.25" customHeight="1">
      <c r="A1627" s="1">
        <v>135.0</v>
      </c>
      <c r="B1627" s="1">
        <v>6.7</v>
      </c>
      <c r="K1627" s="4"/>
      <c r="P1627" s="5"/>
      <c r="Q1627" s="24"/>
    </row>
    <row r="1628" ht="14.25" customHeight="1">
      <c r="A1628" s="1">
        <v>134.0</v>
      </c>
      <c r="B1628" s="1">
        <v>6.7</v>
      </c>
      <c r="K1628" s="4"/>
      <c r="P1628" s="5"/>
      <c r="Q1628" s="24"/>
    </row>
    <row r="1629" ht="14.25" customHeight="1">
      <c r="A1629" s="1">
        <v>133.0</v>
      </c>
      <c r="B1629" s="1">
        <v>6.7</v>
      </c>
      <c r="K1629" s="4"/>
      <c r="P1629" s="5"/>
      <c r="Q1629" s="24"/>
    </row>
    <row r="1630" ht="14.25" customHeight="1">
      <c r="A1630" s="1">
        <v>132.0</v>
      </c>
      <c r="B1630" s="1">
        <v>6.7</v>
      </c>
      <c r="K1630" s="4"/>
      <c r="P1630" s="5"/>
      <c r="Q1630" s="24"/>
    </row>
    <row r="1631" ht="14.25" customHeight="1">
      <c r="A1631" s="1">
        <v>132.0</v>
      </c>
      <c r="B1631" s="1">
        <v>6.7</v>
      </c>
      <c r="K1631" s="4"/>
      <c r="P1631" s="5"/>
      <c r="Q1631" s="24"/>
    </row>
    <row r="1632" ht="14.25" customHeight="1">
      <c r="A1632" s="1">
        <v>132.0</v>
      </c>
      <c r="B1632" s="1">
        <v>6.7</v>
      </c>
      <c r="K1632" s="4"/>
      <c r="P1632" s="5"/>
      <c r="Q1632" s="24"/>
    </row>
    <row r="1633" ht="14.25" customHeight="1">
      <c r="A1633" s="1">
        <v>130.0</v>
      </c>
      <c r="B1633" s="1">
        <v>6.7</v>
      </c>
      <c r="K1633" s="4"/>
      <c r="P1633" s="5"/>
      <c r="Q1633" s="24"/>
    </row>
    <row r="1634" ht="14.25" customHeight="1">
      <c r="A1634" s="1">
        <v>130.0</v>
      </c>
      <c r="B1634" s="1">
        <v>6.7</v>
      </c>
      <c r="K1634" s="4"/>
      <c r="P1634" s="5"/>
      <c r="Q1634" s="24"/>
    </row>
    <row r="1635" ht="14.25" customHeight="1">
      <c r="A1635" s="1">
        <v>130.0</v>
      </c>
      <c r="B1635" s="1">
        <v>6.7</v>
      </c>
      <c r="K1635" s="4"/>
      <c r="P1635" s="5"/>
      <c r="Q1635" s="24"/>
    </row>
    <row r="1636" ht="14.25" customHeight="1">
      <c r="A1636" s="1">
        <v>130.0</v>
      </c>
      <c r="B1636" s="1">
        <v>6.7</v>
      </c>
      <c r="K1636" s="4"/>
      <c r="P1636" s="5"/>
      <c r="Q1636" s="24"/>
    </row>
    <row r="1637" ht="14.25" customHeight="1">
      <c r="A1637" s="1">
        <v>129.0</v>
      </c>
      <c r="B1637" s="1">
        <v>6.7</v>
      </c>
      <c r="K1637" s="4"/>
      <c r="P1637" s="5"/>
      <c r="Q1637" s="24"/>
    </row>
    <row r="1638" ht="14.25" customHeight="1">
      <c r="A1638" s="1">
        <v>128.0</v>
      </c>
      <c r="B1638" s="1">
        <v>6.7</v>
      </c>
      <c r="K1638" s="4"/>
      <c r="P1638" s="5"/>
      <c r="Q1638" s="24"/>
    </row>
    <row r="1639" ht="14.25" customHeight="1">
      <c r="A1639" s="1">
        <v>127.0</v>
      </c>
      <c r="B1639" s="1">
        <v>6.7</v>
      </c>
      <c r="K1639" s="4"/>
      <c r="P1639" s="5"/>
      <c r="Q1639" s="24"/>
    </row>
    <row r="1640" ht="14.25" customHeight="1">
      <c r="A1640" s="1">
        <v>126.0</v>
      </c>
      <c r="B1640" s="1">
        <v>6.7</v>
      </c>
      <c r="K1640" s="4"/>
      <c r="P1640" s="5"/>
      <c r="Q1640" s="24"/>
    </row>
    <row r="1641" ht="14.25" customHeight="1">
      <c r="A1641" s="1">
        <v>125.0</v>
      </c>
      <c r="B1641" s="1">
        <v>6.7</v>
      </c>
      <c r="K1641" s="4"/>
      <c r="P1641" s="5"/>
      <c r="Q1641" s="24"/>
    </row>
    <row r="1642" ht="14.25" customHeight="1">
      <c r="A1642" s="1">
        <v>124.0</v>
      </c>
      <c r="B1642" s="1">
        <v>6.7</v>
      </c>
      <c r="K1642" s="4"/>
      <c r="P1642" s="5"/>
      <c r="Q1642" s="24"/>
    </row>
    <row r="1643" ht="14.25" customHeight="1">
      <c r="A1643" s="1">
        <v>124.0</v>
      </c>
      <c r="B1643" s="1">
        <v>6.7</v>
      </c>
      <c r="K1643" s="4"/>
      <c r="P1643" s="5"/>
      <c r="Q1643" s="24"/>
    </row>
    <row r="1644" ht="14.25" customHeight="1">
      <c r="A1644" s="1">
        <v>123.0</v>
      </c>
      <c r="B1644" s="1">
        <v>6.7</v>
      </c>
      <c r="K1644" s="4"/>
      <c r="P1644" s="5"/>
      <c r="Q1644" s="24"/>
    </row>
    <row r="1645" ht="14.25" customHeight="1">
      <c r="A1645" s="1">
        <v>123.0</v>
      </c>
      <c r="B1645" s="1">
        <v>6.7</v>
      </c>
      <c r="K1645" s="4"/>
      <c r="P1645" s="5"/>
      <c r="Q1645" s="24"/>
    </row>
    <row r="1646" ht="14.25" customHeight="1">
      <c r="A1646" s="1">
        <v>122.0</v>
      </c>
      <c r="B1646" s="1">
        <v>6.7</v>
      </c>
      <c r="K1646" s="4"/>
      <c r="P1646" s="5"/>
      <c r="Q1646" s="24"/>
    </row>
    <row r="1647" ht="14.25" customHeight="1">
      <c r="A1647" s="1">
        <v>122.0</v>
      </c>
      <c r="B1647" s="1">
        <v>6.7</v>
      </c>
      <c r="K1647" s="4"/>
      <c r="P1647" s="5"/>
      <c r="Q1647" s="24"/>
    </row>
    <row r="1648" ht="14.25" customHeight="1">
      <c r="A1648" s="1">
        <v>121.0</v>
      </c>
      <c r="B1648" s="1">
        <v>6.7</v>
      </c>
      <c r="K1648" s="4"/>
      <c r="P1648" s="5"/>
      <c r="Q1648" s="24"/>
    </row>
    <row r="1649" ht="14.25" customHeight="1">
      <c r="A1649" s="1">
        <v>121.0</v>
      </c>
      <c r="B1649" s="1">
        <v>6.7</v>
      </c>
      <c r="K1649" s="4"/>
      <c r="P1649" s="5"/>
      <c r="Q1649" s="24"/>
    </row>
    <row r="1650" ht="14.25" customHeight="1">
      <c r="A1650" s="1">
        <v>121.0</v>
      </c>
      <c r="B1650" s="1">
        <v>6.7</v>
      </c>
      <c r="K1650" s="4"/>
      <c r="P1650" s="5"/>
      <c r="Q1650" s="24"/>
    </row>
    <row r="1651" ht="14.25" customHeight="1">
      <c r="A1651" s="1">
        <v>120.0</v>
      </c>
      <c r="B1651" s="1">
        <v>6.7</v>
      </c>
      <c r="K1651" s="4"/>
      <c r="P1651" s="5"/>
      <c r="Q1651" s="24"/>
    </row>
    <row r="1652" ht="14.25" customHeight="1">
      <c r="A1652" s="1">
        <v>120.0</v>
      </c>
      <c r="B1652" s="1">
        <v>6.7</v>
      </c>
      <c r="K1652" s="4"/>
      <c r="P1652" s="5"/>
      <c r="Q1652" s="24"/>
    </row>
    <row r="1653" ht="14.25" customHeight="1">
      <c r="A1653" s="1">
        <v>120.0</v>
      </c>
      <c r="B1653" s="1">
        <v>6.7</v>
      </c>
      <c r="K1653" s="4"/>
      <c r="P1653" s="5"/>
      <c r="Q1653" s="24"/>
    </row>
    <row r="1654" ht="14.25" customHeight="1">
      <c r="A1654" s="1">
        <v>120.0</v>
      </c>
      <c r="B1654" s="1">
        <v>6.7</v>
      </c>
      <c r="K1654" s="4"/>
      <c r="P1654" s="5"/>
      <c r="Q1654" s="24"/>
    </row>
    <row r="1655" ht="14.25" customHeight="1">
      <c r="A1655" s="1">
        <v>119.0</v>
      </c>
      <c r="B1655" s="1">
        <v>6.7</v>
      </c>
      <c r="K1655" s="4"/>
      <c r="P1655" s="5"/>
      <c r="Q1655" s="24"/>
    </row>
    <row r="1656" ht="14.25" customHeight="1">
      <c r="A1656" s="1">
        <v>119.0</v>
      </c>
      <c r="B1656" s="1">
        <v>6.7</v>
      </c>
      <c r="K1656" s="4"/>
      <c r="P1656" s="5"/>
      <c r="Q1656" s="24"/>
    </row>
    <row r="1657" ht="14.25" customHeight="1">
      <c r="A1657" s="1">
        <v>119.0</v>
      </c>
      <c r="B1657" s="1">
        <v>6.7</v>
      </c>
      <c r="K1657" s="4"/>
      <c r="P1657" s="5"/>
      <c r="Q1657" s="24"/>
    </row>
    <row r="1658" ht="14.25" customHeight="1">
      <c r="A1658" s="1">
        <v>119.0</v>
      </c>
      <c r="B1658" s="1">
        <v>6.7</v>
      </c>
      <c r="K1658" s="4"/>
      <c r="P1658" s="5"/>
      <c r="Q1658" s="24"/>
    </row>
    <row r="1659" ht="14.25" customHeight="1">
      <c r="A1659" s="1">
        <v>119.0</v>
      </c>
      <c r="B1659" s="1">
        <v>6.7</v>
      </c>
      <c r="K1659" s="4"/>
      <c r="P1659" s="5"/>
      <c r="Q1659" s="24"/>
    </row>
    <row r="1660" ht="14.25" customHeight="1">
      <c r="A1660" s="1">
        <v>118.0</v>
      </c>
      <c r="B1660" s="1">
        <v>6.7</v>
      </c>
      <c r="K1660" s="4"/>
      <c r="P1660" s="5"/>
      <c r="Q1660" s="24"/>
    </row>
    <row r="1661" ht="14.25" customHeight="1">
      <c r="A1661" s="1">
        <v>118.0</v>
      </c>
      <c r="B1661" s="1">
        <v>6.7</v>
      </c>
      <c r="K1661" s="4"/>
      <c r="P1661" s="5"/>
      <c r="Q1661" s="24"/>
    </row>
    <row r="1662" ht="14.25" customHeight="1">
      <c r="A1662" s="1">
        <v>118.0</v>
      </c>
      <c r="B1662" s="1">
        <v>6.7</v>
      </c>
      <c r="K1662" s="4"/>
      <c r="P1662" s="5"/>
      <c r="Q1662" s="24"/>
    </row>
    <row r="1663" ht="14.25" customHeight="1">
      <c r="A1663" s="1">
        <v>118.0</v>
      </c>
      <c r="B1663" s="1">
        <v>6.7</v>
      </c>
      <c r="K1663" s="4"/>
      <c r="P1663" s="5"/>
      <c r="Q1663" s="24"/>
    </row>
    <row r="1664" ht="14.25" customHeight="1">
      <c r="A1664" s="1">
        <v>118.0</v>
      </c>
      <c r="B1664" s="1">
        <v>6.7</v>
      </c>
      <c r="K1664" s="4"/>
      <c r="P1664" s="5"/>
      <c r="Q1664" s="24"/>
    </row>
    <row r="1665" ht="14.25" customHeight="1">
      <c r="A1665" s="1">
        <v>117.0</v>
      </c>
      <c r="B1665" s="1">
        <v>6.7</v>
      </c>
      <c r="K1665" s="4"/>
      <c r="P1665" s="5"/>
      <c r="Q1665" s="24"/>
    </row>
    <row r="1666" ht="14.25" customHeight="1">
      <c r="A1666" s="1">
        <v>117.0</v>
      </c>
      <c r="B1666" s="1">
        <v>6.7</v>
      </c>
      <c r="K1666" s="4"/>
      <c r="P1666" s="5"/>
      <c r="Q1666" s="24"/>
    </row>
    <row r="1667" ht="14.25" customHeight="1">
      <c r="A1667" s="1">
        <v>117.0</v>
      </c>
      <c r="B1667" s="1">
        <v>6.7</v>
      </c>
      <c r="K1667" s="4"/>
      <c r="P1667" s="5"/>
      <c r="Q1667" s="24"/>
    </row>
    <row r="1668" ht="14.25" customHeight="1">
      <c r="A1668" s="1">
        <v>116.0</v>
      </c>
      <c r="B1668" s="1">
        <v>6.7</v>
      </c>
      <c r="K1668" s="4"/>
      <c r="P1668" s="5"/>
      <c r="Q1668" s="24"/>
    </row>
    <row r="1669" ht="14.25" customHeight="1">
      <c r="A1669" s="1">
        <v>116.0</v>
      </c>
      <c r="B1669" s="1">
        <v>6.7</v>
      </c>
      <c r="K1669" s="4"/>
      <c r="P1669" s="5"/>
      <c r="Q1669" s="24"/>
    </row>
    <row r="1670" ht="14.25" customHeight="1">
      <c r="A1670" s="1">
        <v>116.0</v>
      </c>
      <c r="B1670" s="1">
        <v>6.7</v>
      </c>
      <c r="K1670" s="4"/>
      <c r="P1670" s="5"/>
      <c r="Q1670" s="24"/>
    </row>
    <row r="1671" ht="14.25" customHeight="1">
      <c r="A1671" s="1">
        <v>115.0</v>
      </c>
      <c r="B1671" s="1">
        <v>6.7</v>
      </c>
      <c r="K1671" s="4"/>
      <c r="P1671" s="5"/>
      <c r="Q1671" s="24"/>
    </row>
    <row r="1672" ht="14.25" customHeight="1">
      <c r="A1672" s="1">
        <v>115.0</v>
      </c>
      <c r="B1672" s="1">
        <v>6.7</v>
      </c>
      <c r="K1672" s="4"/>
      <c r="P1672" s="5"/>
      <c r="Q1672" s="24"/>
    </row>
    <row r="1673" ht="14.25" customHeight="1">
      <c r="A1673" s="1">
        <v>115.0</v>
      </c>
      <c r="B1673" s="1">
        <v>6.7</v>
      </c>
      <c r="K1673" s="4"/>
      <c r="P1673" s="5"/>
      <c r="Q1673" s="24"/>
    </row>
    <row r="1674" ht="14.25" customHeight="1">
      <c r="A1674" s="1">
        <v>115.0</v>
      </c>
      <c r="B1674" s="1">
        <v>6.7</v>
      </c>
      <c r="K1674" s="4"/>
      <c r="P1674" s="5"/>
      <c r="Q1674" s="24"/>
    </row>
    <row r="1675" ht="14.25" customHeight="1">
      <c r="A1675" s="1">
        <v>115.0</v>
      </c>
      <c r="B1675" s="1">
        <v>6.7</v>
      </c>
      <c r="K1675" s="4"/>
      <c r="P1675" s="5"/>
      <c r="Q1675" s="24"/>
    </row>
    <row r="1676" ht="14.25" customHeight="1">
      <c r="A1676" s="1">
        <v>115.0</v>
      </c>
      <c r="B1676" s="1">
        <v>6.7</v>
      </c>
      <c r="K1676" s="4"/>
      <c r="P1676" s="5"/>
      <c r="Q1676" s="24"/>
    </row>
    <row r="1677" ht="14.25" customHeight="1">
      <c r="A1677" s="1">
        <v>115.0</v>
      </c>
      <c r="B1677" s="1">
        <v>6.7</v>
      </c>
      <c r="K1677" s="4"/>
      <c r="P1677" s="5"/>
      <c r="Q1677" s="24"/>
    </row>
    <row r="1678" ht="14.25" customHeight="1">
      <c r="A1678" s="1">
        <v>114.0</v>
      </c>
      <c r="B1678" s="1">
        <v>6.7</v>
      </c>
      <c r="K1678" s="4"/>
      <c r="P1678" s="5"/>
      <c r="Q1678" s="24"/>
    </row>
    <row r="1679" ht="14.25" customHeight="1">
      <c r="A1679" s="1">
        <v>114.0</v>
      </c>
      <c r="B1679" s="1">
        <v>6.7</v>
      </c>
      <c r="K1679" s="4"/>
      <c r="P1679" s="5"/>
      <c r="Q1679" s="24"/>
    </row>
    <row r="1680" ht="14.25" customHeight="1">
      <c r="A1680" s="1">
        <v>113.0</v>
      </c>
      <c r="B1680" s="1">
        <v>6.7</v>
      </c>
      <c r="K1680" s="4"/>
      <c r="P1680" s="5"/>
      <c r="Q1680" s="24"/>
    </row>
    <row r="1681" ht="14.25" customHeight="1">
      <c r="A1681" s="1">
        <v>113.0</v>
      </c>
      <c r="B1681" s="1">
        <v>6.7</v>
      </c>
      <c r="K1681" s="4"/>
      <c r="P1681" s="5"/>
      <c r="Q1681" s="24"/>
    </row>
    <row r="1682" ht="14.25" customHeight="1">
      <c r="A1682" s="1">
        <v>113.0</v>
      </c>
      <c r="B1682" s="1">
        <v>6.7</v>
      </c>
      <c r="K1682" s="4"/>
      <c r="P1682" s="5"/>
      <c r="Q1682" s="24"/>
    </row>
    <row r="1683" ht="14.25" customHeight="1">
      <c r="A1683" s="1">
        <v>113.0</v>
      </c>
      <c r="B1683" s="1">
        <v>6.7</v>
      </c>
      <c r="K1683" s="4"/>
      <c r="P1683" s="5"/>
      <c r="Q1683" s="24"/>
    </row>
    <row r="1684" ht="14.25" customHeight="1">
      <c r="A1684" s="1">
        <v>112.0</v>
      </c>
      <c r="B1684" s="1">
        <v>6.7</v>
      </c>
      <c r="K1684" s="4"/>
      <c r="P1684" s="5"/>
      <c r="Q1684" s="24"/>
    </row>
    <row r="1685" ht="14.25" customHeight="1">
      <c r="A1685" s="1">
        <v>112.0</v>
      </c>
      <c r="B1685" s="1">
        <v>6.7</v>
      </c>
      <c r="K1685" s="4"/>
      <c r="P1685" s="5"/>
      <c r="Q1685" s="24"/>
    </row>
    <row r="1686" ht="14.25" customHeight="1">
      <c r="A1686" s="1">
        <v>112.0</v>
      </c>
      <c r="B1686" s="1">
        <v>6.7</v>
      </c>
      <c r="K1686" s="4"/>
      <c r="P1686" s="5"/>
      <c r="Q1686" s="24"/>
    </row>
    <row r="1687" ht="14.25" customHeight="1">
      <c r="A1687" s="1">
        <v>112.0</v>
      </c>
      <c r="B1687" s="1">
        <v>6.7</v>
      </c>
      <c r="K1687" s="4"/>
      <c r="P1687" s="5"/>
      <c r="Q1687" s="24"/>
    </row>
    <row r="1688" ht="14.25" customHeight="1">
      <c r="A1688" s="1">
        <v>112.0</v>
      </c>
      <c r="B1688" s="1">
        <v>6.7</v>
      </c>
      <c r="K1688" s="4"/>
      <c r="P1688" s="5"/>
      <c r="Q1688" s="24"/>
    </row>
    <row r="1689" ht="14.25" customHeight="1">
      <c r="A1689" s="1">
        <v>111.0</v>
      </c>
      <c r="B1689" s="1">
        <v>6.7</v>
      </c>
      <c r="K1689" s="4"/>
      <c r="P1689" s="5"/>
      <c r="Q1689" s="24"/>
    </row>
    <row r="1690" ht="14.25" customHeight="1">
      <c r="A1690" s="1">
        <v>111.0</v>
      </c>
      <c r="B1690" s="1">
        <v>6.7</v>
      </c>
      <c r="K1690" s="4"/>
      <c r="P1690" s="5"/>
      <c r="Q1690" s="24"/>
    </row>
    <row r="1691" ht="14.25" customHeight="1">
      <c r="A1691" s="1">
        <v>111.0</v>
      </c>
      <c r="B1691" s="1">
        <v>6.7</v>
      </c>
      <c r="K1691" s="4"/>
      <c r="P1691" s="5"/>
      <c r="Q1691" s="24"/>
    </row>
    <row r="1692" ht="14.25" customHeight="1">
      <c r="A1692" s="1">
        <v>110.0</v>
      </c>
      <c r="B1692" s="1">
        <v>6.7</v>
      </c>
      <c r="K1692" s="4"/>
      <c r="P1692" s="5"/>
      <c r="Q1692" s="24"/>
    </row>
    <row r="1693" ht="14.25" customHeight="1">
      <c r="A1693" s="1">
        <v>110.0</v>
      </c>
      <c r="B1693" s="1">
        <v>6.7</v>
      </c>
      <c r="K1693" s="4"/>
      <c r="P1693" s="5"/>
      <c r="Q1693" s="24"/>
    </row>
    <row r="1694" ht="14.25" customHeight="1">
      <c r="A1694" s="1">
        <v>110.0</v>
      </c>
      <c r="B1694" s="1">
        <v>6.7</v>
      </c>
      <c r="K1694" s="4"/>
      <c r="P1694" s="5"/>
      <c r="Q1694" s="24"/>
    </row>
    <row r="1695" ht="14.25" customHeight="1">
      <c r="A1695" s="1">
        <v>109.0</v>
      </c>
      <c r="B1695" s="1">
        <v>6.7</v>
      </c>
      <c r="K1695" s="4"/>
      <c r="P1695" s="5"/>
      <c r="Q1695" s="24"/>
    </row>
    <row r="1696" ht="14.25" customHeight="1">
      <c r="A1696" s="1">
        <v>109.0</v>
      </c>
      <c r="B1696" s="1">
        <v>6.7</v>
      </c>
      <c r="K1696" s="4"/>
      <c r="P1696" s="5"/>
      <c r="Q1696" s="24"/>
    </row>
    <row r="1697" ht="14.25" customHeight="1">
      <c r="A1697" s="1">
        <v>109.0</v>
      </c>
      <c r="B1697" s="1">
        <v>6.7</v>
      </c>
      <c r="K1697" s="4"/>
      <c r="P1697" s="5"/>
      <c r="Q1697" s="24"/>
    </row>
    <row r="1698" ht="14.25" customHeight="1">
      <c r="A1698" s="1">
        <v>108.0</v>
      </c>
      <c r="B1698" s="1">
        <v>6.7</v>
      </c>
      <c r="K1698" s="4"/>
      <c r="P1698" s="5"/>
      <c r="Q1698" s="24"/>
    </row>
    <row r="1699" ht="14.25" customHeight="1">
      <c r="A1699" s="1">
        <v>108.0</v>
      </c>
      <c r="B1699" s="1">
        <v>6.7</v>
      </c>
      <c r="K1699" s="4"/>
      <c r="P1699" s="5"/>
      <c r="Q1699" s="24"/>
    </row>
    <row r="1700" ht="14.25" customHeight="1">
      <c r="A1700" s="1">
        <v>108.0</v>
      </c>
      <c r="B1700" s="1">
        <v>6.7</v>
      </c>
      <c r="K1700" s="4"/>
      <c r="P1700" s="5"/>
      <c r="Q1700" s="24"/>
    </row>
    <row r="1701" ht="14.25" customHeight="1">
      <c r="A1701" s="1">
        <v>107.0</v>
      </c>
      <c r="B1701" s="1">
        <v>6.7</v>
      </c>
      <c r="K1701" s="4"/>
      <c r="P1701" s="5"/>
      <c r="Q1701" s="24"/>
    </row>
    <row r="1702" ht="14.25" customHeight="1">
      <c r="A1702" s="1">
        <v>107.0</v>
      </c>
      <c r="B1702" s="1">
        <v>6.7</v>
      </c>
      <c r="K1702" s="4"/>
      <c r="P1702" s="5"/>
      <c r="Q1702" s="24"/>
    </row>
    <row r="1703" ht="14.25" customHeight="1">
      <c r="A1703" s="1">
        <v>107.0</v>
      </c>
      <c r="B1703" s="1">
        <v>6.7</v>
      </c>
      <c r="K1703" s="4"/>
      <c r="P1703" s="5"/>
      <c r="Q1703" s="24"/>
    </row>
    <row r="1704" ht="14.25" customHeight="1">
      <c r="A1704" s="1">
        <v>106.0</v>
      </c>
      <c r="B1704" s="1">
        <v>6.7</v>
      </c>
      <c r="K1704" s="4"/>
      <c r="P1704" s="5"/>
      <c r="Q1704" s="24"/>
    </row>
    <row r="1705" ht="14.25" customHeight="1">
      <c r="A1705" s="1">
        <v>106.0</v>
      </c>
      <c r="B1705" s="1">
        <v>6.7</v>
      </c>
      <c r="K1705" s="4"/>
      <c r="P1705" s="5"/>
      <c r="Q1705" s="24"/>
    </row>
    <row r="1706" ht="14.25" customHeight="1">
      <c r="A1706" s="1">
        <v>106.0</v>
      </c>
      <c r="B1706" s="1">
        <v>6.7</v>
      </c>
      <c r="K1706" s="4"/>
      <c r="P1706" s="5"/>
      <c r="Q1706" s="24"/>
    </row>
    <row r="1707" ht="14.25" customHeight="1">
      <c r="A1707" s="1">
        <v>106.0</v>
      </c>
      <c r="B1707" s="1">
        <v>6.7</v>
      </c>
      <c r="K1707" s="4"/>
      <c r="P1707" s="5"/>
      <c r="Q1707" s="24"/>
    </row>
    <row r="1708" ht="14.25" customHeight="1">
      <c r="A1708" s="1">
        <v>106.0</v>
      </c>
      <c r="B1708" s="1">
        <v>6.7</v>
      </c>
      <c r="K1708" s="4"/>
      <c r="P1708" s="5"/>
      <c r="Q1708" s="24"/>
    </row>
    <row r="1709" ht="14.25" customHeight="1">
      <c r="A1709" s="1">
        <v>106.0</v>
      </c>
      <c r="B1709" s="1">
        <v>6.7</v>
      </c>
      <c r="K1709" s="4"/>
      <c r="P1709" s="5"/>
      <c r="Q1709" s="24"/>
    </row>
    <row r="1710" ht="14.25" customHeight="1">
      <c r="A1710" s="1">
        <v>105.0</v>
      </c>
      <c r="B1710" s="1">
        <v>6.7</v>
      </c>
      <c r="K1710" s="4"/>
      <c r="P1710" s="5"/>
      <c r="Q1710" s="24"/>
    </row>
    <row r="1711" ht="14.25" customHeight="1">
      <c r="A1711" s="1">
        <v>105.0</v>
      </c>
      <c r="B1711" s="1">
        <v>6.7</v>
      </c>
      <c r="K1711" s="4"/>
      <c r="P1711" s="5"/>
      <c r="Q1711" s="24"/>
    </row>
    <row r="1712" ht="14.25" customHeight="1">
      <c r="A1712" s="1">
        <v>104.0</v>
      </c>
      <c r="B1712" s="1">
        <v>6.7</v>
      </c>
      <c r="K1712" s="4"/>
      <c r="P1712" s="5"/>
      <c r="Q1712" s="24"/>
    </row>
    <row r="1713" ht="14.25" customHeight="1">
      <c r="A1713" s="1">
        <v>104.0</v>
      </c>
      <c r="B1713" s="1">
        <v>6.7</v>
      </c>
      <c r="K1713" s="4"/>
      <c r="P1713" s="5"/>
      <c r="Q1713" s="24"/>
    </row>
    <row r="1714" ht="14.25" customHeight="1">
      <c r="A1714" s="1">
        <v>103.0</v>
      </c>
      <c r="B1714" s="1">
        <v>6.7</v>
      </c>
      <c r="K1714" s="4"/>
      <c r="P1714" s="5"/>
      <c r="Q1714" s="24"/>
    </row>
    <row r="1715" ht="14.25" customHeight="1">
      <c r="A1715" s="1">
        <v>103.0</v>
      </c>
      <c r="B1715" s="1">
        <v>6.7</v>
      </c>
      <c r="K1715" s="4"/>
      <c r="P1715" s="5"/>
      <c r="Q1715" s="24"/>
    </row>
    <row r="1716" ht="14.25" customHeight="1">
      <c r="A1716" s="1">
        <v>103.0</v>
      </c>
      <c r="B1716" s="1">
        <v>6.7</v>
      </c>
      <c r="K1716" s="4"/>
      <c r="P1716" s="5"/>
      <c r="Q1716" s="24"/>
    </row>
    <row r="1717" ht="14.25" customHeight="1">
      <c r="A1717" s="1">
        <v>102.0</v>
      </c>
      <c r="B1717" s="1">
        <v>6.7</v>
      </c>
      <c r="K1717" s="4"/>
      <c r="P1717" s="5"/>
      <c r="Q1717" s="24"/>
    </row>
    <row r="1718" ht="14.25" customHeight="1">
      <c r="A1718" s="1">
        <v>102.0</v>
      </c>
      <c r="B1718" s="1">
        <v>6.7</v>
      </c>
      <c r="K1718" s="4"/>
      <c r="P1718" s="5"/>
      <c r="Q1718" s="24"/>
    </row>
    <row r="1719" ht="14.25" customHeight="1">
      <c r="A1719" s="1">
        <v>102.0</v>
      </c>
      <c r="B1719" s="1">
        <v>6.7</v>
      </c>
      <c r="K1719" s="4"/>
      <c r="P1719" s="5"/>
      <c r="Q1719" s="24"/>
    </row>
    <row r="1720" ht="14.25" customHeight="1">
      <c r="A1720" s="1">
        <v>101.0</v>
      </c>
      <c r="B1720" s="1">
        <v>6.7</v>
      </c>
      <c r="K1720" s="4"/>
      <c r="P1720" s="5"/>
      <c r="Q1720" s="24"/>
    </row>
    <row r="1721" ht="14.25" customHeight="1">
      <c r="A1721" s="1">
        <v>101.0</v>
      </c>
      <c r="B1721" s="1">
        <v>6.7</v>
      </c>
      <c r="K1721" s="4"/>
      <c r="P1721" s="5"/>
      <c r="Q1721" s="24"/>
    </row>
    <row r="1722" ht="14.25" customHeight="1">
      <c r="A1722" s="1">
        <v>101.0</v>
      </c>
      <c r="B1722" s="1">
        <v>6.7</v>
      </c>
      <c r="K1722" s="4"/>
      <c r="P1722" s="5"/>
      <c r="Q1722" s="24"/>
    </row>
    <row r="1723" ht="14.25" customHeight="1">
      <c r="A1723" s="1">
        <v>100.0</v>
      </c>
      <c r="B1723" s="1">
        <v>6.7</v>
      </c>
      <c r="K1723" s="4"/>
      <c r="P1723" s="5"/>
      <c r="Q1723" s="24"/>
    </row>
    <row r="1724" ht="14.25" customHeight="1">
      <c r="A1724" s="1">
        <v>100.0</v>
      </c>
      <c r="B1724" s="1">
        <v>6.7</v>
      </c>
      <c r="K1724" s="4"/>
      <c r="P1724" s="5"/>
      <c r="Q1724" s="24"/>
    </row>
    <row r="1725" ht="14.25" customHeight="1">
      <c r="A1725" s="1">
        <v>100.0</v>
      </c>
      <c r="B1725" s="1">
        <v>6.7</v>
      </c>
      <c r="K1725" s="4"/>
      <c r="P1725" s="5"/>
      <c r="Q1725" s="24"/>
    </row>
    <row r="1726" ht="14.25" customHeight="1">
      <c r="A1726" s="1">
        <v>99.0</v>
      </c>
      <c r="B1726" s="1">
        <v>6.7</v>
      </c>
      <c r="K1726" s="4"/>
      <c r="P1726" s="5"/>
      <c r="Q1726" s="24"/>
    </row>
    <row r="1727" ht="14.25" customHeight="1">
      <c r="A1727" s="1">
        <v>98.0</v>
      </c>
      <c r="B1727" s="1">
        <v>6.7</v>
      </c>
      <c r="K1727" s="4"/>
      <c r="P1727" s="5"/>
      <c r="Q1727" s="24"/>
    </row>
    <row r="1728" ht="14.25" customHeight="1">
      <c r="A1728" s="1">
        <v>98.0</v>
      </c>
      <c r="B1728" s="1">
        <v>6.7</v>
      </c>
      <c r="K1728" s="4"/>
      <c r="P1728" s="5"/>
      <c r="Q1728" s="24"/>
    </row>
    <row r="1729" ht="14.25" customHeight="1">
      <c r="A1729" s="1">
        <v>98.0</v>
      </c>
      <c r="B1729" s="1">
        <v>6.7</v>
      </c>
      <c r="K1729" s="4"/>
      <c r="P1729" s="5"/>
      <c r="Q1729" s="24"/>
    </row>
    <row r="1730" ht="14.25" customHeight="1">
      <c r="A1730" s="1">
        <v>98.0</v>
      </c>
      <c r="B1730" s="1">
        <v>6.7</v>
      </c>
      <c r="K1730" s="4"/>
      <c r="P1730" s="5"/>
      <c r="Q1730" s="24"/>
    </row>
    <row r="1731" ht="14.25" customHeight="1">
      <c r="A1731" s="1">
        <v>98.0</v>
      </c>
      <c r="B1731" s="1">
        <v>6.7</v>
      </c>
      <c r="K1731" s="4"/>
      <c r="P1731" s="5"/>
      <c r="Q1731" s="24"/>
    </row>
    <row r="1732" ht="14.25" customHeight="1">
      <c r="A1732" s="1">
        <v>98.0</v>
      </c>
      <c r="B1732" s="1">
        <v>6.7</v>
      </c>
      <c r="K1732" s="4"/>
      <c r="P1732" s="5"/>
      <c r="Q1732" s="24"/>
    </row>
    <row r="1733" ht="14.25" customHeight="1">
      <c r="A1733" s="1">
        <v>98.0</v>
      </c>
      <c r="B1733" s="1">
        <v>6.7</v>
      </c>
      <c r="K1733" s="4"/>
      <c r="P1733" s="5"/>
      <c r="Q1733" s="24"/>
    </row>
    <row r="1734" ht="14.25" customHeight="1">
      <c r="A1734" s="1">
        <v>97.0</v>
      </c>
      <c r="B1734" s="1">
        <v>6.7</v>
      </c>
      <c r="K1734" s="4"/>
      <c r="P1734" s="5"/>
      <c r="Q1734" s="24"/>
    </row>
    <row r="1735" ht="14.25" customHeight="1">
      <c r="A1735" s="1">
        <v>97.0</v>
      </c>
      <c r="B1735" s="1">
        <v>6.7</v>
      </c>
      <c r="K1735" s="4"/>
      <c r="P1735" s="5"/>
      <c r="Q1735" s="24"/>
    </row>
    <row r="1736" ht="14.25" customHeight="1">
      <c r="A1736" s="1">
        <v>97.0</v>
      </c>
      <c r="B1736" s="1">
        <v>6.7</v>
      </c>
      <c r="K1736" s="4"/>
      <c r="P1736" s="5"/>
      <c r="Q1736" s="24"/>
    </row>
    <row r="1737" ht="14.25" customHeight="1">
      <c r="A1737" s="1">
        <v>97.0</v>
      </c>
      <c r="B1737" s="1">
        <v>6.7</v>
      </c>
      <c r="K1737" s="4"/>
      <c r="P1737" s="5"/>
      <c r="Q1737" s="24"/>
    </row>
    <row r="1738" ht="14.25" customHeight="1">
      <c r="A1738" s="1">
        <v>96.0</v>
      </c>
      <c r="B1738" s="1">
        <v>6.7</v>
      </c>
      <c r="K1738" s="4"/>
      <c r="P1738" s="5"/>
      <c r="Q1738" s="24"/>
    </row>
    <row r="1739" ht="14.25" customHeight="1">
      <c r="A1739" s="1">
        <v>96.0</v>
      </c>
      <c r="B1739" s="1">
        <v>6.7</v>
      </c>
      <c r="K1739" s="4"/>
      <c r="P1739" s="5"/>
      <c r="Q1739" s="24"/>
    </row>
    <row r="1740" ht="14.25" customHeight="1">
      <c r="A1740" s="1">
        <v>96.0</v>
      </c>
      <c r="B1740" s="1">
        <v>6.7</v>
      </c>
      <c r="K1740" s="4"/>
      <c r="P1740" s="5"/>
      <c r="Q1740" s="24"/>
    </row>
    <row r="1741" ht="14.25" customHeight="1">
      <c r="A1741" s="1">
        <v>96.0</v>
      </c>
      <c r="B1741" s="1">
        <v>6.7</v>
      </c>
      <c r="K1741" s="4"/>
      <c r="P1741" s="5"/>
      <c r="Q1741" s="24"/>
    </row>
    <row r="1742" ht="14.25" customHeight="1">
      <c r="A1742" s="1">
        <v>96.0</v>
      </c>
      <c r="B1742" s="1">
        <v>6.7</v>
      </c>
      <c r="K1742" s="4"/>
      <c r="P1742" s="5"/>
      <c r="Q1742" s="24"/>
    </row>
    <row r="1743" ht="14.25" customHeight="1">
      <c r="A1743" s="1">
        <v>95.0</v>
      </c>
      <c r="B1743" s="1">
        <v>6.7</v>
      </c>
      <c r="K1743" s="4"/>
      <c r="P1743" s="5"/>
      <c r="Q1743" s="24"/>
    </row>
    <row r="1744" ht="14.25" customHeight="1">
      <c r="A1744" s="1">
        <v>95.0</v>
      </c>
      <c r="B1744" s="1">
        <v>6.7</v>
      </c>
      <c r="K1744" s="4"/>
      <c r="P1744" s="5"/>
      <c r="Q1744" s="24"/>
    </row>
    <row r="1745" ht="14.25" customHeight="1">
      <c r="A1745" s="1">
        <v>95.0</v>
      </c>
      <c r="B1745" s="1">
        <v>6.7</v>
      </c>
      <c r="K1745" s="4"/>
      <c r="P1745" s="5"/>
      <c r="Q1745" s="24"/>
    </row>
    <row r="1746" ht="14.25" customHeight="1">
      <c r="A1746" s="1">
        <v>95.0</v>
      </c>
      <c r="B1746" s="1">
        <v>6.7</v>
      </c>
      <c r="K1746" s="4"/>
      <c r="P1746" s="5"/>
      <c r="Q1746" s="24"/>
    </row>
    <row r="1747" ht="14.25" customHeight="1">
      <c r="A1747" s="1">
        <v>94.0</v>
      </c>
      <c r="B1747" s="1">
        <v>6.7</v>
      </c>
      <c r="K1747" s="4"/>
      <c r="P1747" s="5"/>
      <c r="Q1747" s="24"/>
    </row>
    <row r="1748" ht="14.25" customHeight="1">
      <c r="A1748" s="1">
        <v>94.0</v>
      </c>
      <c r="B1748" s="1">
        <v>6.7</v>
      </c>
      <c r="K1748" s="4"/>
      <c r="P1748" s="5"/>
      <c r="Q1748" s="24"/>
    </row>
    <row r="1749" ht="14.25" customHeight="1">
      <c r="A1749" s="1">
        <v>94.0</v>
      </c>
      <c r="B1749" s="1">
        <v>6.7</v>
      </c>
      <c r="K1749" s="4"/>
      <c r="P1749" s="5"/>
      <c r="Q1749" s="24"/>
    </row>
    <row r="1750" ht="14.25" customHeight="1">
      <c r="A1750" s="1">
        <v>94.0</v>
      </c>
      <c r="B1750" s="1">
        <v>6.7</v>
      </c>
      <c r="K1750" s="4"/>
      <c r="P1750" s="5"/>
      <c r="Q1750" s="24"/>
    </row>
    <row r="1751" ht="14.25" customHeight="1">
      <c r="A1751" s="1">
        <v>94.0</v>
      </c>
      <c r="B1751" s="1">
        <v>6.7</v>
      </c>
      <c r="K1751" s="4"/>
      <c r="P1751" s="5"/>
      <c r="Q1751" s="24"/>
    </row>
    <row r="1752" ht="14.25" customHeight="1">
      <c r="A1752" s="1">
        <v>93.0</v>
      </c>
      <c r="B1752" s="1">
        <v>6.7</v>
      </c>
      <c r="K1752" s="4"/>
      <c r="P1752" s="5"/>
      <c r="Q1752" s="24"/>
    </row>
    <row r="1753" ht="14.25" customHeight="1">
      <c r="A1753" s="1">
        <v>93.0</v>
      </c>
      <c r="B1753" s="1">
        <v>6.7</v>
      </c>
      <c r="K1753" s="4"/>
      <c r="P1753" s="5"/>
      <c r="Q1753" s="24"/>
    </row>
    <row r="1754" ht="14.25" customHeight="1">
      <c r="A1754" s="1">
        <v>92.0</v>
      </c>
      <c r="B1754" s="1">
        <v>6.7</v>
      </c>
      <c r="K1754" s="4"/>
      <c r="P1754" s="5"/>
      <c r="Q1754" s="24"/>
    </row>
    <row r="1755" ht="14.25" customHeight="1">
      <c r="A1755" s="1">
        <v>92.0</v>
      </c>
      <c r="B1755" s="1">
        <v>6.7</v>
      </c>
      <c r="K1755" s="4"/>
      <c r="P1755" s="5"/>
      <c r="Q1755" s="24"/>
    </row>
    <row r="1756" ht="14.25" customHeight="1">
      <c r="A1756" s="1">
        <v>92.0</v>
      </c>
      <c r="B1756" s="1">
        <v>6.7</v>
      </c>
      <c r="K1756" s="4"/>
      <c r="P1756" s="5"/>
      <c r="Q1756" s="24"/>
    </row>
    <row r="1757" ht="14.25" customHeight="1">
      <c r="A1757" s="1">
        <v>92.0</v>
      </c>
      <c r="B1757" s="1">
        <v>6.7</v>
      </c>
      <c r="K1757" s="4"/>
      <c r="P1757" s="5"/>
      <c r="Q1757" s="24"/>
    </row>
    <row r="1758" ht="14.25" customHeight="1">
      <c r="A1758" s="1">
        <v>92.0</v>
      </c>
      <c r="B1758" s="1">
        <v>6.7</v>
      </c>
      <c r="K1758" s="4"/>
      <c r="P1758" s="5"/>
      <c r="Q1758" s="24"/>
    </row>
    <row r="1759" ht="14.25" customHeight="1">
      <c r="A1759" s="1">
        <v>91.0</v>
      </c>
      <c r="B1759" s="1">
        <v>6.7</v>
      </c>
      <c r="K1759" s="4"/>
      <c r="P1759" s="5"/>
      <c r="Q1759" s="24"/>
    </row>
    <row r="1760" ht="14.25" customHeight="1">
      <c r="A1760" s="1">
        <v>91.0</v>
      </c>
      <c r="B1760" s="1">
        <v>6.7</v>
      </c>
      <c r="K1760" s="4"/>
      <c r="P1760" s="5"/>
      <c r="Q1760" s="24"/>
    </row>
    <row r="1761" ht="14.25" customHeight="1">
      <c r="A1761" s="1">
        <v>90.0</v>
      </c>
      <c r="B1761" s="1">
        <v>6.7</v>
      </c>
      <c r="K1761" s="4"/>
      <c r="P1761" s="5"/>
      <c r="Q1761" s="24"/>
    </row>
    <row r="1762" ht="14.25" customHeight="1">
      <c r="A1762" s="1">
        <v>90.0</v>
      </c>
      <c r="B1762" s="1">
        <v>6.7</v>
      </c>
      <c r="K1762" s="4"/>
      <c r="P1762" s="5"/>
      <c r="Q1762" s="24"/>
    </row>
    <row r="1763" ht="14.25" customHeight="1">
      <c r="A1763" s="1">
        <v>90.0</v>
      </c>
      <c r="B1763" s="1">
        <v>6.7</v>
      </c>
      <c r="K1763" s="4"/>
      <c r="P1763" s="5"/>
      <c r="Q1763" s="24"/>
    </row>
    <row r="1764" ht="14.25" customHeight="1">
      <c r="A1764" s="1">
        <v>90.0</v>
      </c>
      <c r="B1764" s="1">
        <v>6.7</v>
      </c>
      <c r="K1764" s="4"/>
      <c r="P1764" s="5"/>
      <c r="Q1764" s="24"/>
    </row>
    <row r="1765" ht="14.25" customHeight="1">
      <c r="A1765" s="1">
        <v>90.0</v>
      </c>
      <c r="B1765" s="1">
        <v>6.7</v>
      </c>
      <c r="K1765" s="4"/>
      <c r="P1765" s="5"/>
      <c r="Q1765" s="24"/>
    </row>
    <row r="1766" ht="14.25" customHeight="1">
      <c r="A1766" s="1">
        <v>90.0</v>
      </c>
      <c r="B1766" s="1">
        <v>6.7</v>
      </c>
      <c r="K1766" s="4"/>
      <c r="P1766" s="5"/>
      <c r="Q1766" s="24"/>
    </row>
    <row r="1767" ht="14.25" customHeight="1">
      <c r="A1767" s="1">
        <v>89.0</v>
      </c>
      <c r="B1767" s="1">
        <v>6.7</v>
      </c>
      <c r="K1767" s="4"/>
      <c r="P1767" s="5"/>
      <c r="Q1767" s="24"/>
    </row>
    <row r="1768" ht="14.25" customHeight="1">
      <c r="A1768" s="1">
        <v>89.0</v>
      </c>
      <c r="B1768" s="1">
        <v>6.7</v>
      </c>
      <c r="K1768" s="4"/>
      <c r="P1768" s="5"/>
      <c r="Q1768" s="24"/>
    </row>
    <row r="1769" ht="14.25" customHeight="1">
      <c r="A1769" s="1">
        <v>89.0</v>
      </c>
      <c r="B1769" s="1">
        <v>6.7</v>
      </c>
      <c r="K1769" s="4"/>
      <c r="P1769" s="5"/>
      <c r="Q1769" s="24"/>
    </row>
    <row r="1770" ht="14.25" customHeight="1">
      <c r="A1770" s="1">
        <v>89.0</v>
      </c>
      <c r="B1770" s="1">
        <v>6.7</v>
      </c>
      <c r="K1770" s="4"/>
      <c r="P1770" s="5"/>
      <c r="Q1770" s="24"/>
    </row>
    <row r="1771" ht="14.25" customHeight="1">
      <c r="A1771" s="1">
        <v>88.0</v>
      </c>
      <c r="B1771" s="1">
        <v>6.7</v>
      </c>
      <c r="K1771" s="4"/>
      <c r="P1771" s="5"/>
      <c r="Q1771" s="24"/>
    </row>
    <row r="1772" ht="14.25" customHeight="1">
      <c r="A1772" s="1">
        <v>88.0</v>
      </c>
      <c r="B1772" s="1">
        <v>6.7</v>
      </c>
      <c r="K1772" s="4"/>
      <c r="P1772" s="5"/>
      <c r="Q1772" s="24"/>
    </row>
    <row r="1773" ht="14.25" customHeight="1">
      <c r="A1773" s="1">
        <v>88.0</v>
      </c>
      <c r="B1773" s="1">
        <v>6.7</v>
      </c>
      <c r="K1773" s="4"/>
      <c r="P1773" s="5"/>
      <c r="Q1773" s="24"/>
    </row>
    <row r="1774" ht="14.25" customHeight="1">
      <c r="A1774" s="1">
        <v>85.0</v>
      </c>
      <c r="B1774" s="1">
        <v>6.7</v>
      </c>
      <c r="K1774" s="4"/>
      <c r="P1774" s="5"/>
      <c r="Q1774" s="24"/>
    </row>
    <row r="1775" ht="14.25" customHeight="1">
      <c r="A1775" s="1">
        <v>85.0</v>
      </c>
      <c r="B1775" s="1">
        <v>6.7</v>
      </c>
      <c r="K1775" s="4"/>
      <c r="P1775" s="5"/>
      <c r="Q1775" s="24"/>
    </row>
    <row r="1776" ht="14.25" customHeight="1">
      <c r="A1776" s="1">
        <v>85.0</v>
      </c>
      <c r="B1776" s="1">
        <v>6.7</v>
      </c>
      <c r="K1776" s="4"/>
      <c r="P1776" s="5"/>
      <c r="Q1776" s="24"/>
    </row>
    <row r="1777" ht="14.25" customHeight="1">
      <c r="A1777" s="1">
        <v>82.0</v>
      </c>
      <c r="B1777" s="1">
        <v>6.7</v>
      </c>
      <c r="K1777" s="4"/>
      <c r="P1777" s="5"/>
      <c r="Q1777" s="24"/>
    </row>
    <row r="1778" ht="14.25" customHeight="1">
      <c r="A1778" s="1">
        <v>80.0</v>
      </c>
      <c r="B1778" s="1">
        <v>6.7</v>
      </c>
      <c r="K1778" s="4"/>
      <c r="P1778" s="5"/>
      <c r="Q1778" s="24"/>
    </row>
    <row r="1779" ht="14.25" customHeight="1">
      <c r="A1779" s="1">
        <v>76.0</v>
      </c>
      <c r="B1779" s="1">
        <v>6.7</v>
      </c>
      <c r="K1779" s="4"/>
      <c r="P1779" s="5"/>
      <c r="Q1779" s="24"/>
    </row>
    <row r="1780" ht="14.25" customHeight="1">
      <c r="A1780" s="1">
        <v>75.0</v>
      </c>
      <c r="B1780" s="1">
        <v>6.7</v>
      </c>
      <c r="K1780" s="4"/>
      <c r="P1780" s="5"/>
      <c r="Q1780" s="24"/>
    </row>
    <row r="1781" ht="14.25" customHeight="1">
      <c r="A1781" s="1">
        <v>65.0</v>
      </c>
      <c r="B1781" s="1">
        <v>6.7</v>
      </c>
      <c r="K1781" s="4"/>
      <c r="P1781" s="5"/>
      <c r="Q1781" s="24"/>
    </row>
    <row r="1782" ht="14.25" customHeight="1">
      <c r="A1782" s="1">
        <v>300.0</v>
      </c>
      <c r="B1782" s="1">
        <v>6.6</v>
      </c>
      <c r="K1782" s="4"/>
      <c r="P1782" s="5"/>
      <c r="Q1782" s="24"/>
    </row>
    <row r="1783" ht="14.25" customHeight="1">
      <c r="A1783" s="1">
        <v>225.0</v>
      </c>
      <c r="B1783" s="1">
        <v>6.6</v>
      </c>
      <c r="K1783" s="4"/>
      <c r="P1783" s="5"/>
      <c r="Q1783" s="24"/>
    </row>
    <row r="1784" ht="14.25" customHeight="1">
      <c r="A1784" s="1">
        <v>212.0</v>
      </c>
      <c r="B1784" s="1">
        <v>6.6</v>
      </c>
      <c r="K1784" s="4"/>
      <c r="P1784" s="5"/>
      <c r="Q1784" s="24"/>
    </row>
    <row r="1785" ht="14.25" customHeight="1">
      <c r="A1785" s="1">
        <v>177.0</v>
      </c>
      <c r="B1785" s="1">
        <v>6.6</v>
      </c>
      <c r="K1785" s="4"/>
      <c r="P1785" s="5"/>
      <c r="Q1785" s="24"/>
    </row>
    <row r="1786" ht="14.25" customHeight="1">
      <c r="A1786" s="1">
        <v>174.0</v>
      </c>
      <c r="B1786" s="1">
        <v>6.6</v>
      </c>
      <c r="K1786" s="4"/>
      <c r="P1786" s="5"/>
      <c r="Q1786" s="24"/>
    </row>
    <row r="1787" ht="14.25" customHeight="1">
      <c r="A1787" s="1">
        <v>165.0</v>
      </c>
      <c r="B1787" s="1">
        <v>6.6</v>
      </c>
      <c r="K1787" s="4"/>
      <c r="P1787" s="5"/>
      <c r="Q1787" s="24"/>
    </row>
    <row r="1788" ht="14.25" customHeight="1">
      <c r="A1788" s="1">
        <v>155.0</v>
      </c>
      <c r="B1788" s="1">
        <v>6.6</v>
      </c>
      <c r="K1788" s="4"/>
      <c r="P1788" s="5"/>
      <c r="Q1788" s="24"/>
    </row>
    <row r="1789" ht="14.25" customHeight="1">
      <c r="A1789" s="1">
        <v>153.0</v>
      </c>
      <c r="B1789" s="1">
        <v>6.6</v>
      </c>
      <c r="K1789" s="4"/>
      <c r="P1789" s="5"/>
      <c r="Q1789" s="24"/>
    </row>
    <row r="1790" ht="14.25" customHeight="1">
      <c r="A1790" s="1">
        <v>150.0</v>
      </c>
      <c r="B1790" s="1">
        <v>6.6</v>
      </c>
      <c r="K1790" s="4"/>
      <c r="P1790" s="5"/>
      <c r="Q1790" s="24"/>
    </row>
    <row r="1791" ht="14.25" customHeight="1">
      <c r="A1791" s="1">
        <v>147.0</v>
      </c>
      <c r="B1791" s="1">
        <v>6.6</v>
      </c>
      <c r="K1791" s="4"/>
      <c r="P1791" s="5"/>
      <c r="Q1791" s="24"/>
    </row>
    <row r="1792" ht="14.25" customHeight="1">
      <c r="A1792" s="1">
        <v>145.0</v>
      </c>
      <c r="B1792" s="1">
        <v>6.6</v>
      </c>
      <c r="K1792" s="4"/>
      <c r="P1792" s="5"/>
      <c r="Q1792" s="24"/>
    </row>
    <row r="1793" ht="14.25" customHeight="1">
      <c r="A1793" s="1">
        <v>142.0</v>
      </c>
      <c r="B1793" s="1">
        <v>6.6</v>
      </c>
      <c r="K1793" s="4"/>
      <c r="P1793" s="5"/>
      <c r="Q1793" s="24"/>
    </row>
    <row r="1794" ht="14.25" customHeight="1">
      <c r="A1794" s="1">
        <v>142.0</v>
      </c>
      <c r="B1794" s="1">
        <v>6.6</v>
      </c>
      <c r="K1794" s="4"/>
      <c r="P1794" s="5"/>
      <c r="Q1794" s="24"/>
    </row>
    <row r="1795" ht="14.25" customHeight="1">
      <c r="A1795" s="1">
        <v>140.0</v>
      </c>
      <c r="B1795" s="1">
        <v>6.6</v>
      </c>
      <c r="K1795" s="4"/>
      <c r="P1795" s="5"/>
      <c r="Q1795" s="24"/>
    </row>
    <row r="1796" ht="14.25" customHeight="1">
      <c r="A1796" s="1">
        <v>140.0</v>
      </c>
      <c r="B1796" s="1">
        <v>6.6</v>
      </c>
      <c r="K1796" s="4"/>
      <c r="P1796" s="5"/>
      <c r="Q1796" s="24"/>
    </row>
    <row r="1797" ht="14.25" customHeight="1">
      <c r="A1797" s="1">
        <v>139.0</v>
      </c>
      <c r="B1797" s="1">
        <v>6.6</v>
      </c>
      <c r="K1797" s="4"/>
      <c r="P1797" s="5"/>
      <c r="Q1797" s="24"/>
    </row>
    <row r="1798" ht="14.25" customHeight="1">
      <c r="A1798" s="1">
        <v>137.0</v>
      </c>
      <c r="B1798" s="1">
        <v>6.6</v>
      </c>
      <c r="K1798" s="4"/>
      <c r="P1798" s="5"/>
      <c r="Q1798" s="24"/>
    </row>
    <row r="1799" ht="14.25" customHeight="1">
      <c r="A1799" s="1">
        <v>137.0</v>
      </c>
      <c r="B1799" s="1">
        <v>6.6</v>
      </c>
      <c r="K1799" s="4"/>
      <c r="P1799" s="5"/>
      <c r="Q1799" s="24"/>
    </row>
    <row r="1800" ht="14.25" customHeight="1">
      <c r="A1800" s="1">
        <v>133.0</v>
      </c>
      <c r="B1800" s="1">
        <v>6.6</v>
      </c>
      <c r="K1800" s="4"/>
      <c r="P1800" s="5"/>
      <c r="Q1800" s="24"/>
    </row>
    <row r="1801" ht="14.25" customHeight="1">
      <c r="A1801" s="1">
        <v>132.0</v>
      </c>
      <c r="B1801" s="1">
        <v>6.6</v>
      </c>
      <c r="K1801" s="4"/>
      <c r="P1801" s="5"/>
      <c r="Q1801" s="24"/>
    </row>
    <row r="1802" ht="14.25" customHeight="1">
      <c r="A1802" s="1">
        <v>132.0</v>
      </c>
      <c r="B1802" s="1">
        <v>6.6</v>
      </c>
      <c r="K1802" s="4"/>
      <c r="P1802" s="5"/>
      <c r="Q1802" s="24"/>
    </row>
    <row r="1803" ht="14.25" customHeight="1">
      <c r="A1803" s="1">
        <v>132.0</v>
      </c>
      <c r="B1803" s="1">
        <v>6.6</v>
      </c>
      <c r="K1803" s="4"/>
      <c r="P1803" s="5"/>
      <c r="Q1803" s="24"/>
    </row>
    <row r="1804" ht="14.25" customHeight="1">
      <c r="A1804" s="1">
        <v>132.0</v>
      </c>
      <c r="B1804" s="1">
        <v>6.6</v>
      </c>
      <c r="K1804" s="4"/>
      <c r="P1804" s="5"/>
      <c r="Q1804" s="24"/>
    </row>
    <row r="1805" ht="14.25" customHeight="1">
      <c r="A1805" s="1">
        <v>131.0</v>
      </c>
      <c r="B1805" s="1">
        <v>6.6</v>
      </c>
      <c r="K1805" s="4"/>
      <c r="P1805" s="5"/>
      <c r="Q1805" s="24"/>
    </row>
    <row r="1806" ht="14.25" customHeight="1">
      <c r="A1806" s="1">
        <v>130.0</v>
      </c>
      <c r="B1806" s="1">
        <v>6.6</v>
      </c>
      <c r="K1806" s="4"/>
      <c r="P1806" s="5"/>
      <c r="Q1806" s="24"/>
    </row>
    <row r="1807" ht="14.25" customHeight="1">
      <c r="A1807" s="1">
        <v>129.0</v>
      </c>
      <c r="B1807" s="1">
        <v>6.6</v>
      </c>
      <c r="K1807" s="4"/>
      <c r="P1807" s="5"/>
      <c r="Q1807" s="24"/>
    </row>
    <row r="1808" ht="14.25" customHeight="1">
      <c r="A1808" s="1">
        <v>129.0</v>
      </c>
      <c r="B1808" s="1">
        <v>6.6</v>
      </c>
      <c r="K1808" s="4"/>
      <c r="P1808" s="5"/>
      <c r="Q1808" s="24"/>
    </row>
    <row r="1809" ht="14.25" customHeight="1">
      <c r="A1809" s="1">
        <v>127.0</v>
      </c>
      <c r="B1809" s="1">
        <v>6.6</v>
      </c>
      <c r="K1809" s="4"/>
      <c r="P1809" s="5"/>
      <c r="Q1809" s="24"/>
    </row>
    <row r="1810" ht="14.25" customHeight="1">
      <c r="A1810" s="1">
        <v>127.0</v>
      </c>
      <c r="B1810" s="1">
        <v>6.6</v>
      </c>
      <c r="K1810" s="4"/>
      <c r="P1810" s="5"/>
      <c r="Q1810" s="24"/>
    </row>
    <row r="1811" ht="14.25" customHeight="1">
      <c r="A1811" s="1">
        <v>126.0</v>
      </c>
      <c r="B1811" s="1">
        <v>6.6</v>
      </c>
      <c r="K1811" s="4"/>
      <c r="P1811" s="5"/>
      <c r="Q1811" s="24"/>
    </row>
    <row r="1812" ht="14.25" customHeight="1">
      <c r="A1812" s="1">
        <v>125.0</v>
      </c>
      <c r="B1812" s="1">
        <v>6.6</v>
      </c>
      <c r="K1812" s="4"/>
      <c r="P1812" s="5"/>
      <c r="Q1812" s="24"/>
    </row>
    <row r="1813" ht="14.25" customHeight="1">
      <c r="A1813" s="1">
        <v>125.0</v>
      </c>
      <c r="B1813" s="1">
        <v>6.6</v>
      </c>
      <c r="K1813" s="4"/>
      <c r="P1813" s="5"/>
      <c r="Q1813" s="24"/>
    </row>
    <row r="1814" ht="14.25" customHeight="1">
      <c r="A1814" s="1">
        <v>124.0</v>
      </c>
      <c r="B1814" s="1">
        <v>6.6</v>
      </c>
      <c r="K1814" s="4"/>
      <c r="P1814" s="5"/>
      <c r="Q1814" s="24"/>
    </row>
    <row r="1815" ht="14.25" customHeight="1">
      <c r="A1815" s="1">
        <v>123.0</v>
      </c>
      <c r="B1815" s="1">
        <v>6.6</v>
      </c>
      <c r="K1815" s="4"/>
      <c r="P1815" s="5"/>
      <c r="Q1815" s="24"/>
    </row>
    <row r="1816" ht="14.25" customHeight="1">
      <c r="A1816" s="1">
        <v>123.0</v>
      </c>
      <c r="B1816" s="1">
        <v>6.6</v>
      </c>
      <c r="K1816" s="4"/>
      <c r="P1816" s="5"/>
      <c r="Q1816" s="24"/>
    </row>
    <row r="1817" ht="14.25" customHeight="1">
      <c r="A1817" s="1">
        <v>123.0</v>
      </c>
      <c r="B1817" s="1">
        <v>6.6</v>
      </c>
      <c r="K1817" s="4"/>
      <c r="P1817" s="5"/>
      <c r="Q1817" s="24"/>
    </row>
    <row r="1818" ht="14.25" customHeight="1">
      <c r="A1818" s="1">
        <v>122.0</v>
      </c>
      <c r="B1818" s="1">
        <v>6.6</v>
      </c>
      <c r="K1818" s="4"/>
      <c r="P1818" s="5"/>
      <c r="Q1818" s="24"/>
    </row>
    <row r="1819" ht="14.25" customHeight="1">
      <c r="A1819" s="1">
        <v>122.0</v>
      </c>
      <c r="B1819" s="1">
        <v>6.6</v>
      </c>
      <c r="K1819" s="4"/>
      <c r="P1819" s="5"/>
      <c r="Q1819" s="24"/>
    </row>
    <row r="1820" ht="14.25" customHeight="1">
      <c r="A1820" s="1">
        <v>122.0</v>
      </c>
      <c r="B1820" s="1">
        <v>6.6</v>
      </c>
      <c r="K1820" s="4"/>
      <c r="P1820" s="5"/>
      <c r="Q1820" s="24"/>
    </row>
    <row r="1821" ht="14.25" customHeight="1">
      <c r="A1821" s="1">
        <v>122.0</v>
      </c>
      <c r="B1821" s="1">
        <v>6.6</v>
      </c>
      <c r="K1821" s="4"/>
      <c r="P1821" s="5"/>
      <c r="Q1821" s="24"/>
    </row>
    <row r="1822" ht="14.25" customHeight="1">
      <c r="A1822" s="1">
        <v>121.0</v>
      </c>
      <c r="B1822" s="1">
        <v>6.6</v>
      </c>
      <c r="K1822" s="4"/>
      <c r="P1822" s="5"/>
      <c r="Q1822" s="24"/>
    </row>
    <row r="1823" ht="14.25" customHeight="1">
      <c r="A1823" s="1">
        <v>121.0</v>
      </c>
      <c r="B1823" s="1">
        <v>6.6</v>
      </c>
      <c r="K1823" s="4"/>
      <c r="P1823" s="5"/>
      <c r="Q1823" s="24"/>
    </row>
    <row r="1824" ht="14.25" customHeight="1">
      <c r="A1824" s="1">
        <v>120.0</v>
      </c>
      <c r="B1824" s="1">
        <v>6.6</v>
      </c>
      <c r="K1824" s="4"/>
      <c r="P1824" s="5"/>
      <c r="Q1824" s="24"/>
    </row>
    <row r="1825" ht="14.25" customHeight="1">
      <c r="A1825" s="1">
        <v>120.0</v>
      </c>
      <c r="B1825" s="1">
        <v>6.6</v>
      </c>
      <c r="K1825" s="4"/>
      <c r="P1825" s="5"/>
      <c r="Q1825" s="24"/>
    </row>
    <row r="1826" ht="14.25" customHeight="1">
      <c r="A1826" s="1">
        <v>120.0</v>
      </c>
      <c r="B1826" s="1">
        <v>6.6</v>
      </c>
      <c r="K1826" s="4"/>
      <c r="P1826" s="5"/>
      <c r="Q1826" s="24"/>
    </row>
    <row r="1827" ht="14.25" customHeight="1">
      <c r="A1827" s="1">
        <v>120.0</v>
      </c>
      <c r="B1827" s="1">
        <v>6.6</v>
      </c>
      <c r="K1827" s="4"/>
      <c r="P1827" s="5"/>
      <c r="Q1827" s="24"/>
    </row>
    <row r="1828" ht="14.25" customHeight="1">
      <c r="A1828" s="1">
        <v>119.0</v>
      </c>
      <c r="B1828" s="1">
        <v>6.6</v>
      </c>
      <c r="K1828" s="4"/>
      <c r="P1828" s="5"/>
      <c r="Q1828" s="24"/>
    </row>
    <row r="1829" ht="14.25" customHeight="1">
      <c r="A1829" s="1">
        <v>119.0</v>
      </c>
      <c r="B1829" s="1">
        <v>6.6</v>
      </c>
      <c r="K1829" s="4"/>
      <c r="P1829" s="5"/>
      <c r="Q1829" s="24"/>
    </row>
    <row r="1830" ht="14.25" customHeight="1">
      <c r="A1830" s="1">
        <v>118.0</v>
      </c>
      <c r="B1830" s="1">
        <v>6.6</v>
      </c>
      <c r="K1830" s="4"/>
      <c r="P1830" s="5"/>
      <c r="Q1830" s="24"/>
    </row>
    <row r="1831" ht="14.25" customHeight="1">
      <c r="A1831" s="1">
        <v>118.0</v>
      </c>
      <c r="B1831" s="1">
        <v>6.6</v>
      </c>
      <c r="K1831" s="4"/>
      <c r="P1831" s="5"/>
      <c r="Q1831" s="24"/>
    </row>
    <row r="1832" ht="14.25" customHeight="1">
      <c r="A1832" s="1">
        <v>118.0</v>
      </c>
      <c r="B1832" s="1">
        <v>6.6</v>
      </c>
      <c r="K1832" s="4"/>
      <c r="P1832" s="5"/>
      <c r="Q1832" s="24"/>
    </row>
    <row r="1833" ht="14.25" customHeight="1">
      <c r="A1833" s="1">
        <v>118.0</v>
      </c>
      <c r="B1833" s="1">
        <v>6.6</v>
      </c>
      <c r="K1833" s="4"/>
      <c r="P1833" s="5"/>
      <c r="Q1833" s="24"/>
    </row>
    <row r="1834" ht="14.25" customHeight="1">
      <c r="A1834" s="1">
        <v>118.0</v>
      </c>
      <c r="B1834" s="1">
        <v>6.6</v>
      </c>
      <c r="K1834" s="4"/>
      <c r="P1834" s="5"/>
      <c r="Q1834" s="24"/>
    </row>
    <row r="1835" ht="14.25" customHeight="1">
      <c r="A1835" s="1">
        <v>117.0</v>
      </c>
      <c r="B1835" s="1">
        <v>6.6</v>
      </c>
      <c r="K1835" s="4"/>
      <c r="P1835" s="5"/>
      <c r="Q1835" s="24"/>
    </row>
    <row r="1836" ht="14.25" customHeight="1">
      <c r="A1836" s="1">
        <v>116.0</v>
      </c>
      <c r="B1836" s="1">
        <v>6.6</v>
      </c>
      <c r="K1836" s="4"/>
      <c r="P1836" s="5"/>
      <c r="Q1836" s="24"/>
    </row>
    <row r="1837" ht="14.25" customHeight="1">
      <c r="A1837" s="1">
        <v>116.0</v>
      </c>
      <c r="B1837" s="1">
        <v>6.6</v>
      </c>
      <c r="K1837" s="4"/>
      <c r="P1837" s="5"/>
      <c r="Q1837" s="24"/>
    </row>
    <row r="1838" ht="14.25" customHeight="1">
      <c r="A1838" s="1">
        <v>116.0</v>
      </c>
      <c r="B1838" s="1">
        <v>6.6</v>
      </c>
      <c r="K1838" s="4"/>
      <c r="P1838" s="5"/>
      <c r="Q1838" s="24"/>
    </row>
    <row r="1839" ht="14.25" customHeight="1">
      <c r="A1839" s="1">
        <v>115.0</v>
      </c>
      <c r="B1839" s="1">
        <v>6.6</v>
      </c>
      <c r="K1839" s="4"/>
      <c r="P1839" s="5"/>
      <c r="Q1839" s="24"/>
    </row>
    <row r="1840" ht="14.25" customHeight="1">
      <c r="A1840" s="1">
        <v>115.0</v>
      </c>
      <c r="B1840" s="1">
        <v>6.6</v>
      </c>
      <c r="K1840" s="4"/>
      <c r="P1840" s="5"/>
      <c r="Q1840" s="24"/>
    </row>
    <row r="1841" ht="14.25" customHeight="1">
      <c r="A1841" s="1">
        <v>115.0</v>
      </c>
      <c r="B1841" s="1">
        <v>6.6</v>
      </c>
      <c r="K1841" s="4"/>
      <c r="P1841" s="5"/>
      <c r="Q1841" s="24"/>
    </row>
    <row r="1842" ht="14.25" customHeight="1">
      <c r="A1842" s="1">
        <v>114.0</v>
      </c>
      <c r="B1842" s="1">
        <v>6.6</v>
      </c>
      <c r="K1842" s="4"/>
      <c r="P1842" s="5"/>
      <c r="Q1842" s="24"/>
    </row>
    <row r="1843" ht="14.25" customHeight="1">
      <c r="A1843" s="1">
        <v>114.0</v>
      </c>
      <c r="B1843" s="1">
        <v>6.6</v>
      </c>
      <c r="K1843" s="4"/>
      <c r="P1843" s="5"/>
      <c r="Q1843" s="24"/>
    </row>
    <row r="1844" ht="14.25" customHeight="1">
      <c r="A1844" s="1">
        <v>114.0</v>
      </c>
      <c r="B1844" s="1">
        <v>6.6</v>
      </c>
      <c r="K1844" s="4"/>
      <c r="P1844" s="5"/>
      <c r="Q1844" s="24"/>
    </row>
    <row r="1845" ht="14.25" customHeight="1">
      <c r="A1845" s="1">
        <v>113.0</v>
      </c>
      <c r="B1845" s="1">
        <v>6.6</v>
      </c>
      <c r="K1845" s="4"/>
      <c r="P1845" s="5"/>
      <c r="Q1845" s="24"/>
    </row>
    <row r="1846" ht="14.25" customHeight="1">
      <c r="A1846" s="1">
        <v>113.0</v>
      </c>
      <c r="B1846" s="1">
        <v>6.6</v>
      </c>
      <c r="K1846" s="4"/>
      <c r="P1846" s="5"/>
      <c r="Q1846" s="24"/>
    </row>
    <row r="1847" ht="14.25" customHeight="1">
      <c r="A1847" s="1">
        <v>112.0</v>
      </c>
      <c r="B1847" s="1">
        <v>6.6</v>
      </c>
      <c r="K1847" s="4"/>
      <c r="P1847" s="5"/>
      <c r="Q1847" s="24"/>
    </row>
    <row r="1848" ht="14.25" customHeight="1">
      <c r="A1848" s="1">
        <v>112.0</v>
      </c>
      <c r="B1848" s="1">
        <v>6.6</v>
      </c>
      <c r="K1848" s="4"/>
      <c r="P1848" s="5"/>
      <c r="Q1848" s="24"/>
    </row>
    <row r="1849" ht="14.25" customHeight="1">
      <c r="A1849" s="1">
        <v>112.0</v>
      </c>
      <c r="B1849" s="1">
        <v>6.6</v>
      </c>
      <c r="K1849" s="4"/>
      <c r="P1849" s="5"/>
      <c r="Q1849" s="24"/>
    </row>
    <row r="1850" ht="14.25" customHeight="1">
      <c r="A1850" s="1">
        <v>112.0</v>
      </c>
      <c r="B1850" s="1">
        <v>6.6</v>
      </c>
      <c r="K1850" s="4"/>
      <c r="P1850" s="5"/>
      <c r="Q1850" s="24"/>
    </row>
    <row r="1851" ht="14.25" customHeight="1">
      <c r="A1851" s="1">
        <v>110.0</v>
      </c>
      <c r="B1851" s="1">
        <v>6.6</v>
      </c>
      <c r="K1851" s="4"/>
      <c r="P1851" s="5"/>
      <c r="Q1851" s="24"/>
    </row>
    <row r="1852" ht="14.25" customHeight="1">
      <c r="A1852" s="1">
        <v>110.0</v>
      </c>
      <c r="B1852" s="1">
        <v>6.6</v>
      </c>
      <c r="K1852" s="4"/>
      <c r="P1852" s="5"/>
      <c r="Q1852" s="24"/>
    </row>
    <row r="1853" ht="14.25" customHeight="1">
      <c r="A1853" s="1">
        <v>110.0</v>
      </c>
      <c r="B1853" s="1">
        <v>6.6</v>
      </c>
      <c r="K1853" s="4"/>
      <c r="P1853" s="5"/>
      <c r="Q1853" s="24"/>
    </row>
    <row r="1854" ht="14.25" customHeight="1">
      <c r="A1854" s="1">
        <v>109.0</v>
      </c>
      <c r="B1854" s="1">
        <v>6.6</v>
      </c>
      <c r="K1854" s="4"/>
      <c r="P1854" s="5"/>
      <c r="Q1854" s="24"/>
    </row>
    <row r="1855" ht="14.25" customHeight="1">
      <c r="A1855" s="1">
        <v>109.0</v>
      </c>
      <c r="B1855" s="1">
        <v>6.6</v>
      </c>
      <c r="K1855" s="4"/>
      <c r="P1855" s="5"/>
      <c r="Q1855" s="24"/>
    </row>
    <row r="1856" ht="14.25" customHeight="1">
      <c r="A1856" s="1">
        <v>109.0</v>
      </c>
      <c r="B1856" s="1">
        <v>6.6</v>
      </c>
      <c r="K1856" s="4"/>
      <c r="P1856" s="5"/>
      <c r="Q1856" s="24"/>
    </row>
    <row r="1857" ht="14.25" customHeight="1">
      <c r="A1857" s="1">
        <v>109.0</v>
      </c>
      <c r="B1857" s="1">
        <v>6.6</v>
      </c>
      <c r="K1857" s="4"/>
      <c r="P1857" s="5"/>
      <c r="Q1857" s="24"/>
    </row>
    <row r="1858" ht="14.25" customHeight="1">
      <c r="A1858" s="1">
        <v>107.0</v>
      </c>
      <c r="B1858" s="1">
        <v>6.6</v>
      </c>
      <c r="K1858" s="4"/>
      <c r="P1858" s="5"/>
      <c r="Q1858" s="24"/>
    </row>
    <row r="1859" ht="14.25" customHeight="1">
      <c r="A1859" s="1">
        <v>107.0</v>
      </c>
      <c r="B1859" s="1">
        <v>6.6</v>
      </c>
      <c r="K1859" s="4"/>
      <c r="P1859" s="5"/>
      <c r="Q1859" s="24"/>
    </row>
    <row r="1860" ht="14.25" customHeight="1">
      <c r="A1860" s="1">
        <v>107.0</v>
      </c>
      <c r="B1860" s="1">
        <v>6.6</v>
      </c>
      <c r="K1860" s="4"/>
      <c r="P1860" s="5"/>
      <c r="Q1860" s="24"/>
    </row>
    <row r="1861" ht="14.25" customHeight="1">
      <c r="A1861" s="1">
        <v>107.0</v>
      </c>
      <c r="B1861" s="1">
        <v>6.6</v>
      </c>
      <c r="K1861" s="4"/>
      <c r="P1861" s="5"/>
      <c r="Q1861" s="24"/>
    </row>
    <row r="1862" ht="14.25" customHeight="1">
      <c r="A1862" s="1">
        <v>107.0</v>
      </c>
      <c r="B1862" s="1">
        <v>6.6</v>
      </c>
      <c r="K1862" s="4"/>
      <c r="P1862" s="5"/>
      <c r="Q1862" s="24"/>
    </row>
    <row r="1863" ht="14.25" customHeight="1">
      <c r="A1863" s="1">
        <v>106.0</v>
      </c>
      <c r="B1863" s="1">
        <v>6.6</v>
      </c>
      <c r="K1863" s="4"/>
      <c r="P1863" s="5"/>
      <c r="Q1863" s="24"/>
    </row>
    <row r="1864" ht="14.25" customHeight="1">
      <c r="A1864" s="1">
        <v>106.0</v>
      </c>
      <c r="B1864" s="1">
        <v>6.6</v>
      </c>
      <c r="K1864" s="4"/>
      <c r="P1864" s="5"/>
      <c r="Q1864" s="24"/>
    </row>
    <row r="1865" ht="14.25" customHeight="1">
      <c r="A1865" s="1">
        <v>106.0</v>
      </c>
      <c r="B1865" s="1">
        <v>6.6</v>
      </c>
      <c r="K1865" s="4"/>
      <c r="P1865" s="5"/>
      <c r="Q1865" s="24"/>
    </row>
    <row r="1866" ht="14.25" customHeight="1">
      <c r="A1866" s="1">
        <v>106.0</v>
      </c>
      <c r="B1866" s="1">
        <v>6.6</v>
      </c>
      <c r="K1866" s="4"/>
      <c r="P1866" s="5"/>
      <c r="Q1866" s="24"/>
    </row>
    <row r="1867" ht="14.25" customHeight="1">
      <c r="A1867" s="1">
        <v>105.0</v>
      </c>
      <c r="B1867" s="1">
        <v>6.6</v>
      </c>
      <c r="K1867" s="4"/>
      <c r="P1867" s="5"/>
      <c r="Q1867" s="24"/>
    </row>
    <row r="1868" ht="14.25" customHeight="1">
      <c r="A1868" s="1">
        <v>105.0</v>
      </c>
      <c r="B1868" s="1">
        <v>6.6</v>
      </c>
      <c r="K1868" s="4"/>
      <c r="P1868" s="5"/>
      <c r="Q1868" s="24"/>
    </row>
    <row r="1869" ht="14.25" customHeight="1">
      <c r="A1869" s="1">
        <v>105.0</v>
      </c>
      <c r="B1869" s="1">
        <v>6.6</v>
      </c>
      <c r="K1869" s="4"/>
      <c r="P1869" s="5"/>
      <c r="Q1869" s="24"/>
    </row>
    <row r="1870" ht="14.25" customHeight="1">
      <c r="A1870" s="1">
        <v>105.0</v>
      </c>
      <c r="B1870" s="1">
        <v>6.6</v>
      </c>
      <c r="K1870" s="4"/>
      <c r="P1870" s="5"/>
      <c r="Q1870" s="24"/>
    </row>
    <row r="1871" ht="14.25" customHeight="1">
      <c r="A1871" s="1">
        <v>105.0</v>
      </c>
      <c r="B1871" s="1">
        <v>6.6</v>
      </c>
      <c r="K1871" s="4"/>
      <c r="P1871" s="5"/>
      <c r="Q1871" s="24"/>
    </row>
    <row r="1872" ht="14.25" customHeight="1">
      <c r="A1872" s="1">
        <v>104.0</v>
      </c>
      <c r="B1872" s="1">
        <v>6.6</v>
      </c>
      <c r="K1872" s="4"/>
      <c r="P1872" s="5"/>
      <c r="Q1872" s="24"/>
    </row>
    <row r="1873" ht="14.25" customHeight="1">
      <c r="A1873" s="1">
        <v>104.0</v>
      </c>
      <c r="B1873" s="1">
        <v>6.6</v>
      </c>
      <c r="K1873" s="4"/>
      <c r="P1873" s="5"/>
      <c r="Q1873" s="24"/>
    </row>
    <row r="1874" ht="14.25" customHeight="1">
      <c r="A1874" s="1">
        <v>104.0</v>
      </c>
      <c r="B1874" s="1">
        <v>6.6</v>
      </c>
      <c r="K1874" s="4"/>
      <c r="P1874" s="5"/>
      <c r="Q1874" s="24"/>
    </row>
    <row r="1875" ht="14.25" customHeight="1">
      <c r="A1875" s="1">
        <v>103.0</v>
      </c>
      <c r="B1875" s="1">
        <v>6.6</v>
      </c>
      <c r="K1875" s="4"/>
      <c r="P1875" s="5"/>
      <c r="Q1875" s="24"/>
    </row>
    <row r="1876" ht="14.25" customHeight="1">
      <c r="A1876" s="1">
        <v>103.0</v>
      </c>
      <c r="B1876" s="1">
        <v>6.6</v>
      </c>
      <c r="K1876" s="4"/>
      <c r="P1876" s="5"/>
      <c r="Q1876" s="24"/>
    </row>
    <row r="1877" ht="14.25" customHeight="1">
      <c r="A1877" s="1">
        <v>103.0</v>
      </c>
      <c r="B1877" s="1">
        <v>6.6</v>
      </c>
      <c r="K1877" s="4"/>
      <c r="P1877" s="5"/>
      <c r="Q1877" s="24"/>
    </row>
    <row r="1878" ht="14.25" customHeight="1">
      <c r="A1878" s="1">
        <v>103.0</v>
      </c>
      <c r="B1878" s="1">
        <v>6.6</v>
      </c>
      <c r="K1878" s="4"/>
      <c r="P1878" s="5"/>
      <c r="Q1878" s="24"/>
    </row>
    <row r="1879" ht="14.25" customHeight="1">
      <c r="A1879" s="1">
        <v>103.0</v>
      </c>
      <c r="B1879" s="1">
        <v>6.6</v>
      </c>
      <c r="K1879" s="4"/>
      <c r="P1879" s="5"/>
      <c r="Q1879" s="24"/>
    </row>
    <row r="1880" ht="14.25" customHeight="1">
      <c r="A1880" s="1">
        <v>102.0</v>
      </c>
      <c r="B1880" s="1">
        <v>6.6</v>
      </c>
      <c r="K1880" s="4"/>
      <c r="P1880" s="5"/>
      <c r="Q1880" s="24"/>
    </row>
    <row r="1881" ht="14.25" customHeight="1">
      <c r="A1881" s="1">
        <v>102.0</v>
      </c>
      <c r="B1881" s="1">
        <v>6.6</v>
      </c>
      <c r="K1881" s="4"/>
      <c r="P1881" s="5"/>
      <c r="Q1881" s="24"/>
    </row>
    <row r="1882" ht="14.25" customHeight="1">
      <c r="A1882" s="1">
        <v>102.0</v>
      </c>
      <c r="B1882" s="1">
        <v>6.6</v>
      </c>
      <c r="K1882" s="4"/>
      <c r="P1882" s="5"/>
      <c r="Q1882" s="24"/>
    </row>
    <row r="1883" ht="14.25" customHeight="1">
      <c r="A1883" s="1">
        <v>102.0</v>
      </c>
      <c r="B1883" s="1">
        <v>6.6</v>
      </c>
      <c r="K1883" s="4"/>
      <c r="P1883" s="5"/>
      <c r="Q1883" s="24"/>
    </row>
    <row r="1884" ht="14.25" customHeight="1">
      <c r="A1884" s="1">
        <v>102.0</v>
      </c>
      <c r="B1884" s="1">
        <v>6.6</v>
      </c>
      <c r="K1884" s="4"/>
      <c r="P1884" s="5"/>
      <c r="Q1884" s="24"/>
    </row>
    <row r="1885" ht="14.25" customHeight="1">
      <c r="A1885" s="1">
        <v>102.0</v>
      </c>
      <c r="B1885" s="1">
        <v>6.6</v>
      </c>
      <c r="K1885" s="4"/>
      <c r="P1885" s="5"/>
      <c r="Q1885" s="24"/>
    </row>
    <row r="1886" ht="14.25" customHeight="1">
      <c r="A1886" s="1">
        <v>102.0</v>
      </c>
      <c r="B1886" s="1">
        <v>6.6</v>
      </c>
      <c r="K1886" s="4"/>
      <c r="P1886" s="5"/>
      <c r="Q1886" s="24"/>
    </row>
    <row r="1887" ht="14.25" customHeight="1">
      <c r="A1887" s="1">
        <v>102.0</v>
      </c>
      <c r="B1887" s="1">
        <v>6.6</v>
      </c>
      <c r="K1887" s="4"/>
      <c r="P1887" s="5"/>
      <c r="Q1887" s="24"/>
    </row>
    <row r="1888" ht="14.25" customHeight="1">
      <c r="A1888" s="1">
        <v>101.0</v>
      </c>
      <c r="B1888" s="1">
        <v>6.6</v>
      </c>
      <c r="K1888" s="4"/>
      <c r="P1888" s="5"/>
      <c r="Q1888" s="24"/>
    </row>
    <row r="1889" ht="14.25" customHeight="1">
      <c r="A1889" s="1">
        <v>101.0</v>
      </c>
      <c r="B1889" s="1">
        <v>6.6</v>
      </c>
      <c r="K1889" s="4"/>
      <c r="P1889" s="5"/>
      <c r="Q1889" s="24"/>
    </row>
    <row r="1890" ht="14.25" customHeight="1">
      <c r="A1890" s="1">
        <v>101.0</v>
      </c>
      <c r="B1890" s="1">
        <v>6.6</v>
      </c>
      <c r="K1890" s="4"/>
      <c r="P1890" s="5"/>
      <c r="Q1890" s="24"/>
    </row>
    <row r="1891" ht="14.25" customHeight="1">
      <c r="A1891" s="1">
        <v>101.0</v>
      </c>
      <c r="B1891" s="1">
        <v>6.6</v>
      </c>
      <c r="K1891" s="4"/>
      <c r="P1891" s="5"/>
      <c r="Q1891" s="24"/>
    </row>
    <row r="1892" ht="14.25" customHeight="1">
      <c r="A1892" s="1">
        <v>100.0</v>
      </c>
      <c r="B1892" s="1">
        <v>6.6</v>
      </c>
      <c r="K1892" s="4"/>
      <c r="P1892" s="5"/>
      <c r="Q1892" s="24"/>
    </row>
    <row r="1893" ht="14.25" customHeight="1">
      <c r="A1893" s="1">
        <v>100.0</v>
      </c>
      <c r="B1893" s="1">
        <v>6.6</v>
      </c>
      <c r="K1893" s="4"/>
      <c r="P1893" s="5"/>
      <c r="Q1893" s="24"/>
    </row>
    <row r="1894" ht="14.25" customHeight="1">
      <c r="A1894" s="1">
        <v>100.0</v>
      </c>
      <c r="B1894" s="1">
        <v>6.6</v>
      </c>
      <c r="K1894" s="4"/>
      <c r="P1894" s="5"/>
      <c r="Q1894" s="24"/>
    </row>
    <row r="1895" ht="14.25" customHeight="1">
      <c r="A1895" s="1">
        <v>100.0</v>
      </c>
      <c r="B1895" s="1">
        <v>6.6</v>
      </c>
      <c r="K1895" s="4"/>
      <c r="P1895" s="5"/>
      <c r="Q1895" s="24"/>
    </row>
    <row r="1896" ht="14.25" customHeight="1">
      <c r="A1896" s="1">
        <v>100.0</v>
      </c>
      <c r="B1896" s="1">
        <v>6.6</v>
      </c>
      <c r="K1896" s="4"/>
      <c r="P1896" s="5"/>
      <c r="Q1896" s="24"/>
    </row>
    <row r="1897" ht="14.25" customHeight="1">
      <c r="A1897" s="1">
        <v>99.0</v>
      </c>
      <c r="B1897" s="1">
        <v>6.6</v>
      </c>
      <c r="K1897" s="4"/>
      <c r="P1897" s="5"/>
      <c r="Q1897" s="24"/>
    </row>
    <row r="1898" ht="14.25" customHeight="1">
      <c r="A1898" s="1">
        <v>99.0</v>
      </c>
      <c r="B1898" s="1">
        <v>6.6</v>
      </c>
      <c r="K1898" s="4"/>
      <c r="P1898" s="5"/>
      <c r="Q1898" s="24"/>
    </row>
    <row r="1899" ht="14.25" customHeight="1">
      <c r="A1899" s="1">
        <v>99.0</v>
      </c>
      <c r="B1899" s="1">
        <v>6.6</v>
      </c>
      <c r="K1899" s="4"/>
      <c r="P1899" s="5"/>
      <c r="Q1899" s="24"/>
    </row>
    <row r="1900" ht="14.25" customHeight="1">
      <c r="A1900" s="1">
        <v>99.0</v>
      </c>
      <c r="B1900" s="1">
        <v>6.6</v>
      </c>
      <c r="K1900" s="4"/>
      <c r="P1900" s="5"/>
      <c r="Q1900" s="24"/>
    </row>
    <row r="1901" ht="14.25" customHeight="1">
      <c r="A1901" s="1">
        <v>98.0</v>
      </c>
      <c r="B1901" s="1">
        <v>6.6</v>
      </c>
      <c r="K1901" s="4"/>
      <c r="P1901" s="5"/>
      <c r="Q1901" s="24"/>
    </row>
    <row r="1902" ht="14.25" customHeight="1">
      <c r="A1902" s="1">
        <v>98.0</v>
      </c>
      <c r="B1902" s="1">
        <v>6.6</v>
      </c>
      <c r="K1902" s="4"/>
      <c r="P1902" s="5"/>
      <c r="Q1902" s="24"/>
    </row>
    <row r="1903" ht="14.25" customHeight="1">
      <c r="A1903" s="1">
        <v>98.0</v>
      </c>
      <c r="B1903" s="1">
        <v>6.6</v>
      </c>
      <c r="K1903" s="4"/>
      <c r="P1903" s="5"/>
      <c r="Q1903" s="24"/>
    </row>
    <row r="1904" ht="14.25" customHeight="1">
      <c r="A1904" s="1">
        <v>97.0</v>
      </c>
      <c r="B1904" s="1">
        <v>6.6</v>
      </c>
      <c r="K1904" s="4"/>
      <c r="P1904" s="5"/>
      <c r="Q1904" s="24"/>
    </row>
    <row r="1905" ht="14.25" customHeight="1">
      <c r="A1905" s="1">
        <v>97.0</v>
      </c>
      <c r="B1905" s="1">
        <v>6.6</v>
      </c>
      <c r="K1905" s="4"/>
      <c r="P1905" s="5"/>
      <c r="Q1905" s="24"/>
    </row>
    <row r="1906" ht="14.25" customHeight="1">
      <c r="A1906" s="1">
        <v>96.0</v>
      </c>
      <c r="B1906" s="1">
        <v>6.6</v>
      </c>
      <c r="K1906" s="4"/>
      <c r="P1906" s="5"/>
      <c r="Q1906" s="24"/>
    </row>
    <row r="1907" ht="14.25" customHeight="1">
      <c r="A1907" s="1">
        <v>96.0</v>
      </c>
      <c r="B1907" s="1">
        <v>6.6</v>
      </c>
      <c r="K1907" s="4"/>
      <c r="P1907" s="5"/>
      <c r="Q1907" s="24"/>
    </row>
    <row r="1908" ht="14.25" customHeight="1">
      <c r="A1908" s="1">
        <v>96.0</v>
      </c>
      <c r="B1908" s="1">
        <v>6.6</v>
      </c>
      <c r="K1908" s="4"/>
      <c r="P1908" s="5"/>
      <c r="Q1908" s="24"/>
    </row>
    <row r="1909" ht="14.25" customHeight="1">
      <c r="A1909" s="1">
        <v>96.0</v>
      </c>
      <c r="B1909" s="1">
        <v>6.6</v>
      </c>
      <c r="K1909" s="4"/>
      <c r="P1909" s="5"/>
      <c r="Q1909" s="24"/>
    </row>
    <row r="1910" ht="14.25" customHeight="1">
      <c r="A1910" s="1">
        <v>95.0</v>
      </c>
      <c r="B1910" s="1">
        <v>6.6</v>
      </c>
      <c r="K1910" s="4"/>
      <c r="P1910" s="5"/>
      <c r="Q1910" s="24"/>
    </row>
    <row r="1911" ht="14.25" customHeight="1">
      <c r="A1911" s="1">
        <v>95.0</v>
      </c>
      <c r="B1911" s="1">
        <v>6.6</v>
      </c>
      <c r="K1911" s="4"/>
      <c r="P1911" s="5"/>
      <c r="Q1911" s="24"/>
    </row>
    <row r="1912" ht="14.25" customHeight="1">
      <c r="A1912" s="1">
        <v>95.0</v>
      </c>
      <c r="B1912" s="1">
        <v>6.6</v>
      </c>
      <c r="K1912" s="4"/>
      <c r="P1912" s="5"/>
      <c r="Q1912" s="24"/>
    </row>
    <row r="1913" ht="14.25" customHeight="1">
      <c r="A1913" s="1">
        <v>95.0</v>
      </c>
      <c r="B1913" s="1">
        <v>6.6</v>
      </c>
      <c r="K1913" s="4"/>
      <c r="P1913" s="5"/>
      <c r="Q1913" s="24"/>
    </row>
    <row r="1914" ht="14.25" customHeight="1">
      <c r="A1914" s="1">
        <v>94.0</v>
      </c>
      <c r="B1914" s="1">
        <v>6.6</v>
      </c>
      <c r="K1914" s="4"/>
      <c r="P1914" s="5"/>
      <c r="Q1914" s="24"/>
    </row>
    <row r="1915" ht="14.25" customHeight="1">
      <c r="A1915" s="1">
        <v>94.0</v>
      </c>
      <c r="B1915" s="1">
        <v>6.6</v>
      </c>
      <c r="K1915" s="4"/>
      <c r="P1915" s="5"/>
      <c r="Q1915" s="24"/>
    </row>
    <row r="1916" ht="14.25" customHeight="1">
      <c r="A1916" s="1">
        <v>94.0</v>
      </c>
      <c r="B1916" s="1">
        <v>6.6</v>
      </c>
      <c r="K1916" s="4"/>
      <c r="P1916" s="5"/>
      <c r="Q1916" s="24"/>
    </row>
    <row r="1917" ht="14.25" customHeight="1">
      <c r="A1917" s="1">
        <v>94.0</v>
      </c>
      <c r="B1917" s="1">
        <v>6.6</v>
      </c>
      <c r="K1917" s="4"/>
      <c r="P1917" s="5"/>
      <c r="Q1917" s="24"/>
    </row>
    <row r="1918" ht="14.25" customHeight="1">
      <c r="A1918" s="1">
        <v>93.0</v>
      </c>
      <c r="B1918" s="1">
        <v>6.6</v>
      </c>
      <c r="K1918" s="4"/>
      <c r="P1918" s="5"/>
      <c r="Q1918" s="24"/>
    </row>
    <row r="1919" ht="14.25" customHeight="1">
      <c r="A1919" s="1">
        <v>93.0</v>
      </c>
      <c r="B1919" s="1">
        <v>6.6</v>
      </c>
      <c r="K1919" s="4"/>
      <c r="P1919" s="5"/>
      <c r="Q1919" s="24"/>
    </row>
    <row r="1920" ht="14.25" customHeight="1">
      <c r="A1920" s="1">
        <v>92.0</v>
      </c>
      <c r="B1920" s="1">
        <v>6.6</v>
      </c>
      <c r="K1920" s="4"/>
      <c r="P1920" s="5"/>
      <c r="Q1920" s="24"/>
    </row>
    <row r="1921" ht="14.25" customHeight="1">
      <c r="A1921" s="1">
        <v>92.0</v>
      </c>
      <c r="B1921" s="1">
        <v>6.6</v>
      </c>
      <c r="K1921" s="4"/>
      <c r="P1921" s="5"/>
      <c r="Q1921" s="24"/>
    </row>
    <row r="1922" ht="14.25" customHeight="1">
      <c r="A1922" s="1">
        <v>91.0</v>
      </c>
      <c r="B1922" s="1">
        <v>6.6</v>
      </c>
      <c r="K1922" s="4"/>
      <c r="P1922" s="5"/>
      <c r="Q1922" s="24"/>
    </row>
    <row r="1923" ht="14.25" customHeight="1">
      <c r="A1923" s="1">
        <v>91.0</v>
      </c>
      <c r="B1923" s="1">
        <v>6.6</v>
      </c>
      <c r="K1923" s="4"/>
      <c r="P1923" s="5"/>
      <c r="Q1923" s="24"/>
    </row>
    <row r="1924" ht="14.25" customHeight="1">
      <c r="A1924" s="1">
        <v>91.0</v>
      </c>
      <c r="B1924" s="1">
        <v>6.6</v>
      </c>
      <c r="K1924" s="4"/>
      <c r="P1924" s="5"/>
      <c r="Q1924" s="24"/>
    </row>
    <row r="1925" ht="14.25" customHeight="1">
      <c r="A1925" s="1">
        <v>91.0</v>
      </c>
      <c r="B1925" s="1">
        <v>6.6</v>
      </c>
      <c r="K1925" s="4"/>
      <c r="P1925" s="5"/>
      <c r="Q1925" s="24"/>
    </row>
    <row r="1926" ht="14.25" customHeight="1">
      <c r="A1926" s="1">
        <v>90.0</v>
      </c>
      <c r="B1926" s="1">
        <v>6.6</v>
      </c>
      <c r="K1926" s="4"/>
      <c r="P1926" s="5"/>
      <c r="Q1926" s="24"/>
    </row>
    <row r="1927" ht="14.25" customHeight="1">
      <c r="A1927" s="1">
        <v>90.0</v>
      </c>
      <c r="B1927" s="1">
        <v>6.6</v>
      </c>
      <c r="K1927" s="4"/>
      <c r="P1927" s="5"/>
      <c r="Q1927" s="24"/>
    </row>
    <row r="1928" ht="14.25" customHeight="1">
      <c r="A1928" s="1">
        <v>90.0</v>
      </c>
      <c r="B1928" s="1">
        <v>6.6</v>
      </c>
      <c r="K1928" s="4"/>
      <c r="P1928" s="5"/>
      <c r="Q1928" s="24"/>
    </row>
    <row r="1929" ht="14.25" customHeight="1">
      <c r="A1929" s="1">
        <v>90.0</v>
      </c>
      <c r="B1929" s="1">
        <v>6.6</v>
      </c>
      <c r="K1929" s="4"/>
      <c r="P1929" s="5"/>
      <c r="Q1929" s="24"/>
    </row>
    <row r="1930" ht="14.25" customHeight="1">
      <c r="A1930" s="1">
        <v>90.0</v>
      </c>
      <c r="B1930" s="1">
        <v>6.6</v>
      </c>
      <c r="K1930" s="4"/>
      <c r="P1930" s="5"/>
      <c r="Q1930" s="24"/>
    </row>
    <row r="1931" ht="14.25" customHeight="1">
      <c r="A1931" s="1">
        <v>90.0</v>
      </c>
      <c r="B1931" s="1">
        <v>6.6</v>
      </c>
      <c r="K1931" s="4"/>
      <c r="P1931" s="5"/>
      <c r="Q1931" s="24"/>
    </row>
    <row r="1932" ht="14.25" customHeight="1">
      <c r="A1932" s="1">
        <v>90.0</v>
      </c>
      <c r="B1932" s="1">
        <v>6.6</v>
      </c>
      <c r="K1932" s="4"/>
      <c r="P1932" s="5"/>
      <c r="Q1932" s="24"/>
    </row>
    <row r="1933" ht="14.25" customHeight="1">
      <c r="A1933" s="1">
        <v>90.0</v>
      </c>
      <c r="B1933" s="1">
        <v>6.6</v>
      </c>
      <c r="K1933" s="4"/>
      <c r="P1933" s="5"/>
      <c r="Q1933" s="24"/>
    </row>
    <row r="1934" ht="14.25" customHeight="1">
      <c r="A1934" s="1">
        <v>89.0</v>
      </c>
      <c r="B1934" s="1">
        <v>6.6</v>
      </c>
      <c r="K1934" s="4"/>
      <c r="P1934" s="5"/>
      <c r="Q1934" s="24"/>
    </row>
    <row r="1935" ht="14.25" customHeight="1">
      <c r="A1935" s="1">
        <v>88.0</v>
      </c>
      <c r="B1935" s="1">
        <v>6.6</v>
      </c>
      <c r="K1935" s="4"/>
      <c r="P1935" s="5"/>
      <c r="Q1935" s="24"/>
    </row>
    <row r="1936" ht="14.25" customHeight="1">
      <c r="A1936" s="1">
        <v>88.0</v>
      </c>
      <c r="B1936" s="1">
        <v>6.6</v>
      </c>
      <c r="K1936" s="4"/>
      <c r="P1936" s="5"/>
      <c r="Q1936" s="24"/>
    </row>
    <row r="1937" ht="14.25" customHeight="1">
      <c r="A1937" s="1">
        <v>88.0</v>
      </c>
      <c r="B1937" s="1">
        <v>6.6</v>
      </c>
      <c r="K1937" s="4"/>
      <c r="P1937" s="5"/>
      <c r="Q1937" s="24"/>
    </row>
    <row r="1938" ht="14.25" customHeight="1">
      <c r="A1938" s="1">
        <v>88.0</v>
      </c>
      <c r="B1938" s="1">
        <v>6.6</v>
      </c>
      <c r="K1938" s="4"/>
      <c r="P1938" s="5"/>
      <c r="Q1938" s="24"/>
    </row>
    <row r="1939" ht="14.25" customHeight="1">
      <c r="A1939" s="1">
        <v>87.0</v>
      </c>
      <c r="B1939" s="1">
        <v>6.6</v>
      </c>
      <c r="K1939" s="4"/>
      <c r="P1939" s="5"/>
      <c r="Q1939" s="24"/>
    </row>
    <row r="1940" ht="14.25" customHeight="1">
      <c r="A1940" s="1">
        <v>86.0</v>
      </c>
      <c r="B1940" s="1">
        <v>6.6</v>
      </c>
      <c r="K1940" s="4"/>
      <c r="P1940" s="5"/>
      <c r="Q1940" s="24"/>
    </row>
    <row r="1941" ht="14.25" customHeight="1">
      <c r="A1941" s="1">
        <v>85.0</v>
      </c>
      <c r="B1941" s="1">
        <v>6.6</v>
      </c>
      <c r="K1941" s="4"/>
      <c r="P1941" s="5"/>
      <c r="Q1941" s="24"/>
    </row>
    <row r="1942" ht="14.25" customHeight="1">
      <c r="A1942" s="1">
        <v>85.0</v>
      </c>
      <c r="B1942" s="1">
        <v>6.6</v>
      </c>
      <c r="K1942" s="4"/>
      <c r="P1942" s="5"/>
      <c r="Q1942" s="24"/>
    </row>
    <row r="1943" ht="14.25" customHeight="1">
      <c r="A1943" s="1">
        <v>85.0</v>
      </c>
      <c r="B1943" s="1">
        <v>6.6</v>
      </c>
      <c r="K1943" s="4"/>
      <c r="P1943" s="5"/>
      <c r="Q1943" s="24"/>
    </row>
    <row r="1944" ht="14.25" customHeight="1">
      <c r="A1944" s="1">
        <v>84.0</v>
      </c>
      <c r="B1944" s="1">
        <v>6.6</v>
      </c>
      <c r="K1944" s="4"/>
      <c r="P1944" s="5"/>
      <c r="Q1944" s="24"/>
    </row>
    <row r="1945" ht="14.25" customHeight="1">
      <c r="A1945" s="1">
        <v>83.0</v>
      </c>
      <c r="B1945" s="1">
        <v>6.6</v>
      </c>
      <c r="K1945" s="4"/>
      <c r="P1945" s="5"/>
      <c r="Q1945" s="24"/>
    </row>
    <row r="1946" ht="14.25" customHeight="1">
      <c r="A1946" s="1">
        <v>82.0</v>
      </c>
      <c r="B1946" s="1">
        <v>6.6</v>
      </c>
      <c r="K1946" s="4"/>
      <c r="P1946" s="5"/>
      <c r="Q1946" s="24"/>
    </row>
    <row r="1947" ht="14.25" customHeight="1">
      <c r="A1947" s="1">
        <v>78.0</v>
      </c>
      <c r="B1947" s="1">
        <v>6.6</v>
      </c>
      <c r="K1947" s="4"/>
      <c r="P1947" s="5"/>
      <c r="Q1947" s="24"/>
    </row>
    <row r="1948" ht="14.25" customHeight="1">
      <c r="A1948" s="1">
        <v>186.0</v>
      </c>
      <c r="B1948" s="1">
        <v>6.5</v>
      </c>
      <c r="K1948" s="4"/>
      <c r="P1948" s="5"/>
      <c r="Q1948" s="24"/>
    </row>
    <row r="1949" ht="14.25" customHeight="1">
      <c r="A1949" s="1">
        <v>170.0</v>
      </c>
      <c r="B1949" s="1">
        <v>6.5</v>
      </c>
      <c r="K1949" s="4"/>
      <c r="P1949" s="5"/>
      <c r="Q1949" s="24"/>
    </row>
    <row r="1950" ht="14.25" customHeight="1">
      <c r="A1950" s="1">
        <v>150.0</v>
      </c>
      <c r="B1950" s="1">
        <v>6.5</v>
      </c>
      <c r="K1950" s="4"/>
      <c r="P1950" s="5"/>
      <c r="Q1950" s="24"/>
    </row>
    <row r="1951" ht="14.25" customHeight="1">
      <c r="A1951" s="1">
        <v>144.0</v>
      </c>
      <c r="B1951" s="1">
        <v>6.5</v>
      </c>
      <c r="K1951" s="4"/>
      <c r="P1951" s="5"/>
      <c r="Q1951" s="24"/>
    </row>
    <row r="1952" ht="14.25" customHeight="1">
      <c r="A1952" s="1">
        <v>141.0</v>
      </c>
      <c r="B1952" s="1">
        <v>6.5</v>
      </c>
      <c r="K1952" s="4"/>
      <c r="P1952" s="5"/>
      <c r="Q1952" s="24"/>
    </row>
    <row r="1953" ht="14.25" customHeight="1">
      <c r="A1953" s="1">
        <v>141.0</v>
      </c>
      <c r="B1953" s="1">
        <v>6.5</v>
      </c>
      <c r="K1953" s="4"/>
      <c r="P1953" s="5"/>
      <c r="Q1953" s="24"/>
    </row>
    <row r="1954" ht="14.25" customHeight="1">
      <c r="A1954" s="1">
        <v>140.0</v>
      </c>
      <c r="B1954" s="1">
        <v>6.5</v>
      </c>
      <c r="K1954" s="4"/>
      <c r="P1954" s="5"/>
      <c r="Q1954" s="24"/>
    </row>
    <row r="1955" ht="14.25" customHeight="1">
      <c r="A1955" s="1">
        <v>137.0</v>
      </c>
      <c r="B1955" s="1">
        <v>6.5</v>
      </c>
      <c r="K1955" s="4"/>
      <c r="P1955" s="5"/>
      <c r="Q1955" s="24"/>
    </row>
    <row r="1956" ht="14.25" customHeight="1">
      <c r="A1956" s="1">
        <v>136.0</v>
      </c>
      <c r="B1956" s="1">
        <v>6.5</v>
      </c>
      <c r="K1956" s="4"/>
      <c r="P1956" s="5"/>
      <c r="Q1956" s="24"/>
    </row>
    <row r="1957" ht="14.25" customHeight="1">
      <c r="A1957" s="1">
        <v>135.0</v>
      </c>
      <c r="B1957" s="1">
        <v>6.5</v>
      </c>
      <c r="K1957" s="4"/>
      <c r="P1957" s="5"/>
      <c r="Q1957" s="24"/>
    </row>
    <row r="1958" ht="14.25" customHeight="1">
      <c r="A1958" s="1">
        <v>135.0</v>
      </c>
      <c r="B1958" s="1">
        <v>6.5</v>
      </c>
      <c r="K1958" s="4"/>
      <c r="P1958" s="5"/>
      <c r="Q1958" s="24"/>
    </row>
    <row r="1959" ht="14.25" customHeight="1">
      <c r="A1959" s="1">
        <v>132.0</v>
      </c>
      <c r="B1959" s="1">
        <v>6.5</v>
      </c>
      <c r="K1959" s="4"/>
      <c r="P1959" s="5"/>
      <c r="Q1959" s="24"/>
    </row>
    <row r="1960" ht="14.25" customHeight="1">
      <c r="A1960" s="1">
        <v>131.0</v>
      </c>
      <c r="B1960" s="1">
        <v>6.5</v>
      </c>
      <c r="K1960" s="4"/>
      <c r="P1960" s="5"/>
      <c r="Q1960" s="24"/>
    </row>
    <row r="1961" ht="14.25" customHeight="1">
      <c r="A1961" s="1">
        <v>130.0</v>
      </c>
      <c r="B1961" s="1">
        <v>6.5</v>
      </c>
      <c r="K1961" s="4"/>
      <c r="P1961" s="5"/>
      <c r="Q1961" s="24"/>
    </row>
    <row r="1962" ht="14.25" customHeight="1">
      <c r="A1962" s="1">
        <v>130.0</v>
      </c>
      <c r="B1962" s="1">
        <v>6.5</v>
      </c>
      <c r="K1962" s="4"/>
      <c r="P1962" s="5"/>
      <c r="Q1962" s="24"/>
    </row>
    <row r="1963" ht="14.25" customHeight="1">
      <c r="A1963" s="1">
        <v>129.0</v>
      </c>
      <c r="B1963" s="1">
        <v>6.5</v>
      </c>
      <c r="K1963" s="4"/>
      <c r="P1963" s="5"/>
      <c r="Q1963" s="24"/>
    </row>
    <row r="1964" ht="14.25" customHeight="1">
      <c r="A1964" s="1">
        <v>129.0</v>
      </c>
      <c r="B1964" s="1">
        <v>6.5</v>
      </c>
      <c r="K1964" s="4"/>
      <c r="P1964" s="5"/>
      <c r="Q1964" s="24"/>
    </row>
    <row r="1965" ht="14.25" customHeight="1">
      <c r="A1965" s="1">
        <v>129.0</v>
      </c>
      <c r="B1965" s="1">
        <v>6.5</v>
      </c>
      <c r="K1965" s="4"/>
      <c r="P1965" s="5"/>
      <c r="Q1965" s="24"/>
    </row>
    <row r="1966" ht="14.25" customHeight="1">
      <c r="A1966" s="1">
        <v>129.0</v>
      </c>
      <c r="B1966" s="1">
        <v>6.5</v>
      </c>
      <c r="K1966" s="4"/>
      <c r="P1966" s="5"/>
      <c r="Q1966" s="24"/>
    </row>
    <row r="1967" ht="14.25" customHeight="1">
      <c r="A1967" s="1">
        <v>129.0</v>
      </c>
      <c r="B1967" s="1">
        <v>6.5</v>
      </c>
      <c r="K1967" s="4"/>
      <c r="P1967" s="5"/>
      <c r="Q1967" s="24"/>
    </row>
    <row r="1968" ht="14.25" customHeight="1">
      <c r="A1968" s="1">
        <v>127.0</v>
      </c>
      <c r="B1968" s="1">
        <v>6.5</v>
      </c>
      <c r="K1968" s="4"/>
      <c r="P1968" s="5"/>
      <c r="Q1968" s="24"/>
    </row>
    <row r="1969" ht="14.25" customHeight="1">
      <c r="A1969" s="1">
        <v>127.0</v>
      </c>
      <c r="B1969" s="1">
        <v>6.5</v>
      </c>
      <c r="K1969" s="4"/>
      <c r="P1969" s="5"/>
      <c r="Q1969" s="24"/>
    </row>
    <row r="1970" ht="14.25" customHeight="1">
      <c r="A1970" s="1">
        <v>127.0</v>
      </c>
      <c r="B1970" s="1">
        <v>6.5</v>
      </c>
      <c r="K1970" s="4"/>
      <c r="P1970" s="5"/>
      <c r="Q1970" s="24"/>
    </row>
    <row r="1971" ht="14.25" customHeight="1">
      <c r="A1971" s="1">
        <v>126.0</v>
      </c>
      <c r="B1971" s="1">
        <v>6.5</v>
      </c>
      <c r="K1971" s="4"/>
      <c r="P1971" s="5"/>
      <c r="Q1971" s="24"/>
    </row>
    <row r="1972" ht="14.25" customHeight="1">
      <c r="A1972" s="1">
        <v>126.0</v>
      </c>
      <c r="B1972" s="1">
        <v>6.5</v>
      </c>
      <c r="K1972" s="4"/>
      <c r="P1972" s="5"/>
      <c r="Q1972" s="24"/>
    </row>
    <row r="1973" ht="14.25" customHeight="1">
      <c r="A1973" s="1">
        <v>125.0</v>
      </c>
      <c r="B1973" s="1">
        <v>6.5</v>
      </c>
      <c r="K1973" s="4"/>
      <c r="P1973" s="5"/>
      <c r="Q1973" s="24"/>
    </row>
    <row r="1974" ht="14.25" customHeight="1">
      <c r="A1974" s="1">
        <v>125.0</v>
      </c>
      <c r="B1974" s="1">
        <v>6.5</v>
      </c>
      <c r="K1974" s="4"/>
      <c r="P1974" s="5"/>
      <c r="Q1974" s="24"/>
    </row>
    <row r="1975" ht="14.25" customHeight="1">
      <c r="A1975" s="1">
        <v>123.0</v>
      </c>
      <c r="B1975" s="1">
        <v>6.5</v>
      </c>
      <c r="K1975" s="4"/>
      <c r="P1975" s="5"/>
      <c r="Q1975" s="24"/>
    </row>
    <row r="1976" ht="14.25" customHeight="1">
      <c r="A1976" s="1">
        <v>123.0</v>
      </c>
      <c r="B1976" s="1">
        <v>6.5</v>
      </c>
      <c r="K1976" s="4"/>
      <c r="P1976" s="5"/>
      <c r="Q1976" s="24"/>
    </row>
    <row r="1977" ht="14.25" customHeight="1">
      <c r="A1977" s="1">
        <v>122.0</v>
      </c>
      <c r="B1977" s="1">
        <v>6.5</v>
      </c>
      <c r="K1977" s="4"/>
      <c r="P1977" s="5"/>
      <c r="Q1977" s="24"/>
    </row>
    <row r="1978" ht="14.25" customHeight="1">
      <c r="A1978" s="1">
        <v>122.0</v>
      </c>
      <c r="B1978" s="1">
        <v>6.5</v>
      </c>
      <c r="K1978" s="4"/>
      <c r="P1978" s="5"/>
      <c r="Q1978" s="24"/>
    </row>
    <row r="1979" ht="14.25" customHeight="1">
      <c r="A1979" s="1">
        <v>122.0</v>
      </c>
      <c r="B1979" s="1">
        <v>6.5</v>
      </c>
      <c r="K1979" s="4"/>
      <c r="P1979" s="5"/>
      <c r="Q1979" s="24"/>
    </row>
    <row r="1980" ht="14.25" customHeight="1">
      <c r="A1980" s="1">
        <v>122.0</v>
      </c>
      <c r="B1980" s="1">
        <v>6.5</v>
      </c>
      <c r="K1980" s="4"/>
      <c r="P1980" s="5"/>
      <c r="Q1980" s="24"/>
    </row>
    <row r="1981" ht="14.25" customHeight="1">
      <c r="A1981" s="1">
        <v>120.0</v>
      </c>
      <c r="B1981" s="1">
        <v>6.5</v>
      </c>
      <c r="K1981" s="4"/>
      <c r="P1981" s="5"/>
      <c r="Q1981" s="24"/>
    </row>
    <row r="1982" ht="14.25" customHeight="1">
      <c r="A1982" s="1">
        <v>119.0</v>
      </c>
      <c r="B1982" s="1">
        <v>6.5</v>
      </c>
      <c r="K1982" s="4"/>
      <c r="P1982" s="5"/>
      <c r="Q1982" s="24"/>
    </row>
    <row r="1983" ht="14.25" customHeight="1">
      <c r="A1983" s="1">
        <v>119.0</v>
      </c>
      <c r="B1983" s="1">
        <v>6.5</v>
      </c>
      <c r="K1983" s="4"/>
      <c r="P1983" s="5"/>
      <c r="Q1983" s="24"/>
    </row>
    <row r="1984" ht="14.25" customHeight="1">
      <c r="A1984" s="1">
        <v>119.0</v>
      </c>
      <c r="B1984" s="1">
        <v>6.5</v>
      </c>
      <c r="K1984" s="4"/>
      <c r="P1984" s="5"/>
      <c r="Q1984" s="24"/>
    </row>
    <row r="1985" ht="14.25" customHeight="1">
      <c r="A1985" s="1">
        <v>119.0</v>
      </c>
      <c r="B1985" s="1">
        <v>6.5</v>
      </c>
      <c r="K1985" s="4"/>
      <c r="P1985" s="5"/>
      <c r="Q1985" s="24"/>
    </row>
    <row r="1986" ht="14.25" customHeight="1">
      <c r="A1986" s="1">
        <v>118.0</v>
      </c>
      <c r="B1986" s="1">
        <v>6.5</v>
      </c>
      <c r="K1986" s="4"/>
      <c r="P1986" s="5"/>
      <c r="Q1986" s="24"/>
    </row>
    <row r="1987" ht="14.25" customHeight="1">
      <c r="A1987" s="1">
        <v>118.0</v>
      </c>
      <c r="B1987" s="1">
        <v>6.5</v>
      </c>
      <c r="K1987" s="4"/>
      <c r="P1987" s="5"/>
      <c r="Q1987" s="24"/>
    </row>
    <row r="1988" ht="14.25" customHeight="1">
      <c r="A1988" s="1">
        <v>118.0</v>
      </c>
      <c r="B1988" s="1">
        <v>6.5</v>
      </c>
      <c r="K1988" s="4"/>
      <c r="P1988" s="5"/>
      <c r="Q1988" s="24"/>
    </row>
    <row r="1989" ht="14.25" customHeight="1">
      <c r="A1989" s="1">
        <v>117.0</v>
      </c>
      <c r="B1989" s="1">
        <v>6.5</v>
      </c>
      <c r="K1989" s="4"/>
      <c r="P1989" s="5"/>
      <c r="Q1989" s="24"/>
    </row>
    <row r="1990" ht="14.25" customHeight="1">
      <c r="A1990" s="1">
        <v>117.0</v>
      </c>
      <c r="B1990" s="1">
        <v>6.5</v>
      </c>
      <c r="K1990" s="4"/>
      <c r="P1990" s="5"/>
      <c r="Q1990" s="24"/>
    </row>
    <row r="1991" ht="14.25" customHeight="1">
      <c r="A1991" s="1">
        <v>116.0</v>
      </c>
      <c r="B1991" s="1">
        <v>6.5</v>
      </c>
      <c r="K1991" s="4"/>
      <c r="P1991" s="5"/>
      <c r="Q1991" s="24"/>
    </row>
    <row r="1992" ht="14.25" customHeight="1">
      <c r="A1992" s="1">
        <v>116.0</v>
      </c>
      <c r="B1992" s="1">
        <v>6.5</v>
      </c>
      <c r="K1992" s="4"/>
      <c r="P1992" s="5"/>
      <c r="Q1992" s="24"/>
    </row>
    <row r="1993" ht="14.25" customHeight="1">
      <c r="A1993" s="1">
        <v>116.0</v>
      </c>
      <c r="B1993" s="1">
        <v>6.5</v>
      </c>
      <c r="K1993" s="4"/>
      <c r="P1993" s="5"/>
      <c r="Q1993" s="24"/>
    </row>
    <row r="1994" ht="14.25" customHeight="1">
      <c r="A1994" s="1">
        <v>115.0</v>
      </c>
      <c r="B1994" s="1">
        <v>6.5</v>
      </c>
      <c r="K1994" s="4"/>
      <c r="P1994" s="5"/>
      <c r="Q1994" s="24"/>
    </row>
    <row r="1995" ht="14.25" customHeight="1">
      <c r="A1995" s="1">
        <v>115.0</v>
      </c>
      <c r="B1995" s="1">
        <v>6.5</v>
      </c>
      <c r="K1995" s="4"/>
      <c r="P1995" s="5"/>
      <c r="Q1995" s="24"/>
    </row>
    <row r="1996" ht="14.25" customHeight="1">
      <c r="A1996" s="1">
        <v>115.0</v>
      </c>
      <c r="B1996" s="1">
        <v>6.5</v>
      </c>
      <c r="K1996" s="4"/>
      <c r="P1996" s="5"/>
      <c r="Q1996" s="24"/>
    </row>
    <row r="1997" ht="14.25" customHeight="1">
      <c r="A1997" s="1">
        <v>115.0</v>
      </c>
      <c r="B1997" s="1">
        <v>6.5</v>
      </c>
      <c r="K1997" s="4"/>
      <c r="P1997" s="5"/>
      <c r="Q1997" s="24"/>
    </row>
    <row r="1998" ht="14.25" customHeight="1">
      <c r="A1998" s="1">
        <v>115.0</v>
      </c>
      <c r="B1998" s="1">
        <v>6.5</v>
      </c>
      <c r="K1998" s="4"/>
      <c r="P1998" s="5"/>
      <c r="Q1998" s="24"/>
    </row>
    <row r="1999" ht="14.25" customHeight="1">
      <c r="A1999" s="1">
        <v>114.0</v>
      </c>
      <c r="B1999" s="1">
        <v>6.5</v>
      </c>
      <c r="K1999" s="4"/>
      <c r="P1999" s="5"/>
      <c r="Q1999" s="24"/>
    </row>
    <row r="2000" ht="14.25" customHeight="1">
      <c r="A2000" s="1">
        <v>114.0</v>
      </c>
      <c r="B2000" s="1">
        <v>6.5</v>
      </c>
      <c r="K2000" s="4"/>
      <c r="P2000" s="5"/>
      <c r="Q2000" s="24"/>
    </row>
    <row r="2001" ht="14.25" customHeight="1">
      <c r="A2001" s="1">
        <v>114.0</v>
      </c>
      <c r="B2001" s="1">
        <v>6.5</v>
      </c>
      <c r="K2001" s="4"/>
      <c r="P2001" s="5"/>
      <c r="Q2001" s="24"/>
    </row>
    <row r="2002" ht="14.25" customHeight="1">
      <c r="A2002" s="1">
        <v>113.0</v>
      </c>
      <c r="B2002" s="1">
        <v>6.5</v>
      </c>
      <c r="K2002" s="4"/>
      <c r="P2002" s="5"/>
      <c r="Q2002" s="24"/>
    </row>
    <row r="2003" ht="14.25" customHeight="1">
      <c r="A2003" s="1">
        <v>113.0</v>
      </c>
      <c r="B2003" s="1">
        <v>6.5</v>
      </c>
      <c r="K2003" s="4"/>
      <c r="P2003" s="5"/>
      <c r="Q2003" s="24"/>
    </row>
    <row r="2004" ht="14.25" customHeight="1">
      <c r="A2004" s="1">
        <v>112.0</v>
      </c>
      <c r="B2004" s="1">
        <v>6.5</v>
      </c>
      <c r="K2004" s="4"/>
      <c r="P2004" s="5"/>
      <c r="Q2004" s="24"/>
    </row>
    <row r="2005" ht="14.25" customHeight="1">
      <c r="A2005" s="1">
        <v>112.0</v>
      </c>
      <c r="B2005" s="1">
        <v>6.5</v>
      </c>
      <c r="K2005" s="4"/>
      <c r="P2005" s="5"/>
      <c r="Q2005" s="24"/>
    </row>
    <row r="2006" ht="14.25" customHeight="1">
      <c r="A2006" s="1">
        <v>112.0</v>
      </c>
      <c r="B2006" s="1">
        <v>6.5</v>
      </c>
      <c r="K2006" s="4"/>
      <c r="P2006" s="5"/>
      <c r="Q2006" s="24"/>
    </row>
    <row r="2007" ht="14.25" customHeight="1">
      <c r="A2007" s="1">
        <v>111.0</v>
      </c>
      <c r="B2007" s="1">
        <v>6.5</v>
      </c>
      <c r="K2007" s="4"/>
      <c r="P2007" s="5"/>
      <c r="Q2007" s="24"/>
    </row>
    <row r="2008" ht="14.25" customHeight="1">
      <c r="A2008" s="1">
        <v>110.0</v>
      </c>
      <c r="B2008" s="1">
        <v>6.5</v>
      </c>
      <c r="K2008" s="4"/>
      <c r="P2008" s="5"/>
      <c r="Q2008" s="24"/>
    </row>
    <row r="2009" ht="14.25" customHeight="1">
      <c r="A2009" s="1">
        <v>110.0</v>
      </c>
      <c r="B2009" s="1">
        <v>6.5</v>
      </c>
      <c r="K2009" s="4"/>
      <c r="P2009" s="5"/>
      <c r="Q2009" s="24"/>
    </row>
    <row r="2010" ht="14.25" customHeight="1">
      <c r="A2010" s="1">
        <v>110.0</v>
      </c>
      <c r="B2010" s="1">
        <v>6.5</v>
      </c>
      <c r="K2010" s="4"/>
      <c r="P2010" s="5"/>
      <c r="Q2010" s="24"/>
    </row>
    <row r="2011" ht="14.25" customHeight="1">
      <c r="A2011" s="1">
        <v>109.0</v>
      </c>
      <c r="B2011" s="1">
        <v>6.5</v>
      </c>
      <c r="K2011" s="4"/>
      <c r="P2011" s="5"/>
      <c r="Q2011" s="24"/>
    </row>
    <row r="2012" ht="14.25" customHeight="1">
      <c r="A2012" s="1">
        <v>109.0</v>
      </c>
      <c r="B2012" s="1">
        <v>6.5</v>
      </c>
      <c r="K2012" s="4"/>
      <c r="P2012" s="5"/>
      <c r="Q2012" s="24"/>
    </row>
    <row r="2013" ht="14.25" customHeight="1">
      <c r="A2013" s="1">
        <v>109.0</v>
      </c>
      <c r="B2013" s="1">
        <v>6.5</v>
      </c>
      <c r="K2013" s="4"/>
      <c r="P2013" s="5"/>
      <c r="Q2013" s="24"/>
    </row>
    <row r="2014" ht="14.25" customHeight="1">
      <c r="A2014" s="1">
        <v>108.0</v>
      </c>
      <c r="B2014" s="1">
        <v>6.5</v>
      </c>
      <c r="K2014" s="4"/>
      <c r="P2014" s="5"/>
      <c r="Q2014" s="24"/>
    </row>
    <row r="2015" ht="14.25" customHeight="1">
      <c r="A2015" s="1">
        <v>108.0</v>
      </c>
      <c r="B2015" s="1">
        <v>6.5</v>
      </c>
      <c r="K2015" s="4"/>
      <c r="P2015" s="5"/>
      <c r="Q2015" s="24"/>
    </row>
    <row r="2016" ht="14.25" customHeight="1">
      <c r="A2016" s="1">
        <v>108.0</v>
      </c>
      <c r="B2016" s="1">
        <v>6.5</v>
      </c>
      <c r="K2016" s="4"/>
      <c r="P2016" s="5"/>
      <c r="Q2016" s="24"/>
    </row>
    <row r="2017" ht="14.25" customHeight="1">
      <c r="A2017" s="1">
        <v>108.0</v>
      </c>
      <c r="B2017" s="1">
        <v>6.5</v>
      </c>
      <c r="K2017" s="4"/>
      <c r="P2017" s="5"/>
      <c r="Q2017" s="24"/>
    </row>
    <row r="2018" ht="14.25" customHeight="1">
      <c r="A2018" s="1">
        <v>108.0</v>
      </c>
      <c r="B2018" s="1">
        <v>6.5</v>
      </c>
      <c r="K2018" s="4"/>
      <c r="P2018" s="5"/>
      <c r="Q2018" s="24"/>
    </row>
    <row r="2019" ht="14.25" customHeight="1">
      <c r="A2019" s="1">
        <v>108.0</v>
      </c>
      <c r="B2019" s="1">
        <v>6.5</v>
      </c>
      <c r="K2019" s="4"/>
      <c r="P2019" s="5"/>
      <c r="Q2019" s="24"/>
    </row>
    <row r="2020" ht="14.25" customHeight="1">
      <c r="A2020" s="1">
        <v>108.0</v>
      </c>
      <c r="B2020" s="1">
        <v>6.5</v>
      </c>
      <c r="K2020" s="4"/>
      <c r="P2020" s="5"/>
      <c r="Q2020" s="24"/>
    </row>
    <row r="2021" ht="14.25" customHeight="1">
      <c r="A2021" s="1">
        <v>107.0</v>
      </c>
      <c r="B2021" s="1">
        <v>6.5</v>
      </c>
      <c r="K2021" s="4"/>
      <c r="P2021" s="5"/>
      <c r="Q2021" s="24"/>
    </row>
    <row r="2022" ht="14.25" customHeight="1">
      <c r="A2022" s="1">
        <v>107.0</v>
      </c>
      <c r="B2022" s="1">
        <v>6.5</v>
      </c>
      <c r="K2022" s="4"/>
      <c r="P2022" s="5"/>
      <c r="Q2022" s="24"/>
    </row>
    <row r="2023" ht="14.25" customHeight="1">
      <c r="A2023" s="1">
        <v>107.0</v>
      </c>
      <c r="B2023" s="1">
        <v>6.5</v>
      </c>
      <c r="K2023" s="4"/>
      <c r="P2023" s="5"/>
      <c r="Q2023" s="24"/>
    </row>
    <row r="2024" ht="14.25" customHeight="1">
      <c r="A2024" s="1">
        <v>107.0</v>
      </c>
      <c r="B2024" s="1">
        <v>6.5</v>
      </c>
      <c r="K2024" s="4"/>
      <c r="P2024" s="5"/>
      <c r="Q2024" s="24"/>
    </row>
    <row r="2025" ht="14.25" customHeight="1">
      <c r="A2025" s="1">
        <v>107.0</v>
      </c>
      <c r="B2025" s="1">
        <v>6.5</v>
      </c>
      <c r="K2025" s="4"/>
      <c r="P2025" s="5"/>
      <c r="Q2025" s="24"/>
    </row>
    <row r="2026" ht="14.25" customHeight="1">
      <c r="A2026" s="1">
        <v>106.0</v>
      </c>
      <c r="B2026" s="1">
        <v>6.5</v>
      </c>
      <c r="K2026" s="4"/>
      <c r="P2026" s="5"/>
      <c r="Q2026" s="24"/>
    </row>
    <row r="2027" ht="14.25" customHeight="1">
      <c r="A2027" s="1">
        <v>105.0</v>
      </c>
      <c r="B2027" s="1">
        <v>6.5</v>
      </c>
      <c r="K2027" s="4"/>
      <c r="P2027" s="5"/>
      <c r="Q2027" s="24"/>
    </row>
    <row r="2028" ht="14.25" customHeight="1">
      <c r="A2028" s="1">
        <v>105.0</v>
      </c>
      <c r="B2028" s="1">
        <v>6.5</v>
      </c>
      <c r="K2028" s="4"/>
      <c r="P2028" s="5"/>
      <c r="Q2028" s="24"/>
    </row>
    <row r="2029" ht="14.25" customHeight="1">
      <c r="A2029" s="1">
        <v>105.0</v>
      </c>
      <c r="B2029" s="1">
        <v>6.5</v>
      </c>
      <c r="K2029" s="4"/>
      <c r="P2029" s="5"/>
      <c r="Q2029" s="24"/>
    </row>
    <row r="2030" ht="14.25" customHeight="1">
      <c r="A2030" s="1">
        <v>105.0</v>
      </c>
      <c r="B2030" s="1">
        <v>6.5</v>
      </c>
      <c r="K2030" s="4"/>
      <c r="P2030" s="5"/>
      <c r="Q2030" s="24"/>
    </row>
    <row r="2031" ht="14.25" customHeight="1">
      <c r="A2031" s="1">
        <v>104.0</v>
      </c>
      <c r="B2031" s="1">
        <v>6.5</v>
      </c>
      <c r="K2031" s="4"/>
      <c r="P2031" s="5"/>
      <c r="Q2031" s="24"/>
    </row>
    <row r="2032" ht="14.25" customHeight="1">
      <c r="A2032" s="1">
        <v>104.0</v>
      </c>
      <c r="B2032" s="1">
        <v>6.5</v>
      </c>
      <c r="K2032" s="4"/>
      <c r="P2032" s="5"/>
      <c r="Q2032" s="24"/>
    </row>
    <row r="2033" ht="14.25" customHeight="1">
      <c r="A2033" s="1">
        <v>104.0</v>
      </c>
      <c r="B2033" s="1">
        <v>6.5</v>
      </c>
      <c r="K2033" s="4"/>
      <c r="P2033" s="5"/>
      <c r="Q2033" s="24"/>
    </row>
    <row r="2034" ht="14.25" customHeight="1">
      <c r="A2034" s="1">
        <v>104.0</v>
      </c>
      <c r="B2034" s="1">
        <v>6.5</v>
      </c>
      <c r="K2034" s="4"/>
      <c r="P2034" s="5"/>
      <c r="Q2034" s="24"/>
    </row>
    <row r="2035" ht="14.25" customHeight="1">
      <c r="A2035" s="1">
        <v>104.0</v>
      </c>
      <c r="B2035" s="1">
        <v>6.5</v>
      </c>
      <c r="K2035" s="4"/>
      <c r="P2035" s="5"/>
      <c r="Q2035" s="24"/>
    </row>
    <row r="2036" ht="14.25" customHeight="1">
      <c r="A2036" s="1">
        <v>104.0</v>
      </c>
      <c r="B2036" s="1">
        <v>6.5</v>
      </c>
      <c r="K2036" s="4"/>
      <c r="P2036" s="5"/>
      <c r="Q2036" s="24"/>
    </row>
    <row r="2037" ht="14.25" customHeight="1">
      <c r="A2037" s="1">
        <v>103.0</v>
      </c>
      <c r="B2037" s="1">
        <v>6.5</v>
      </c>
      <c r="K2037" s="4"/>
      <c r="P2037" s="5"/>
      <c r="Q2037" s="24"/>
    </row>
    <row r="2038" ht="14.25" customHeight="1">
      <c r="A2038" s="1">
        <v>103.0</v>
      </c>
      <c r="B2038" s="1">
        <v>6.5</v>
      </c>
      <c r="K2038" s="4"/>
      <c r="P2038" s="5"/>
      <c r="Q2038" s="24"/>
    </row>
    <row r="2039" ht="14.25" customHeight="1">
      <c r="A2039" s="1">
        <v>102.0</v>
      </c>
      <c r="B2039" s="1">
        <v>6.5</v>
      </c>
      <c r="K2039" s="4"/>
      <c r="P2039" s="5"/>
      <c r="Q2039" s="24"/>
    </row>
    <row r="2040" ht="14.25" customHeight="1">
      <c r="A2040" s="1">
        <v>102.0</v>
      </c>
      <c r="B2040" s="1">
        <v>6.5</v>
      </c>
      <c r="K2040" s="4"/>
      <c r="P2040" s="5"/>
      <c r="Q2040" s="24"/>
    </row>
    <row r="2041" ht="14.25" customHeight="1">
      <c r="A2041" s="1">
        <v>102.0</v>
      </c>
      <c r="B2041" s="1">
        <v>6.5</v>
      </c>
      <c r="K2041" s="4"/>
      <c r="P2041" s="5"/>
      <c r="Q2041" s="24"/>
    </row>
    <row r="2042" ht="14.25" customHeight="1">
      <c r="A2042" s="1">
        <v>101.0</v>
      </c>
      <c r="B2042" s="1">
        <v>6.5</v>
      </c>
      <c r="K2042" s="4"/>
      <c r="P2042" s="5"/>
      <c r="Q2042" s="24"/>
    </row>
    <row r="2043" ht="14.25" customHeight="1">
      <c r="A2043" s="1">
        <v>101.0</v>
      </c>
      <c r="B2043" s="1">
        <v>6.5</v>
      </c>
      <c r="K2043" s="4"/>
      <c r="P2043" s="5"/>
      <c r="Q2043" s="24"/>
    </row>
    <row r="2044" ht="14.25" customHeight="1">
      <c r="A2044" s="1">
        <v>101.0</v>
      </c>
      <c r="B2044" s="1">
        <v>6.5</v>
      </c>
      <c r="K2044" s="4"/>
      <c r="P2044" s="5"/>
      <c r="Q2044" s="24"/>
    </row>
    <row r="2045" ht="14.25" customHeight="1">
      <c r="A2045" s="1">
        <v>101.0</v>
      </c>
      <c r="B2045" s="1">
        <v>6.5</v>
      </c>
      <c r="K2045" s="4"/>
      <c r="P2045" s="5"/>
      <c r="Q2045" s="24"/>
    </row>
    <row r="2046" ht="14.25" customHeight="1">
      <c r="A2046" s="1">
        <v>101.0</v>
      </c>
      <c r="B2046" s="1">
        <v>6.5</v>
      </c>
      <c r="K2046" s="4"/>
      <c r="P2046" s="5"/>
      <c r="Q2046" s="24"/>
    </row>
    <row r="2047" ht="14.25" customHeight="1">
      <c r="A2047" s="1">
        <v>101.0</v>
      </c>
      <c r="B2047" s="1">
        <v>6.5</v>
      </c>
      <c r="K2047" s="4"/>
      <c r="P2047" s="5"/>
      <c r="Q2047" s="24"/>
    </row>
    <row r="2048" ht="14.25" customHeight="1">
      <c r="A2048" s="1">
        <v>101.0</v>
      </c>
      <c r="B2048" s="1">
        <v>6.5</v>
      </c>
      <c r="K2048" s="4"/>
      <c r="P2048" s="5"/>
      <c r="Q2048" s="24"/>
    </row>
    <row r="2049" ht="14.25" customHeight="1">
      <c r="A2049" s="1">
        <v>100.0</v>
      </c>
      <c r="B2049" s="1">
        <v>6.5</v>
      </c>
      <c r="K2049" s="4"/>
      <c r="P2049" s="5"/>
      <c r="Q2049" s="24"/>
    </row>
    <row r="2050" ht="14.25" customHeight="1">
      <c r="A2050" s="1">
        <v>100.0</v>
      </c>
      <c r="B2050" s="1">
        <v>6.5</v>
      </c>
      <c r="K2050" s="4"/>
      <c r="P2050" s="5"/>
      <c r="Q2050" s="24"/>
    </row>
    <row r="2051" ht="14.25" customHeight="1">
      <c r="A2051" s="1">
        <v>100.0</v>
      </c>
      <c r="B2051" s="1">
        <v>6.5</v>
      </c>
      <c r="K2051" s="4"/>
      <c r="P2051" s="5"/>
      <c r="Q2051" s="24"/>
    </row>
    <row r="2052" ht="14.25" customHeight="1">
      <c r="A2052" s="1">
        <v>100.0</v>
      </c>
      <c r="B2052" s="1">
        <v>6.5</v>
      </c>
      <c r="K2052" s="4"/>
      <c r="P2052" s="5"/>
      <c r="Q2052" s="24"/>
    </row>
    <row r="2053" ht="14.25" customHeight="1">
      <c r="A2053" s="1">
        <v>99.0</v>
      </c>
      <c r="B2053" s="1">
        <v>6.5</v>
      </c>
      <c r="K2053" s="4"/>
      <c r="P2053" s="5"/>
      <c r="Q2053" s="24"/>
    </row>
    <row r="2054" ht="14.25" customHeight="1">
      <c r="A2054" s="1">
        <v>99.0</v>
      </c>
      <c r="B2054" s="1">
        <v>6.5</v>
      </c>
      <c r="K2054" s="4"/>
      <c r="P2054" s="5"/>
      <c r="Q2054" s="24"/>
    </row>
    <row r="2055" ht="14.25" customHeight="1">
      <c r="A2055" s="1">
        <v>99.0</v>
      </c>
      <c r="B2055" s="1">
        <v>6.5</v>
      </c>
      <c r="K2055" s="4"/>
      <c r="P2055" s="5"/>
      <c r="Q2055" s="24"/>
    </row>
    <row r="2056" ht="14.25" customHeight="1">
      <c r="A2056" s="1">
        <v>99.0</v>
      </c>
      <c r="B2056" s="1">
        <v>6.5</v>
      </c>
      <c r="K2056" s="4"/>
      <c r="P2056" s="5"/>
      <c r="Q2056" s="24"/>
    </row>
    <row r="2057" ht="14.25" customHeight="1">
      <c r="A2057" s="1">
        <v>99.0</v>
      </c>
      <c r="B2057" s="1">
        <v>6.5</v>
      </c>
      <c r="K2057" s="4"/>
      <c r="P2057" s="5"/>
      <c r="Q2057" s="24"/>
    </row>
    <row r="2058" ht="14.25" customHeight="1">
      <c r="A2058" s="1">
        <v>99.0</v>
      </c>
      <c r="B2058" s="1">
        <v>6.5</v>
      </c>
      <c r="K2058" s="4"/>
      <c r="P2058" s="5"/>
      <c r="Q2058" s="24"/>
    </row>
    <row r="2059" ht="14.25" customHeight="1">
      <c r="A2059" s="1">
        <v>99.0</v>
      </c>
      <c r="B2059" s="1">
        <v>6.5</v>
      </c>
      <c r="K2059" s="4"/>
      <c r="P2059" s="5"/>
      <c r="Q2059" s="24"/>
    </row>
    <row r="2060" ht="14.25" customHeight="1">
      <c r="A2060" s="1">
        <v>98.0</v>
      </c>
      <c r="B2060" s="1">
        <v>6.5</v>
      </c>
      <c r="K2060" s="4"/>
      <c r="P2060" s="5"/>
      <c r="Q2060" s="24"/>
    </row>
    <row r="2061" ht="14.25" customHeight="1">
      <c r="A2061" s="1">
        <v>98.0</v>
      </c>
      <c r="B2061" s="1">
        <v>6.5</v>
      </c>
      <c r="K2061" s="4"/>
      <c r="P2061" s="5"/>
      <c r="Q2061" s="24"/>
    </row>
    <row r="2062" ht="14.25" customHeight="1">
      <c r="A2062" s="1">
        <v>98.0</v>
      </c>
      <c r="B2062" s="1">
        <v>6.5</v>
      </c>
      <c r="K2062" s="4"/>
      <c r="P2062" s="5"/>
      <c r="Q2062" s="24"/>
    </row>
    <row r="2063" ht="14.25" customHeight="1">
      <c r="A2063" s="1">
        <v>98.0</v>
      </c>
      <c r="B2063" s="1">
        <v>6.5</v>
      </c>
      <c r="K2063" s="4"/>
      <c r="P2063" s="5"/>
      <c r="Q2063" s="24"/>
    </row>
    <row r="2064" ht="14.25" customHeight="1">
      <c r="A2064" s="1">
        <v>97.0</v>
      </c>
      <c r="B2064" s="1">
        <v>6.5</v>
      </c>
      <c r="K2064" s="4"/>
      <c r="P2064" s="5"/>
      <c r="Q2064" s="24"/>
    </row>
    <row r="2065" ht="14.25" customHeight="1">
      <c r="A2065" s="1">
        <v>97.0</v>
      </c>
      <c r="B2065" s="1">
        <v>6.5</v>
      </c>
      <c r="K2065" s="4"/>
      <c r="P2065" s="5"/>
      <c r="Q2065" s="24"/>
    </row>
    <row r="2066" ht="14.25" customHeight="1">
      <c r="A2066" s="1">
        <v>97.0</v>
      </c>
      <c r="B2066" s="1">
        <v>6.5</v>
      </c>
      <c r="K2066" s="4"/>
      <c r="P2066" s="5"/>
      <c r="Q2066" s="24"/>
    </row>
    <row r="2067" ht="14.25" customHeight="1">
      <c r="A2067" s="1">
        <v>97.0</v>
      </c>
      <c r="B2067" s="1">
        <v>6.5</v>
      </c>
      <c r="K2067" s="4"/>
      <c r="P2067" s="5"/>
      <c r="Q2067" s="24"/>
    </row>
    <row r="2068" ht="14.25" customHeight="1">
      <c r="A2068" s="1">
        <v>97.0</v>
      </c>
      <c r="B2068" s="1">
        <v>6.5</v>
      </c>
      <c r="K2068" s="4"/>
      <c r="P2068" s="5"/>
      <c r="Q2068" s="24"/>
    </row>
    <row r="2069" ht="14.25" customHeight="1">
      <c r="A2069" s="1">
        <v>96.0</v>
      </c>
      <c r="B2069" s="1">
        <v>6.5</v>
      </c>
      <c r="K2069" s="4"/>
      <c r="P2069" s="5"/>
      <c r="Q2069" s="24"/>
    </row>
    <row r="2070" ht="14.25" customHeight="1">
      <c r="A2070" s="1">
        <v>96.0</v>
      </c>
      <c r="B2070" s="1">
        <v>6.5</v>
      </c>
      <c r="K2070" s="4"/>
      <c r="P2070" s="5"/>
      <c r="Q2070" s="24"/>
    </row>
    <row r="2071" ht="14.25" customHeight="1">
      <c r="A2071" s="1">
        <v>96.0</v>
      </c>
      <c r="B2071" s="1">
        <v>6.5</v>
      </c>
      <c r="K2071" s="4"/>
      <c r="P2071" s="5"/>
      <c r="Q2071" s="24"/>
    </row>
    <row r="2072" ht="14.25" customHeight="1">
      <c r="A2072" s="1">
        <v>96.0</v>
      </c>
      <c r="B2072" s="1">
        <v>6.5</v>
      </c>
      <c r="K2072" s="4"/>
      <c r="P2072" s="5"/>
      <c r="Q2072" s="24"/>
    </row>
    <row r="2073" ht="14.25" customHeight="1">
      <c r="A2073" s="1">
        <v>95.0</v>
      </c>
      <c r="B2073" s="1">
        <v>6.5</v>
      </c>
      <c r="K2073" s="4"/>
      <c r="P2073" s="5"/>
      <c r="Q2073" s="24"/>
    </row>
    <row r="2074" ht="14.25" customHeight="1">
      <c r="A2074" s="1">
        <v>95.0</v>
      </c>
      <c r="B2074" s="1">
        <v>6.5</v>
      </c>
      <c r="K2074" s="4"/>
      <c r="P2074" s="5"/>
      <c r="Q2074" s="24"/>
    </row>
    <row r="2075" ht="14.25" customHeight="1">
      <c r="A2075" s="1">
        <v>94.0</v>
      </c>
      <c r="B2075" s="1">
        <v>6.5</v>
      </c>
      <c r="K2075" s="4"/>
      <c r="P2075" s="5"/>
      <c r="Q2075" s="24"/>
    </row>
    <row r="2076" ht="14.25" customHeight="1">
      <c r="A2076" s="1">
        <v>94.0</v>
      </c>
      <c r="B2076" s="1">
        <v>6.5</v>
      </c>
      <c r="K2076" s="4"/>
      <c r="P2076" s="5"/>
      <c r="Q2076" s="24"/>
    </row>
    <row r="2077" ht="14.25" customHeight="1">
      <c r="A2077" s="1">
        <v>94.0</v>
      </c>
      <c r="B2077" s="1">
        <v>6.5</v>
      </c>
      <c r="K2077" s="4"/>
      <c r="P2077" s="5"/>
      <c r="Q2077" s="24"/>
    </row>
    <row r="2078" ht="14.25" customHeight="1">
      <c r="A2078" s="1">
        <v>94.0</v>
      </c>
      <c r="B2078" s="1">
        <v>6.5</v>
      </c>
      <c r="K2078" s="4"/>
      <c r="P2078" s="5"/>
      <c r="Q2078" s="24"/>
    </row>
    <row r="2079" ht="14.25" customHeight="1">
      <c r="A2079" s="1">
        <v>94.0</v>
      </c>
      <c r="B2079" s="1">
        <v>6.5</v>
      </c>
      <c r="K2079" s="4"/>
      <c r="P2079" s="5"/>
      <c r="Q2079" s="24"/>
    </row>
    <row r="2080" ht="14.25" customHeight="1">
      <c r="A2080" s="1">
        <v>93.0</v>
      </c>
      <c r="B2080" s="1">
        <v>6.5</v>
      </c>
      <c r="K2080" s="4"/>
      <c r="P2080" s="5"/>
      <c r="Q2080" s="24"/>
    </row>
    <row r="2081" ht="14.25" customHeight="1">
      <c r="A2081" s="1">
        <v>93.0</v>
      </c>
      <c r="B2081" s="1">
        <v>6.5</v>
      </c>
      <c r="K2081" s="4"/>
      <c r="P2081" s="5"/>
      <c r="Q2081" s="24"/>
    </row>
    <row r="2082" ht="14.25" customHeight="1">
      <c r="A2082" s="1">
        <v>93.0</v>
      </c>
      <c r="B2082" s="1">
        <v>6.5</v>
      </c>
      <c r="K2082" s="4"/>
      <c r="P2082" s="5"/>
      <c r="Q2082" s="24"/>
    </row>
    <row r="2083" ht="14.25" customHeight="1">
      <c r="A2083" s="1">
        <v>92.0</v>
      </c>
      <c r="B2083" s="1">
        <v>6.5</v>
      </c>
      <c r="K2083" s="4"/>
      <c r="P2083" s="5"/>
      <c r="Q2083" s="24"/>
    </row>
    <row r="2084" ht="14.25" customHeight="1">
      <c r="A2084" s="1">
        <v>92.0</v>
      </c>
      <c r="B2084" s="1">
        <v>6.5</v>
      </c>
      <c r="K2084" s="4"/>
      <c r="P2084" s="5"/>
      <c r="Q2084" s="24"/>
    </row>
    <row r="2085" ht="14.25" customHeight="1">
      <c r="A2085" s="1">
        <v>91.0</v>
      </c>
      <c r="B2085" s="1">
        <v>6.5</v>
      </c>
      <c r="K2085" s="4"/>
      <c r="P2085" s="5"/>
      <c r="Q2085" s="24"/>
    </row>
    <row r="2086" ht="14.25" customHeight="1">
      <c r="A2086" s="1">
        <v>91.0</v>
      </c>
      <c r="B2086" s="1">
        <v>6.5</v>
      </c>
      <c r="K2086" s="4"/>
      <c r="P2086" s="5"/>
      <c r="Q2086" s="24"/>
    </row>
    <row r="2087" ht="14.25" customHeight="1">
      <c r="A2087" s="1">
        <v>91.0</v>
      </c>
      <c r="B2087" s="1">
        <v>6.5</v>
      </c>
      <c r="K2087" s="4"/>
      <c r="P2087" s="5"/>
      <c r="Q2087" s="24"/>
    </row>
    <row r="2088" ht="14.25" customHeight="1">
      <c r="A2088" s="1">
        <v>91.0</v>
      </c>
      <c r="B2088" s="1">
        <v>6.5</v>
      </c>
      <c r="K2088" s="4"/>
      <c r="P2088" s="5"/>
      <c r="Q2088" s="24"/>
    </row>
    <row r="2089" ht="14.25" customHeight="1">
      <c r="A2089" s="1">
        <v>90.0</v>
      </c>
      <c r="B2089" s="1">
        <v>6.5</v>
      </c>
      <c r="K2089" s="4"/>
      <c r="P2089" s="5"/>
      <c r="Q2089" s="24"/>
    </row>
    <row r="2090" ht="14.25" customHeight="1">
      <c r="A2090" s="1">
        <v>90.0</v>
      </c>
      <c r="B2090" s="1">
        <v>6.5</v>
      </c>
      <c r="K2090" s="4"/>
      <c r="P2090" s="5"/>
      <c r="Q2090" s="24"/>
    </row>
    <row r="2091" ht="14.25" customHeight="1">
      <c r="A2091" s="1">
        <v>90.0</v>
      </c>
      <c r="B2091" s="1">
        <v>6.5</v>
      </c>
      <c r="K2091" s="4"/>
      <c r="P2091" s="5"/>
      <c r="Q2091" s="24"/>
    </row>
    <row r="2092" ht="14.25" customHeight="1">
      <c r="A2092" s="1">
        <v>88.0</v>
      </c>
      <c r="B2092" s="1">
        <v>6.5</v>
      </c>
      <c r="K2092" s="4"/>
      <c r="P2092" s="5"/>
      <c r="Q2092" s="24"/>
    </row>
    <row r="2093" ht="14.25" customHeight="1">
      <c r="A2093" s="1">
        <v>87.0</v>
      </c>
      <c r="B2093" s="1">
        <v>6.5</v>
      </c>
      <c r="K2093" s="4"/>
      <c r="P2093" s="5"/>
      <c r="Q2093" s="24"/>
    </row>
    <row r="2094" ht="14.25" customHeight="1">
      <c r="A2094" s="1">
        <v>86.0</v>
      </c>
      <c r="B2094" s="1">
        <v>6.5</v>
      </c>
      <c r="K2094" s="4"/>
      <c r="P2094" s="5"/>
      <c r="Q2094" s="24"/>
    </row>
    <row r="2095" ht="14.25" customHeight="1">
      <c r="A2095" s="1">
        <v>86.0</v>
      </c>
      <c r="B2095" s="1">
        <v>6.5</v>
      </c>
      <c r="K2095" s="4"/>
      <c r="P2095" s="5"/>
      <c r="Q2095" s="24"/>
    </row>
    <row r="2096" ht="14.25" customHeight="1">
      <c r="A2096" s="1">
        <v>85.0</v>
      </c>
      <c r="B2096" s="1">
        <v>6.5</v>
      </c>
      <c r="K2096" s="4"/>
      <c r="P2096" s="5"/>
      <c r="Q2096" s="24"/>
    </row>
    <row r="2097" ht="14.25" customHeight="1">
      <c r="A2097" s="1">
        <v>84.0</v>
      </c>
      <c r="B2097" s="1">
        <v>6.5</v>
      </c>
      <c r="K2097" s="4"/>
      <c r="P2097" s="5"/>
      <c r="Q2097" s="24"/>
    </row>
    <row r="2098" ht="14.25" customHeight="1">
      <c r="A2098" s="1">
        <v>84.0</v>
      </c>
      <c r="B2098" s="1">
        <v>6.5</v>
      </c>
      <c r="K2098" s="4"/>
      <c r="P2098" s="5"/>
      <c r="Q2098" s="24"/>
    </row>
    <row r="2099" ht="14.25" customHeight="1">
      <c r="A2099" s="1">
        <v>83.0</v>
      </c>
      <c r="B2099" s="1">
        <v>6.5</v>
      </c>
      <c r="K2099" s="4"/>
      <c r="P2099" s="5"/>
      <c r="Q2099" s="24"/>
    </row>
    <row r="2100" ht="14.25" customHeight="1">
      <c r="A2100" s="1">
        <v>82.0</v>
      </c>
      <c r="B2100" s="1">
        <v>6.5</v>
      </c>
      <c r="K2100" s="4"/>
      <c r="P2100" s="5"/>
      <c r="Q2100" s="24"/>
    </row>
    <row r="2101" ht="14.25" customHeight="1">
      <c r="A2101" s="1">
        <v>82.0</v>
      </c>
      <c r="B2101" s="1">
        <v>6.5</v>
      </c>
      <c r="K2101" s="4"/>
      <c r="P2101" s="5"/>
      <c r="Q2101" s="24"/>
    </row>
    <row r="2102" ht="14.25" customHeight="1">
      <c r="A2102" s="1">
        <v>80.0</v>
      </c>
      <c r="B2102" s="1">
        <v>6.5</v>
      </c>
      <c r="K2102" s="4"/>
      <c r="P2102" s="5"/>
      <c r="Q2102" s="24"/>
    </row>
    <row r="2103" ht="14.25" customHeight="1">
      <c r="A2103" s="1">
        <v>79.0</v>
      </c>
      <c r="B2103" s="1">
        <v>6.5</v>
      </c>
      <c r="K2103" s="4"/>
      <c r="P2103" s="5"/>
      <c r="Q2103" s="24"/>
    </row>
    <row r="2104" ht="14.25" customHeight="1">
      <c r="A2104" s="1">
        <v>74.0</v>
      </c>
      <c r="B2104" s="1">
        <v>6.5</v>
      </c>
      <c r="K2104" s="4"/>
      <c r="P2104" s="5"/>
      <c r="Q2104" s="24"/>
    </row>
    <row r="2105" ht="14.25" customHeight="1">
      <c r="A2105" s="1">
        <v>42.0</v>
      </c>
      <c r="B2105" s="1">
        <v>6.5</v>
      </c>
      <c r="K2105" s="4"/>
      <c r="P2105" s="5"/>
      <c r="Q2105" s="24"/>
    </row>
    <row r="2106" ht="14.25" customHeight="1">
      <c r="A2106" s="1">
        <v>158.0</v>
      </c>
      <c r="B2106" s="1">
        <v>6.4</v>
      </c>
      <c r="K2106" s="4"/>
      <c r="P2106" s="5"/>
      <c r="Q2106" s="24"/>
    </row>
    <row r="2107" ht="14.25" customHeight="1">
      <c r="A2107" s="1">
        <v>153.0</v>
      </c>
      <c r="B2107" s="1">
        <v>6.4</v>
      </c>
      <c r="K2107" s="4"/>
      <c r="P2107" s="5"/>
      <c r="Q2107" s="24"/>
    </row>
    <row r="2108" ht="14.25" customHeight="1">
      <c r="A2108" s="1">
        <v>145.0</v>
      </c>
      <c r="B2108" s="1">
        <v>6.4</v>
      </c>
      <c r="K2108" s="4"/>
      <c r="P2108" s="5"/>
      <c r="Q2108" s="24"/>
    </row>
    <row r="2109" ht="14.25" customHeight="1">
      <c r="A2109" s="1">
        <v>143.0</v>
      </c>
      <c r="B2109" s="1">
        <v>6.4</v>
      </c>
      <c r="K2109" s="4"/>
      <c r="P2109" s="5"/>
      <c r="Q2109" s="24"/>
    </row>
    <row r="2110" ht="14.25" customHeight="1">
      <c r="A2110" s="1">
        <v>139.0</v>
      </c>
      <c r="B2110" s="1">
        <v>6.4</v>
      </c>
      <c r="K2110" s="4"/>
      <c r="P2110" s="5"/>
      <c r="Q2110" s="24"/>
    </row>
    <row r="2111" ht="14.25" customHeight="1">
      <c r="A2111" s="1">
        <v>137.0</v>
      </c>
      <c r="B2111" s="1">
        <v>6.4</v>
      </c>
      <c r="K2111" s="4"/>
      <c r="P2111" s="5"/>
      <c r="Q2111" s="24"/>
    </row>
    <row r="2112" ht="14.25" customHeight="1">
      <c r="A2112" s="1">
        <v>134.0</v>
      </c>
      <c r="B2112" s="1">
        <v>6.4</v>
      </c>
      <c r="K2112" s="4"/>
      <c r="P2112" s="5"/>
      <c r="Q2112" s="24"/>
    </row>
    <row r="2113" ht="14.25" customHeight="1">
      <c r="A2113" s="1">
        <v>133.0</v>
      </c>
      <c r="B2113" s="1">
        <v>6.4</v>
      </c>
      <c r="K2113" s="4"/>
      <c r="P2113" s="5"/>
      <c r="Q2113" s="24"/>
    </row>
    <row r="2114" ht="14.25" customHeight="1">
      <c r="A2114" s="1">
        <v>132.0</v>
      </c>
      <c r="B2114" s="1">
        <v>6.4</v>
      </c>
      <c r="K2114" s="4"/>
      <c r="P2114" s="5"/>
      <c r="Q2114" s="24"/>
    </row>
    <row r="2115" ht="14.25" customHeight="1">
      <c r="A2115" s="1">
        <v>132.0</v>
      </c>
      <c r="B2115" s="1">
        <v>6.4</v>
      </c>
      <c r="K2115" s="4"/>
      <c r="P2115" s="5"/>
      <c r="Q2115" s="24"/>
    </row>
    <row r="2116" ht="14.25" customHeight="1">
      <c r="A2116" s="1">
        <v>132.0</v>
      </c>
      <c r="B2116" s="1">
        <v>6.4</v>
      </c>
      <c r="K2116" s="4"/>
      <c r="P2116" s="5"/>
      <c r="Q2116" s="24"/>
    </row>
    <row r="2117" ht="14.25" customHeight="1">
      <c r="A2117" s="1">
        <v>131.0</v>
      </c>
      <c r="B2117" s="1">
        <v>6.4</v>
      </c>
      <c r="K2117" s="4"/>
      <c r="P2117" s="5"/>
      <c r="Q2117" s="24"/>
    </row>
    <row r="2118" ht="14.25" customHeight="1">
      <c r="A2118" s="1">
        <v>130.0</v>
      </c>
      <c r="B2118" s="1">
        <v>6.4</v>
      </c>
      <c r="K2118" s="4"/>
      <c r="P2118" s="5"/>
      <c r="Q2118" s="24"/>
    </row>
    <row r="2119" ht="14.25" customHeight="1">
      <c r="A2119" s="1">
        <v>130.0</v>
      </c>
      <c r="B2119" s="1">
        <v>6.4</v>
      </c>
      <c r="K2119" s="4"/>
      <c r="P2119" s="5"/>
      <c r="Q2119" s="24"/>
    </row>
    <row r="2120" ht="14.25" customHeight="1">
      <c r="A2120" s="1">
        <v>130.0</v>
      </c>
      <c r="B2120" s="1">
        <v>6.4</v>
      </c>
      <c r="K2120" s="4"/>
      <c r="P2120" s="5"/>
      <c r="Q2120" s="24"/>
    </row>
    <row r="2121" ht="14.25" customHeight="1">
      <c r="A2121" s="1">
        <v>130.0</v>
      </c>
      <c r="B2121" s="1">
        <v>6.4</v>
      </c>
      <c r="K2121" s="4"/>
      <c r="P2121" s="5"/>
      <c r="Q2121" s="24"/>
    </row>
    <row r="2122" ht="14.25" customHeight="1">
      <c r="A2122" s="1">
        <v>130.0</v>
      </c>
      <c r="B2122" s="1">
        <v>6.4</v>
      </c>
      <c r="K2122" s="4"/>
      <c r="P2122" s="5"/>
      <c r="Q2122" s="24"/>
    </row>
    <row r="2123" ht="14.25" customHeight="1">
      <c r="A2123" s="1">
        <v>129.0</v>
      </c>
      <c r="B2123" s="1">
        <v>6.4</v>
      </c>
      <c r="K2123" s="4"/>
      <c r="P2123" s="5"/>
      <c r="Q2123" s="24"/>
    </row>
    <row r="2124" ht="14.25" customHeight="1">
      <c r="A2124" s="1">
        <v>129.0</v>
      </c>
      <c r="B2124" s="1">
        <v>6.4</v>
      </c>
      <c r="K2124" s="4"/>
      <c r="P2124" s="5"/>
      <c r="Q2124" s="24"/>
    </row>
    <row r="2125" ht="14.25" customHeight="1">
      <c r="A2125" s="1">
        <v>128.0</v>
      </c>
      <c r="B2125" s="1">
        <v>6.4</v>
      </c>
      <c r="K2125" s="4"/>
      <c r="P2125" s="5"/>
      <c r="Q2125" s="24"/>
    </row>
    <row r="2126" ht="14.25" customHeight="1">
      <c r="A2126" s="1">
        <v>128.0</v>
      </c>
      <c r="B2126" s="1">
        <v>6.4</v>
      </c>
      <c r="K2126" s="4"/>
      <c r="P2126" s="5"/>
      <c r="Q2126" s="24"/>
    </row>
    <row r="2127" ht="14.25" customHeight="1">
      <c r="A2127" s="1">
        <v>128.0</v>
      </c>
      <c r="B2127" s="1">
        <v>6.4</v>
      </c>
      <c r="K2127" s="4"/>
      <c r="P2127" s="5"/>
      <c r="Q2127" s="24"/>
    </row>
    <row r="2128" ht="14.25" customHeight="1">
      <c r="A2128" s="1">
        <v>127.0</v>
      </c>
      <c r="B2128" s="1">
        <v>6.4</v>
      </c>
      <c r="K2128" s="4"/>
      <c r="P2128" s="5"/>
      <c r="Q2128" s="24"/>
    </row>
    <row r="2129" ht="14.25" customHeight="1">
      <c r="A2129" s="1">
        <v>127.0</v>
      </c>
      <c r="B2129" s="1">
        <v>6.4</v>
      </c>
      <c r="K2129" s="4"/>
      <c r="P2129" s="5"/>
      <c r="Q2129" s="24"/>
    </row>
    <row r="2130" ht="14.25" customHeight="1">
      <c r="A2130" s="1">
        <v>125.0</v>
      </c>
      <c r="B2130" s="1">
        <v>6.4</v>
      </c>
      <c r="K2130" s="4"/>
      <c r="P2130" s="5"/>
      <c r="Q2130" s="24"/>
    </row>
    <row r="2131" ht="14.25" customHeight="1">
      <c r="A2131" s="1">
        <v>125.0</v>
      </c>
      <c r="B2131" s="1">
        <v>6.4</v>
      </c>
      <c r="K2131" s="4"/>
      <c r="P2131" s="5"/>
      <c r="Q2131" s="24"/>
    </row>
    <row r="2132" ht="14.25" customHeight="1">
      <c r="A2132" s="1">
        <v>124.0</v>
      </c>
      <c r="B2132" s="1">
        <v>6.4</v>
      </c>
      <c r="K2132" s="4"/>
      <c r="P2132" s="5"/>
      <c r="Q2132" s="24"/>
    </row>
    <row r="2133" ht="14.25" customHeight="1">
      <c r="A2133" s="1">
        <v>124.0</v>
      </c>
      <c r="B2133" s="1">
        <v>6.4</v>
      </c>
      <c r="K2133" s="4"/>
      <c r="P2133" s="5"/>
      <c r="Q2133" s="24"/>
    </row>
    <row r="2134" ht="14.25" customHeight="1">
      <c r="A2134" s="1">
        <v>124.0</v>
      </c>
      <c r="B2134" s="1">
        <v>6.4</v>
      </c>
      <c r="K2134" s="4"/>
      <c r="P2134" s="5"/>
      <c r="Q2134" s="24"/>
    </row>
    <row r="2135" ht="14.25" customHeight="1">
      <c r="A2135" s="1">
        <v>124.0</v>
      </c>
      <c r="B2135" s="1">
        <v>6.4</v>
      </c>
      <c r="K2135" s="4"/>
      <c r="P2135" s="5"/>
      <c r="Q2135" s="24"/>
    </row>
    <row r="2136" ht="14.25" customHeight="1">
      <c r="A2136" s="1">
        <v>124.0</v>
      </c>
      <c r="B2136" s="1">
        <v>6.4</v>
      </c>
      <c r="K2136" s="4"/>
      <c r="P2136" s="5"/>
      <c r="Q2136" s="24"/>
    </row>
    <row r="2137" ht="14.25" customHeight="1">
      <c r="A2137" s="1">
        <v>123.0</v>
      </c>
      <c r="B2137" s="1">
        <v>6.4</v>
      </c>
      <c r="K2137" s="4"/>
      <c r="P2137" s="5"/>
      <c r="Q2137" s="24"/>
    </row>
    <row r="2138" ht="14.25" customHeight="1">
      <c r="A2138" s="1">
        <v>123.0</v>
      </c>
      <c r="B2138" s="1">
        <v>6.4</v>
      </c>
      <c r="K2138" s="4"/>
      <c r="P2138" s="5"/>
      <c r="Q2138" s="24"/>
    </row>
    <row r="2139" ht="14.25" customHeight="1">
      <c r="A2139" s="1">
        <v>123.0</v>
      </c>
      <c r="B2139" s="1">
        <v>6.4</v>
      </c>
      <c r="K2139" s="4"/>
      <c r="P2139" s="5"/>
      <c r="Q2139" s="24"/>
    </row>
    <row r="2140" ht="14.25" customHeight="1">
      <c r="A2140" s="1">
        <v>123.0</v>
      </c>
      <c r="B2140" s="1">
        <v>6.4</v>
      </c>
      <c r="K2140" s="4"/>
      <c r="P2140" s="5"/>
      <c r="Q2140" s="24"/>
    </row>
    <row r="2141" ht="14.25" customHeight="1">
      <c r="A2141" s="1">
        <v>121.0</v>
      </c>
      <c r="B2141" s="1">
        <v>6.4</v>
      </c>
      <c r="K2141" s="4"/>
      <c r="P2141" s="5"/>
      <c r="Q2141" s="24"/>
    </row>
    <row r="2142" ht="14.25" customHeight="1">
      <c r="A2142" s="1">
        <v>119.0</v>
      </c>
      <c r="B2142" s="1">
        <v>6.4</v>
      </c>
      <c r="K2142" s="4"/>
      <c r="P2142" s="5"/>
      <c r="Q2142" s="24"/>
    </row>
    <row r="2143" ht="14.25" customHeight="1">
      <c r="A2143" s="1">
        <v>119.0</v>
      </c>
      <c r="B2143" s="1">
        <v>6.4</v>
      </c>
      <c r="K2143" s="4"/>
      <c r="P2143" s="5"/>
      <c r="Q2143" s="24"/>
    </row>
    <row r="2144" ht="14.25" customHeight="1">
      <c r="A2144" s="1">
        <v>118.0</v>
      </c>
      <c r="B2144" s="1">
        <v>6.4</v>
      </c>
      <c r="K2144" s="4"/>
      <c r="P2144" s="5"/>
      <c r="Q2144" s="24"/>
    </row>
    <row r="2145" ht="14.25" customHeight="1">
      <c r="A2145" s="1">
        <v>118.0</v>
      </c>
      <c r="B2145" s="1">
        <v>6.4</v>
      </c>
      <c r="K2145" s="4"/>
      <c r="P2145" s="5"/>
      <c r="Q2145" s="24"/>
    </row>
    <row r="2146" ht="14.25" customHeight="1">
      <c r="A2146" s="1">
        <v>118.0</v>
      </c>
      <c r="B2146" s="1">
        <v>6.4</v>
      </c>
      <c r="K2146" s="4"/>
      <c r="P2146" s="5"/>
      <c r="Q2146" s="24"/>
    </row>
    <row r="2147" ht="14.25" customHeight="1">
      <c r="A2147" s="1">
        <v>117.0</v>
      </c>
      <c r="B2147" s="1">
        <v>6.4</v>
      </c>
      <c r="K2147" s="4"/>
      <c r="P2147" s="5"/>
      <c r="Q2147" s="24"/>
    </row>
    <row r="2148" ht="14.25" customHeight="1">
      <c r="A2148" s="1">
        <v>117.0</v>
      </c>
      <c r="B2148" s="1">
        <v>6.4</v>
      </c>
      <c r="K2148" s="4"/>
      <c r="P2148" s="5"/>
      <c r="Q2148" s="24"/>
    </row>
    <row r="2149" ht="14.25" customHeight="1">
      <c r="A2149" s="1">
        <v>116.0</v>
      </c>
      <c r="B2149" s="1">
        <v>6.4</v>
      </c>
      <c r="K2149" s="4"/>
      <c r="P2149" s="5"/>
      <c r="Q2149" s="24"/>
    </row>
    <row r="2150" ht="14.25" customHeight="1">
      <c r="A2150" s="1">
        <v>116.0</v>
      </c>
      <c r="B2150" s="1">
        <v>6.4</v>
      </c>
      <c r="K2150" s="4"/>
      <c r="P2150" s="5"/>
      <c r="Q2150" s="24"/>
    </row>
    <row r="2151" ht="14.25" customHeight="1">
      <c r="A2151" s="1">
        <v>115.0</v>
      </c>
      <c r="B2151" s="1">
        <v>6.4</v>
      </c>
      <c r="K2151" s="4"/>
      <c r="P2151" s="5"/>
      <c r="Q2151" s="24"/>
    </row>
    <row r="2152" ht="14.25" customHeight="1">
      <c r="A2152" s="1">
        <v>113.0</v>
      </c>
      <c r="B2152" s="1">
        <v>6.4</v>
      </c>
      <c r="K2152" s="4"/>
      <c r="P2152" s="5"/>
      <c r="Q2152" s="24"/>
    </row>
    <row r="2153" ht="14.25" customHeight="1">
      <c r="A2153" s="1">
        <v>113.0</v>
      </c>
      <c r="B2153" s="1">
        <v>6.4</v>
      </c>
      <c r="K2153" s="4"/>
      <c r="P2153" s="5"/>
      <c r="Q2153" s="24"/>
    </row>
    <row r="2154" ht="14.25" customHeight="1">
      <c r="A2154" s="1">
        <v>113.0</v>
      </c>
      <c r="B2154" s="1">
        <v>6.4</v>
      </c>
      <c r="K2154" s="4"/>
      <c r="P2154" s="5"/>
      <c r="Q2154" s="24"/>
    </row>
    <row r="2155" ht="14.25" customHeight="1">
      <c r="A2155" s="1">
        <v>112.0</v>
      </c>
      <c r="B2155" s="1">
        <v>6.4</v>
      </c>
      <c r="K2155" s="4"/>
      <c r="P2155" s="5"/>
      <c r="Q2155" s="24"/>
    </row>
    <row r="2156" ht="14.25" customHeight="1">
      <c r="A2156" s="1">
        <v>112.0</v>
      </c>
      <c r="B2156" s="1">
        <v>6.4</v>
      </c>
      <c r="K2156" s="4"/>
      <c r="P2156" s="5"/>
      <c r="Q2156" s="24"/>
    </row>
    <row r="2157" ht="14.25" customHeight="1">
      <c r="A2157" s="1">
        <v>112.0</v>
      </c>
      <c r="B2157" s="1">
        <v>6.4</v>
      </c>
      <c r="K2157" s="4"/>
      <c r="P2157" s="5"/>
      <c r="Q2157" s="24"/>
    </row>
    <row r="2158" ht="14.25" customHeight="1">
      <c r="A2158" s="1">
        <v>112.0</v>
      </c>
      <c r="B2158" s="1">
        <v>6.4</v>
      </c>
      <c r="K2158" s="4"/>
      <c r="P2158" s="5"/>
      <c r="Q2158" s="24"/>
    </row>
    <row r="2159" ht="14.25" customHeight="1">
      <c r="A2159" s="1">
        <v>111.0</v>
      </c>
      <c r="B2159" s="1">
        <v>6.4</v>
      </c>
      <c r="K2159" s="4"/>
      <c r="P2159" s="5"/>
      <c r="Q2159" s="24"/>
    </row>
    <row r="2160" ht="14.25" customHeight="1">
      <c r="A2160" s="1">
        <v>111.0</v>
      </c>
      <c r="B2160" s="1">
        <v>6.4</v>
      </c>
      <c r="K2160" s="4"/>
      <c r="P2160" s="5"/>
      <c r="Q2160" s="24"/>
    </row>
    <row r="2161" ht="14.25" customHeight="1">
      <c r="A2161" s="1">
        <v>110.0</v>
      </c>
      <c r="B2161" s="1">
        <v>6.4</v>
      </c>
      <c r="K2161" s="4"/>
      <c r="P2161" s="5"/>
      <c r="Q2161" s="24"/>
    </row>
    <row r="2162" ht="14.25" customHeight="1">
      <c r="A2162" s="1">
        <v>110.0</v>
      </c>
      <c r="B2162" s="1">
        <v>6.4</v>
      </c>
      <c r="K2162" s="4"/>
      <c r="P2162" s="5"/>
      <c r="Q2162" s="24"/>
    </row>
    <row r="2163" ht="14.25" customHeight="1">
      <c r="A2163" s="1">
        <v>109.0</v>
      </c>
      <c r="B2163" s="1">
        <v>6.4</v>
      </c>
      <c r="K2163" s="4"/>
      <c r="P2163" s="5"/>
      <c r="Q2163" s="24"/>
    </row>
    <row r="2164" ht="14.25" customHeight="1">
      <c r="A2164" s="1">
        <v>109.0</v>
      </c>
      <c r="B2164" s="1">
        <v>6.4</v>
      </c>
      <c r="K2164" s="4"/>
      <c r="P2164" s="5"/>
      <c r="Q2164" s="24"/>
    </row>
    <row r="2165" ht="14.25" customHeight="1">
      <c r="A2165" s="1">
        <v>109.0</v>
      </c>
      <c r="B2165" s="1">
        <v>6.4</v>
      </c>
      <c r="K2165" s="4"/>
      <c r="P2165" s="5"/>
      <c r="Q2165" s="24"/>
    </row>
    <row r="2166" ht="14.25" customHeight="1">
      <c r="A2166" s="1">
        <v>108.0</v>
      </c>
      <c r="B2166" s="1">
        <v>6.4</v>
      </c>
      <c r="K2166" s="4"/>
      <c r="P2166" s="5"/>
      <c r="Q2166" s="24"/>
    </row>
    <row r="2167" ht="14.25" customHeight="1">
      <c r="A2167" s="1">
        <v>108.0</v>
      </c>
      <c r="B2167" s="1">
        <v>6.4</v>
      </c>
      <c r="K2167" s="4"/>
      <c r="P2167" s="5"/>
      <c r="Q2167" s="24"/>
    </row>
    <row r="2168" ht="14.25" customHeight="1">
      <c r="A2168" s="1">
        <v>108.0</v>
      </c>
      <c r="B2168" s="1">
        <v>6.4</v>
      </c>
      <c r="K2168" s="4"/>
      <c r="P2168" s="5"/>
      <c r="Q2168" s="24"/>
    </row>
    <row r="2169" ht="14.25" customHeight="1">
      <c r="A2169" s="1">
        <v>108.0</v>
      </c>
      <c r="B2169" s="1">
        <v>6.4</v>
      </c>
      <c r="K2169" s="4"/>
      <c r="P2169" s="5"/>
      <c r="Q2169" s="24"/>
    </row>
    <row r="2170" ht="14.25" customHeight="1">
      <c r="A2170" s="1">
        <v>107.0</v>
      </c>
      <c r="B2170" s="1">
        <v>6.4</v>
      </c>
      <c r="K2170" s="4"/>
      <c r="P2170" s="5"/>
      <c r="Q2170" s="24"/>
    </row>
    <row r="2171" ht="14.25" customHeight="1">
      <c r="A2171" s="1">
        <v>107.0</v>
      </c>
      <c r="B2171" s="1">
        <v>6.4</v>
      </c>
      <c r="K2171" s="4"/>
      <c r="P2171" s="5"/>
      <c r="Q2171" s="24"/>
    </row>
    <row r="2172" ht="14.25" customHeight="1">
      <c r="A2172" s="1">
        <v>107.0</v>
      </c>
      <c r="B2172" s="1">
        <v>6.4</v>
      </c>
      <c r="K2172" s="4"/>
      <c r="P2172" s="5"/>
      <c r="Q2172" s="24"/>
    </row>
    <row r="2173" ht="14.25" customHeight="1">
      <c r="A2173" s="1">
        <v>107.0</v>
      </c>
      <c r="B2173" s="1">
        <v>6.4</v>
      </c>
      <c r="K2173" s="4"/>
      <c r="P2173" s="5"/>
      <c r="Q2173" s="24"/>
    </row>
    <row r="2174" ht="14.25" customHeight="1">
      <c r="A2174" s="1">
        <v>107.0</v>
      </c>
      <c r="B2174" s="1">
        <v>6.4</v>
      </c>
      <c r="K2174" s="4"/>
      <c r="P2174" s="5"/>
      <c r="Q2174" s="24"/>
    </row>
    <row r="2175" ht="14.25" customHeight="1">
      <c r="A2175" s="1">
        <v>107.0</v>
      </c>
      <c r="B2175" s="1">
        <v>6.4</v>
      </c>
      <c r="K2175" s="4"/>
      <c r="P2175" s="5"/>
      <c r="Q2175" s="24"/>
    </row>
    <row r="2176" ht="14.25" customHeight="1">
      <c r="A2176" s="1">
        <v>107.0</v>
      </c>
      <c r="B2176" s="1">
        <v>6.4</v>
      </c>
      <c r="K2176" s="4"/>
      <c r="P2176" s="5"/>
      <c r="Q2176" s="24"/>
    </row>
    <row r="2177" ht="14.25" customHeight="1">
      <c r="A2177" s="1">
        <v>107.0</v>
      </c>
      <c r="B2177" s="1">
        <v>6.4</v>
      </c>
      <c r="K2177" s="4"/>
      <c r="P2177" s="5"/>
      <c r="Q2177" s="24"/>
    </row>
    <row r="2178" ht="14.25" customHeight="1">
      <c r="A2178" s="1">
        <v>106.0</v>
      </c>
      <c r="B2178" s="1">
        <v>6.4</v>
      </c>
      <c r="K2178" s="4"/>
      <c r="P2178" s="5"/>
      <c r="Q2178" s="24"/>
    </row>
    <row r="2179" ht="14.25" customHeight="1">
      <c r="A2179" s="1">
        <v>106.0</v>
      </c>
      <c r="B2179" s="1">
        <v>6.4</v>
      </c>
      <c r="K2179" s="4"/>
      <c r="P2179" s="5"/>
      <c r="Q2179" s="24"/>
    </row>
    <row r="2180" ht="14.25" customHeight="1">
      <c r="A2180" s="1">
        <v>106.0</v>
      </c>
      <c r="B2180" s="1">
        <v>6.4</v>
      </c>
      <c r="K2180" s="4"/>
      <c r="P2180" s="5"/>
      <c r="Q2180" s="24"/>
    </row>
    <row r="2181" ht="14.25" customHeight="1">
      <c r="A2181" s="1">
        <v>106.0</v>
      </c>
      <c r="B2181" s="1">
        <v>6.4</v>
      </c>
      <c r="K2181" s="4"/>
      <c r="P2181" s="5"/>
      <c r="Q2181" s="24"/>
    </row>
    <row r="2182" ht="14.25" customHeight="1">
      <c r="A2182" s="1">
        <v>106.0</v>
      </c>
      <c r="B2182" s="1">
        <v>6.4</v>
      </c>
      <c r="K2182" s="4"/>
      <c r="P2182" s="5"/>
      <c r="Q2182" s="24"/>
    </row>
    <row r="2183" ht="14.25" customHeight="1">
      <c r="A2183" s="1">
        <v>106.0</v>
      </c>
      <c r="B2183" s="1">
        <v>6.4</v>
      </c>
      <c r="K2183" s="4"/>
      <c r="P2183" s="5"/>
      <c r="Q2183" s="24"/>
    </row>
    <row r="2184" ht="14.25" customHeight="1">
      <c r="A2184" s="1">
        <v>106.0</v>
      </c>
      <c r="B2184" s="1">
        <v>6.4</v>
      </c>
      <c r="K2184" s="4"/>
      <c r="P2184" s="5"/>
      <c r="Q2184" s="24"/>
    </row>
    <row r="2185" ht="14.25" customHeight="1">
      <c r="A2185" s="1">
        <v>106.0</v>
      </c>
      <c r="B2185" s="1">
        <v>6.4</v>
      </c>
      <c r="K2185" s="4"/>
      <c r="P2185" s="5"/>
      <c r="Q2185" s="24"/>
    </row>
    <row r="2186" ht="14.25" customHeight="1">
      <c r="A2186" s="1">
        <v>105.0</v>
      </c>
      <c r="B2186" s="1">
        <v>6.4</v>
      </c>
      <c r="K2186" s="4"/>
      <c r="P2186" s="5"/>
      <c r="Q2186" s="24"/>
    </row>
    <row r="2187" ht="14.25" customHeight="1">
      <c r="A2187" s="1">
        <v>105.0</v>
      </c>
      <c r="B2187" s="1">
        <v>6.4</v>
      </c>
      <c r="K2187" s="4"/>
      <c r="P2187" s="5"/>
      <c r="Q2187" s="24"/>
    </row>
    <row r="2188" ht="14.25" customHeight="1">
      <c r="A2188" s="1">
        <v>105.0</v>
      </c>
      <c r="B2188" s="1">
        <v>6.4</v>
      </c>
      <c r="K2188" s="4"/>
      <c r="P2188" s="5"/>
      <c r="Q2188" s="24"/>
    </row>
    <row r="2189" ht="14.25" customHeight="1">
      <c r="A2189" s="1">
        <v>105.0</v>
      </c>
      <c r="B2189" s="1">
        <v>6.4</v>
      </c>
      <c r="K2189" s="4"/>
      <c r="P2189" s="5"/>
      <c r="Q2189" s="24"/>
    </row>
    <row r="2190" ht="14.25" customHeight="1">
      <c r="A2190" s="1">
        <v>105.0</v>
      </c>
      <c r="B2190" s="1">
        <v>6.4</v>
      </c>
      <c r="K2190" s="4"/>
      <c r="P2190" s="5"/>
      <c r="Q2190" s="24"/>
    </row>
    <row r="2191" ht="14.25" customHeight="1">
      <c r="A2191" s="1">
        <v>104.0</v>
      </c>
      <c r="B2191" s="1">
        <v>6.4</v>
      </c>
      <c r="K2191" s="4"/>
      <c r="P2191" s="5"/>
      <c r="Q2191" s="24"/>
    </row>
    <row r="2192" ht="14.25" customHeight="1">
      <c r="A2192" s="1">
        <v>104.0</v>
      </c>
      <c r="B2192" s="1">
        <v>6.4</v>
      </c>
      <c r="K2192" s="4"/>
      <c r="P2192" s="5"/>
      <c r="Q2192" s="24"/>
    </row>
    <row r="2193" ht="14.25" customHeight="1">
      <c r="A2193" s="1">
        <v>104.0</v>
      </c>
      <c r="B2193" s="1">
        <v>6.4</v>
      </c>
      <c r="K2193" s="4"/>
      <c r="P2193" s="5"/>
      <c r="Q2193" s="24"/>
    </row>
    <row r="2194" ht="14.25" customHeight="1">
      <c r="A2194" s="1">
        <v>103.0</v>
      </c>
      <c r="B2194" s="1">
        <v>6.4</v>
      </c>
      <c r="K2194" s="4"/>
      <c r="P2194" s="5"/>
      <c r="Q2194" s="24"/>
    </row>
    <row r="2195" ht="14.25" customHeight="1">
      <c r="A2195" s="1">
        <v>103.0</v>
      </c>
      <c r="B2195" s="1">
        <v>6.4</v>
      </c>
      <c r="K2195" s="4"/>
      <c r="P2195" s="5"/>
      <c r="Q2195" s="24"/>
    </row>
    <row r="2196" ht="14.25" customHeight="1">
      <c r="A2196" s="1">
        <v>103.0</v>
      </c>
      <c r="B2196" s="1">
        <v>6.4</v>
      </c>
      <c r="K2196" s="4"/>
      <c r="P2196" s="5"/>
      <c r="Q2196" s="24"/>
    </row>
    <row r="2197" ht="14.25" customHeight="1">
      <c r="A2197" s="1">
        <v>103.0</v>
      </c>
      <c r="B2197" s="1">
        <v>6.4</v>
      </c>
      <c r="K2197" s="4"/>
      <c r="P2197" s="5"/>
      <c r="Q2197" s="24"/>
    </row>
    <row r="2198" ht="14.25" customHeight="1">
      <c r="A2198" s="1">
        <v>103.0</v>
      </c>
      <c r="B2198" s="1">
        <v>6.4</v>
      </c>
      <c r="K2198" s="4"/>
      <c r="P2198" s="5"/>
      <c r="Q2198" s="24"/>
    </row>
    <row r="2199" ht="14.25" customHeight="1">
      <c r="A2199" s="1">
        <v>102.0</v>
      </c>
      <c r="B2199" s="1">
        <v>6.4</v>
      </c>
      <c r="K2199" s="4"/>
      <c r="P2199" s="5"/>
      <c r="Q2199" s="24"/>
    </row>
    <row r="2200" ht="14.25" customHeight="1">
      <c r="A2200" s="1">
        <v>102.0</v>
      </c>
      <c r="B2200" s="1">
        <v>6.4</v>
      </c>
      <c r="K2200" s="4"/>
      <c r="P2200" s="5"/>
      <c r="Q2200" s="24"/>
    </row>
    <row r="2201" ht="14.25" customHeight="1">
      <c r="A2201" s="1">
        <v>102.0</v>
      </c>
      <c r="B2201" s="1">
        <v>6.4</v>
      </c>
      <c r="K2201" s="4"/>
      <c r="P2201" s="5"/>
      <c r="Q2201" s="24"/>
    </row>
    <row r="2202" ht="14.25" customHeight="1">
      <c r="A2202" s="1">
        <v>102.0</v>
      </c>
      <c r="B2202" s="1">
        <v>6.4</v>
      </c>
      <c r="K2202" s="4"/>
      <c r="P2202" s="5"/>
      <c r="Q2202" s="24"/>
    </row>
    <row r="2203" ht="14.25" customHeight="1">
      <c r="A2203" s="1">
        <v>102.0</v>
      </c>
      <c r="B2203" s="1">
        <v>6.4</v>
      </c>
      <c r="K2203" s="4"/>
      <c r="P2203" s="5"/>
      <c r="Q2203" s="24"/>
    </row>
    <row r="2204" ht="14.25" customHeight="1">
      <c r="A2204" s="1">
        <v>102.0</v>
      </c>
      <c r="B2204" s="1">
        <v>6.4</v>
      </c>
      <c r="K2204" s="4"/>
      <c r="P2204" s="5"/>
      <c r="Q2204" s="24"/>
    </row>
    <row r="2205" ht="14.25" customHeight="1">
      <c r="A2205" s="1">
        <v>101.0</v>
      </c>
      <c r="B2205" s="1">
        <v>6.4</v>
      </c>
      <c r="K2205" s="4"/>
      <c r="P2205" s="5"/>
      <c r="Q2205" s="24"/>
    </row>
    <row r="2206" ht="14.25" customHeight="1">
      <c r="A2206" s="1">
        <v>101.0</v>
      </c>
      <c r="B2206" s="1">
        <v>6.4</v>
      </c>
      <c r="K2206" s="4"/>
      <c r="P2206" s="5"/>
      <c r="Q2206" s="24"/>
    </row>
    <row r="2207" ht="14.25" customHeight="1">
      <c r="A2207" s="1">
        <v>101.0</v>
      </c>
      <c r="B2207" s="1">
        <v>6.4</v>
      </c>
      <c r="K2207" s="4"/>
      <c r="P2207" s="5"/>
      <c r="Q2207" s="24"/>
    </row>
    <row r="2208" ht="14.25" customHeight="1">
      <c r="A2208" s="1">
        <v>101.0</v>
      </c>
      <c r="B2208" s="1">
        <v>6.4</v>
      </c>
      <c r="K2208" s="4"/>
      <c r="P2208" s="5"/>
      <c r="Q2208" s="24"/>
    </row>
    <row r="2209" ht="14.25" customHeight="1">
      <c r="A2209" s="1">
        <v>101.0</v>
      </c>
      <c r="B2209" s="1">
        <v>6.4</v>
      </c>
      <c r="K2209" s="4"/>
      <c r="P2209" s="5"/>
      <c r="Q2209" s="24"/>
    </row>
    <row r="2210" ht="14.25" customHeight="1">
      <c r="A2210" s="1">
        <v>101.0</v>
      </c>
      <c r="B2210" s="1">
        <v>6.4</v>
      </c>
      <c r="K2210" s="4"/>
      <c r="P2210" s="5"/>
      <c r="Q2210" s="24"/>
    </row>
    <row r="2211" ht="14.25" customHeight="1">
      <c r="A2211" s="1">
        <v>101.0</v>
      </c>
      <c r="B2211" s="1">
        <v>6.4</v>
      </c>
      <c r="K2211" s="4"/>
      <c r="P2211" s="5"/>
      <c r="Q2211" s="24"/>
    </row>
    <row r="2212" ht="14.25" customHeight="1">
      <c r="A2212" s="1">
        <v>100.0</v>
      </c>
      <c r="B2212" s="1">
        <v>6.4</v>
      </c>
      <c r="K2212" s="4"/>
      <c r="P2212" s="5"/>
      <c r="Q2212" s="24"/>
    </row>
    <row r="2213" ht="14.25" customHeight="1">
      <c r="A2213" s="1">
        <v>100.0</v>
      </c>
      <c r="B2213" s="1">
        <v>6.4</v>
      </c>
      <c r="K2213" s="4"/>
      <c r="P2213" s="5"/>
      <c r="Q2213" s="24"/>
    </row>
    <row r="2214" ht="14.25" customHeight="1">
      <c r="A2214" s="1">
        <v>100.0</v>
      </c>
      <c r="B2214" s="1">
        <v>6.4</v>
      </c>
      <c r="K2214" s="4"/>
      <c r="P2214" s="5"/>
      <c r="Q2214" s="24"/>
    </row>
    <row r="2215" ht="14.25" customHeight="1">
      <c r="A2215" s="1">
        <v>100.0</v>
      </c>
      <c r="B2215" s="1">
        <v>6.4</v>
      </c>
      <c r="K2215" s="4"/>
      <c r="P2215" s="5"/>
      <c r="Q2215" s="24"/>
    </row>
    <row r="2216" ht="14.25" customHeight="1">
      <c r="A2216" s="1">
        <v>100.0</v>
      </c>
      <c r="B2216" s="1">
        <v>6.4</v>
      </c>
      <c r="K2216" s="4"/>
      <c r="P2216" s="5"/>
      <c r="Q2216" s="24"/>
    </row>
    <row r="2217" ht="14.25" customHeight="1">
      <c r="A2217" s="1">
        <v>100.0</v>
      </c>
      <c r="B2217" s="1">
        <v>6.4</v>
      </c>
      <c r="K2217" s="4"/>
      <c r="P2217" s="5"/>
      <c r="Q2217" s="24"/>
    </row>
    <row r="2218" ht="14.25" customHeight="1">
      <c r="A2218" s="1">
        <v>99.0</v>
      </c>
      <c r="B2218" s="1">
        <v>6.4</v>
      </c>
      <c r="K2218" s="4"/>
      <c r="P2218" s="5"/>
      <c r="Q2218" s="24"/>
    </row>
    <row r="2219" ht="14.25" customHeight="1">
      <c r="A2219" s="1">
        <v>99.0</v>
      </c>
      <c r="B2219" s="1">
        <v>6.4</v>
      </c>
      <c r="K2219" s="4"/>
      <c r="P2219" s="5"/>
      <c r="Q2219" s="24"/>
    </row>
    <row r="2220" ht="14.25" customHeight="1">
      <c r="A2220" s="1">
        <v>99.0</v>
      </c>
      <c r="B2220" s="1">
        <v>6.4</v>
      </c>
      <c r="K2220" s="4"/>
      <c r="P2220" s="5"/>
      <c r="Q2220" s="24"/>
    </row>
    <row r="2221" ht="14.25" customHeight="1">
      <c r="A2221" s="1">
        <v>99.0</v>
      </c>
      <c r="B2221" s="1">
        <v>6.4</v>
      </c>
      <c r="K2221" s="4"/>
      <c r="P2221" s="5"/>
      <c r="Q2221" s="24"/>
    </row>
    <row r="2222" ht="14.25" customHeight="1">
      <c r="A2222" s="1">
        <v>99.0</v>
      </c>
      <c r="B2222" s="1">
        <v>6.4</v>
      </c>
      <c r="K2222" s="4"/>
      <c r="P2222" s="5"/>
      <c r="Q2222" s="24"/>
    </row>
    <row r="2223" ht="14.25" customHeight="1">
      <c r="A2223" s="1">
        <v>98.0</v>
      </c>
      <c r="B2223" s="1">
        <v>6.4</v>
      </c>
      <c r="K2223" s="4"/>
      <c r="P2223" s="5"/>
      <c r="Q2223" s="24"/>
    </row>
    <row r="2224" ht="14.25" customHeight="1">
      <c r="A2224" s="1">
        <v>98.0</v>
      </c>
      <c r="B2224" s="1">
        <v>6.4</v>
      </c>
      <c r="K2224" s="4"/>
      <c r="P2224" s="5"/>
      <c r="Q2224" s="24"/>
    </row>
    <row r="2225" ht="14.25" customHeight="1">
      <c r="A2225" s="1">
        <v>97.0</v>
      </c>
      <c r="B2225" s="1">
        <v>6.4</v>
      </c>
      <c r="K2225" s="4"/>
      <c r="P2225" s="5"/>
      <c r="Q2225" s="24"/>
    </row>
    <row r="2226" ht="14.25" customHeight="1">
      <c r="A2226" s="1">
        <v>97.0</v>
      </c>
      <c r="B2226" s="1">
        <v>6.4</v>
      </c>
      <c r="K2226" s="4"/>
      <c r="P2226" s="5"/>
      <c r="Q2226" s="24"/>
    </row>
    <row r="2227" ht="14.25" customHeight="1">
      <c r="A2227" s="1">
        <v>97.0</v>
      </c>
      <c r="B2227" s="1">
        <v>6.4</v>
      </c>
      <c r="K2227" s="4"/>
      <c r="P2227" s="5"/>
      <c r="Q2227" s="24"/>
    </row>
    <row r="2228" ht="14.25" customHeight="1">
      <c r="A2228" s="1">
        <v>97.0</v>
      </c>
      <c r="B2228" s="1">
        <v>6.4</v>
      </c>
      <c r="K2228" s="4"/>
      <c r="P2228" s="5"/>
      <c r="Q2228" s="24"/>
    </row>
    <row r="2229" ht="14.25" customHeight="1">
      <c r="A2229" s="1">
        <v>96.0</v>
      </c>
      <c r="B2229" s="1">
        <v>6.4</v>
      </c>
      <c r="K2229" s="4"/>
      <c r="P2229" s="5"/>
      <c r="Q2229" s="24"/>
    </row>
    <row r="2230" ht="14.25" customHeight="1">
      <c r="A2230" s="1">
        <v>96.0</v>
      </c>
      <c r="B2230" s="1">
        <v>6.4</v>
      </c>
      <c r="K2230" s="4"/>
      <c r="P2230" s="5"/>
      <c r="Q2230" s="24"/>
    </row>
    <row r="2231" ht="14.25" customHeight="1">
      <c r="A2231" s="1">
        <v>95.0</v>
      </c>
      <c r="B2231" s="1">
        <v>6.4</v>
      </c>
      <c r="K2231" s="4"/>
      <c r="P2231" s="5"/>
      <c r="Q2231" s="24"/>
    </row>
    <row r="2232" ht="14.25" customHeight="1">
      <c r="A2232" s="1">
        <v>95.0</v>
      </c>
      <c r="B2232" s="1">
        <v>6.4</v>
      </c>
      <c r="K2232" s="4"/>
      <c r="P2232" s="5"/>
      <c r="Q2232" s="24"/>
    </row>
    <row r="2233" ht="14.25" customHeight="1">
      <c r="A2233" s="1">
        <v>95.0</v>
      </c>
      <c r="B2233" s="1">
        <v>6.4</v>
      </c>
      <c r="K2233" s="4"/>
      <c r="P2233" s="5"/>
      <c r="Q2233" s="24"/>
    </row>
    <row r="2234" ht="14.25" customHeight="1">
      <c r="A2234" s="1">
        <v>95.0</v>
      </c>
      <c r="B2234" s="1">
        <v>6.4</v>
      </c>
      <c r="K2234" s="4"/>
      <c r="P2234" s="5"/>
      <c r="Q2234" s="24"/>
    </row>
    <row r="2235" ht="14.25" customHeight="1">
      <c r="A2235" s="1">
        <v>94.0</v>
      </c>
      <c r="B2235" s="1">
        <v>6.4</v>
      </c>
      <c r="K2235" s="4"/>
      <c r="P2235" s="5"/>
      <c r="Q2235" s="24"/>
    </row>
    <row r="2236" ht="14.25" customHeight="1">
      <c r="A2236" s="1">
        <v>94.0</v>
      </c>
      <c r="B2236" s="1">
        <v>6.4</v>
      </c>
      <c r="K2236" s="4"/>
      <c r="P2236" s="5"/>
      <c r="Q2236" s="24"/>
    </row>
    <row r="2237" ht="14.25" customHeight="1">
      <c r="A2237" s="1">
        <v>94.0</v>
      </c>
      <c r="B2237" s="1">
        <v>6.4</v>
      </c>
      <c r="K2237" s="4"/>
      <c r="P2237" s="5"/>
      <c r="Q2237" s="24"/>
    </row>
    <row r="2238" ht="14.25" customHeight="1">
      <c r="A2238" s="1">
        <v>93.0</v>
      </c>
      <c r="B2238" s="1">
        <v>6.4</v>
      </c>
      <c r="K2238" s="4"/>
      <c r="P2238" s="5"/>
      <c r="Q2238" s="24"/>
    </row>
    <row r="2239" ht="14.25" customHeight="1">
      <c r="A2239" s="1">
        <v>93.0</v>
      </c>
      <c r="B2239" s="1">
        <v>6.4</v>
      </c>
      <c r="K2239" s="4"/>
      <c r="P2239" s="5"/>
      <c r="Q2239" s="24"/>
    </row>
    <row r="2240" ht="14.25" customHeight="1">
      <c r="A2240" s="1">
        <v>93.0</v>
      </c>
      <c r="B2240" s="1">
        <v>6.4</v>
      </c>
      <c r="K2240" s="4"/>
      <c r="P2240" s="5"/>
      <c r="Q2240" s="24"/>
    </row>
    <row r="2241" ht="14.25" customHeight="1">
      <c r="A2241" s="1">
        <v>92.0</v>
      </c>
      <c r="B2241" s="1">
        <v>6.4</v>
      </c>
      <c r="K2241" s="4"/>
      <c r="P2241" s="5"/>
      <c r="Q2241" s="24"/>
    </row>
    <row r="2242" ht="14.25" customHeight="1">
      <c r="A2242" s="1">
        <v>92.0</v>
      </c>
      <c r="B2242" s="1">
        <v>6.4</v>
      </c>
      <c r="K2242" s="4"/>
      <c r="P2242" s="5"/>
      <c r="Q2242" s="24"/>
    </row>
    <row r="2243" ht="14.25" customHeight="1">
      <c r="A2243" s="1">
        <v>91.0</v>
      </c>
      <c r="B2243" s="1">
        <v>6.4</v>
      </c>
      <c r="K2243" s="4"/>
      <c r="P2243" s="5"/>
      <c r="Q2243" s="24"/>
    </row>
    <row r="2244" ht="14.25" customHeight="1">
      <c r="A2244" s="1">
        <v>91.0</v>
      </c>
      <c r="B2244" s="1">
        <v>6.4</v>
      </c>
      <c r="K2244" s="4"/>
      <c r="P2244" s="5"/>
      <c r="Q2244" s="24"/>
    </row>
    <row r="2245" ht="14.25" customHeight="1">
      <c r="A2245" s="1">
        <v>91.0</v>
      </c>
      <c r="B2245" s="1">
        <v>6.4</v>
      </c>
      <c r="K2245" s="4"/>
      <c r="P2245" s="5"/>
      <c r="Q2245" s="24"/>
    </row>
    <row r="2246" ht="14.25" customHeight="1">
      <c r="A2246" s="1">
        <v>90.0</v>
      </c>
      <c r="B2246" s="1">
        <v>6.4</v>
      </c>
      <c r="K2246" s="4"/>
      <c r="P2246" s="5"/>
      <c r="Q2246" s="24"/>
    </row>
    <row r="2247" ht="14.25" customHeight="1">
      <c r="A2247" s="1">
        <v>90.0</v>
      </c>
      <c r="B2247" s="1">
        <v>6.4</v>
      </c>
      <c r="K2247" s="4"/>
      <c r="P2247" s="5"/>
      <c r="Q2247" s="24"/>
    </row>
    <row r="2248" ht="14.25" customHeight="1">
      <c r="A2248" s="1">
        <v>90.0</v>
      </c>
      <c r="B2248" s="1">
        <v>6.4</v>
      </c>
      <c r="K2248" s="4"/>
      <c r="P2248" s="5"/>
      <c r="Q2248" s="24"/>
    </row>
    <row r="2249" ht="14.25" customHeight="1">
      <c r="A2249" s="1">
        <v>90.0</v>
      </c>
      <c r="B2249" s="1">
        <v>6.4</v>
      </c>
      <c r="K2249" s="4"/>
      <c r="P2249" s="5"/>
      <c r="Q2249" s="24"/>
    </row>
    <row r="2250" ht="14.25" customHeight="1">
      <c r="A2250" s="1">
        <v>89.0</v>
      </c>
      <c r="B2250" s="1">
        <v>6.4</v>
      </c>
      <c r="K2250" s="4"/>
      <c r="P2250" s="5"/>
      <c r="Q2250" s="24"/>
    </row>
    <row r="2251" ht="14.25" customHeight="1">
      <c r="A2251" s="1">
        <v>88.0</v>
      </c>
      <c r="B2251" s="1">
        <v>6.4</v>
      </c>
      <c r="K2251" s="4"/>
      <c r="P2251" s="5"/>
      <c r="Q2251" s="24"/>
    </row>
    <row r="2252" ht="14.25" customHeight="1">
      <c r="A2252" s="1">
        <v>86.0</v>
      </c>
      <c r="B2252" s="1">
        <v>6.4</v>
      </c>
      <c r="K2252" s="4"/>
      <c r="P2252" s="5"/>
      <c r="Q2252" s="24"/>
    </row>
    <row r="2253" ht="14.25" customHeight="1">
      <c r="A2253" s="1">
        <v>85.0</v>
      </c>
      <c r="B2253" s="1">
        <v>6.4</v>
      </c>
      <c r="K2253" s="4"/>
      <c r="P2253" s="5"/>
      <c r="Q2253" s="24"/>
    </row>
    <row r="2254" ht="14.25" customHeight="1">
      <c r="A2254" s="1">
        <v>83.0</v>
      </c>
      <c r="B2254" s="1">
        <v>6.4</v>
      </c>
      <c r="K2254" s="4"/>
      <c r="P2254" s="5"/>
      <c r="Q2254" s="24"/>
    </row>
    <row r="2255" ht="14.25" customHeight="1">
      <c r="A2255" s="1">
        <v>82.0</v>
      </c>
      <c r="B2255" s="1">
        <v>6.4</v>
      </c>
      <c r="K2255" s="4"/>
      <c r="P2255" s="5"/>
      <c r="Q2255" s="24"/>
    </row>
    <row r="2256" ht="14.25" customHeight="1">
      <c r="A2256" s="1">
        <v>81.0</v>
      </c>
      <c r="B2256" s="1">
        <v>6.4</v>
      </c>
      <c r="K2256" s="4"/>
      <c r="P2256" s="5"/>
      <c r="Q2256" s="24"/>
    </row>
    <row r="2257" ht="14.25" customHeight="1">
      <c r="A2257" s="1">
        <v>76.0</v>
      </c>
      <c r="B2257" s="1">
        <v>6.4</v>
      </c>
      <c r="K2257" s="4"/>
      <c r="P2257" s="5"/>
      <c r="Q2257" s="24"/>
    </row>
    <row r="2258" ht="14.25" customHeight="1">
      <c r="A2258" s="1">
        <v>68.0</v>
      </c>
      <c r="B2258" s="1">
        <v>6.4</v>
      </c>
      <c r="K2258" s="4"/>
      <c r="P2258" s="5"/>
      <c r="Q2258" s="24"/>
    </row>
    <row r="2259" ht="14.25" customHeight="1">
      <c r="A2259" s="1">
        <v>280.0</v>
      </c>
      <c r="B2259" s="1">
        <v>6.3</v>
      </c>
      <c r="K2259" s="4"/>
      <c r="P2259" s="5"/>
      <c r="Q2259" s="24"/>
    </row>
    <row r="2260" ht="14.25" customHeight="1">
      <c r="A2260" s="1">
        <v>154.0</v>
      </c>
      <c r="B2260" s="1">
        <v>6.3</v>
      </c>
      <c r="K2260" s="4"/>
      <c r="P2260" s="5"/>
      <c r="Q2260" s="24"/>
    </row>
    <row r="2261" ht="14.25" customHeight="1">
      <c r="A2261" s="1">
        <v>143.0</v>
      </c>
      <c r="B2261" s="1">
        <v>6.3</v>
      </c>
      <c r="K2261" s="4"/>
      <c r="P2261" s="5"/>
      <c r="Q2261" s="24"/>
    </row>
    <row r="2262" ht="14.25" customHeight="1">
      <c r="A2262" s="1">
        <v>138.0</v>
      </c>
      <c r="B2262" s="1">
        <v>6.3</v>
      </c>
      <c r="K2262" s="4"/>
      <c r="P2262" s="5"/>
      <c r="Q2262" s="24"/>
    </row>
    <row r="2263" ht="14.25" customHeight="1">
      <c r="A2263" s="1">
        <v>136.0</v>
      </c>
      <c r="B2263" s="1">
        <v>6.3</v>
      </c>
      <c r="K2263" s="4"/>
      <c r="P2263" s="5"/>
      <c r="Q2263" s="24"/>
    </row>
    <row r="2264" ht="14.25" customHeight="1">
      <c r="A2264" s="1">
        <v>135.0</v>
      </c>
      <c r="B2264" s="1">
        <v>6.3</v>
      </c>
      <c r="K2264" s="4"/>
      <c r="P2264" s="5"/>
      <c r="Q2264" s="24"/>
    </row>
    <row r="2265" ht="14.25" customHeight="1">
      <c r="A2265" s="1">
        <v>135.0</v>
      </c>
      <c r="B2265" s="1">
        <v>6.3</v>
      </c>
      <c r="K2265" s="4"/>
      <c r="P2265" s="5"/>
      <c r="Q2265" s="24"/>
    </row>
    <row r="2266" ht="14.25" customHeight="1">
      <c r="A2266" s="1">
        <v>132.0</v>
      </c>
      <c r="B2266" s="1">
        <v>6.3</v>
      </c>
      <c r="K2266" s="4"/>
      <c r="P2266" s="5"/>
      <c r="Q2266" s="24"/>
    </row>
    <row r="2267" ht="14.25" customHeight="1">
      <c r="A2267" s="1">
        <v>131.0</v>
      </c>
      <c r="B2267" s="1">
        <v>6.3</v>
      </c>
      <c r="K2267" s="4"/>
      <c r="P2267" s="5"/>
      <c r="Q2267" s="24"/>
    </row>
    <row r="2268" ht="14.25" customHeight="1">
      <c r="A2268" s="1">
        <v>130.0</v>
      </c>
      <c r="B2268" s="1">
        <v>6.3</v>
      </c>
      <c r="K2268" s="4"/>
      <c r="P2268" s="5"/>
      <c r="Q2268" s="24"/>
    </row>
    <row r="2269" ht="14.25" customHeight="1">
      <c r="A2269" s="1">
        <v>129.0</v>
      </c>
      <c r="B2269" s="1">
        <v>6.3</v>
      </c>
      <c r="K2269" s="4"/>
      <c r="P2269" s="5"/>
      <c r="Q2269" s="24"/>
    </row>
    <row r="2270" ht="14.25" customHeight="1">
      <c r="A2270" s="1">
        <v>128.0</v>
      </c>
      <c r="B2270" s="1">
        <v>6.3</v>
      </c>
      <c r="K2270" s="4"/>
      <c r="P2270" s="5"/>
      <c r="Q2270" s="24"/>
    </row>
    <row r="2271" ht="14.25" customHeight="1">
      <c r="A2271" s="1">
        <v>126.0</v>
      </c>
      <c r="B2271" s="1">
        <v>6.3</v>
      </c>
      <c r="K2271" s="4"/>
      <c r="P2271" s="5"/>
      <c r="Q2271" s="24"/>
    </row>
    <row r="2272" ht="14.25" customHeight="1">
      <c r="A2272" s="1">
        <v>125.0</v>
      </c>
      <c r="B2272" s="1">
        <v>6.3</v>
      </c>
      <c r="K2272" s="4"/>
      <c r="P2272" s="5"/>
      <c r="Q2272" s="24"/>
    </row>
    <row r="2273" ht="14.25" customHeight="1">
      <c r="A2273" s="1">
        <v>125.0</v>
      </c>
      <c r="B2273" s="1">
        <v>6.3</v>
      </c>
      <c r="K2273" s="4"/>
      <c r="P2273" s="5"/>
      <c r="Q2273" s="24"/>
    </row>
    <row r="2274" ht="14.25" customHeight="1">
      <c r="A2274" s="1">
        <v>124.0</v>
      </c>
      <c r="B2274" s="1">
        <v>6.3</v>
      </c>
      <c r="K2274" s="4"/>
      <c r="P2274" s="5"/>
      <c r="Q2274" s="24"/>
    </row>
    <row r="2275" ht="14.25" customHeight="1">
      <c r="A2275" s="1">
        <v>123.0</v>
      </c>
      <c r="B2275" s="1">
        <v>6.3</v>
      </c>
      <c r="K2275" s="4"/>
      <c r="P2275" s="5"/>
      <c r="Q2275" s="24"/>
    </row>
    <row r="2276" ht="14.25" customHeight="1">
      <c r="A2276" s="1">
        <v>119.0</v>
      </c>
      <c r="B2276" s="1">
        <v>6.3</v>
      </c>
      <c r="K2276" s="4"/>
      <c r="P2276" s="5"/>
      <c r="Q2276" s="24"/>
    </row>
    <row r="2277" ht="14.25" customHeight="1">
      <c r="A2277" s="1">
        <v>119.0</v>
      </c>
      <c r="B2277" s="1">
        <v>6.3</v>
      </c>
      <c r="K2277" s="4"/>
      <c r="P2277" s="5"/>
      <c r="Q2277" s="24"/>
    </row>
    <row r="2278" ht="14.25" customHeight="1">
      <c r="A2278" s="1">
        <v>119.0</v>
      </c>
      <c r="B2278" s="1">
        <v>6.3</v>
      </c>
      <c r="K2278" s="4"/>
      <c r="P2278" s="5"/>
      <c r="Q2278" s="24"/>
    </row>
    <row r="2279" ht="14.25" customHeight="1">
      <c r="A2279" s="1">
        <v>119.0</v>
      </c>
      <c r="B2279" s="1">
        <v>6.3</v>
      </c>
      <c r="K2279" s="4"/>
      <c r="P2279" s="5"/>
      <c r="Q2279" s="24"/>
    </row>
    <row r="2280" ht="14.25" customHeight="1">
      <c r="A2280" s="1">
        <v>117.0</v>
      </c>
      <c r="B2280" s="1">
        <v>6.3</v>
      </c>
      <c r="K2280" s="4"/>
      <c r="P2280" s="5"/>
      <c r="Q2280" s="24"/>
    </row>
    <row r="2281" ht="14.25" customHeight="1">
      <c r="A2281" s="1">
        <v>117.0</v>
      </c>
      <c r="B2281" s="1">
        <v>6.3</v>
      </c>
      <c r="K2281" s="4"/>
      <c r="P2281" s="5"/>
      <c r="Q2281" s="24"/>
    </row>
    <row r="2282" ht="14.25" customHeight="1">
      <c r="A2282" s="1">
        <v>116.0</v>
      </c>
      <c r="B2282" s="1">
        <v>6.3</v>
      </c>
      <c r="K2282" s="4"/>
      <c r="P2282" s="5"/>
      <c r="Q2282" s="24"/>
    </row>
    <row r="2283" ht="14.25" customHeight="1">
      <c r="A2283" s="1">
        <v>116.0</v>
      </c>
      <c r="B2283" s="1">
        <v>6.3</v>
      </c>
      <c r="K2283" s="4"/>
      <c r="P2283" s="5"/>
      <c r="Q2283" s="24"/>
    </row>
    <row r="2284" ht="14.25" customHeight="1">
      <c r="A2284" s="1">
        <v>116.0</v>
      </c>
      <c r="B2284" s="1">
        <v>6.3</v>
      </c>
      <c r="K2284" s="4"/>
      <c r="P2284" s="5"/>
      <c r="Q2284" s="24"/>
    </row>
    <row r="2285" ht="14.25" customHeight="1">
      <c r="A2285" s="1">
        <v>116.0</v>
      </c>
      <c r="B2285" s="1">
        <v>6.3</v>
      </c>
      <c r="K2285" s="4"/>
      <c r="P2285" s="5"/>
      <c r="Q2285" s="24"/>
    </row>
    <row r="2286" ht="14.25" customHeight="1">
      <c r="A2286" s="1">
        <v>116.0</v>
      </c>
      <c r="B2286" s="1">
        <v>6.3</v>
      </c>
      <c r="K2286" s="4"/>
      <c r="P2286" s="5"/>
      <c r="Q2286" s="24"/>
    </row>
    <row r="2287" ht="14.25" customHeight="1">
      <c r="A2287" s="1">
        <v>115.0</v>
      </c>
      <c r="B2287" s="1">
        <v>6.3</v>
      </c>
      <c r="K2287" s="4"/>
      <c r="P2287" s="5"/>
      <c r="Q2287" s="24"/>
    </row>
    <row r="2288" ht="14.25" customHeight="1">
      <c r="A2288" s="1">
        <v>115.0</v>
      </c>
      <c r="B2288" s="1">
        <v>6.3</v>
      </c>
      <c r="K2288" s="4"/>
      <c r="P2288" s="5"/>
      <c r="Q2288" s="24"/>
    </row>
    <row r="2289" ht="14.25" customHeight="1">
      <c r="A2289" s="1">
        <v>115.0</v>
      </c>
      <c r="B2289" s="1">
        <v>6.3</v>
      </c>
      <c r="K2289" s="4"/>
      <c r="P2289" s="5"/>
      <c r="Q2289" s="24"/>
    </row>
    <row r="2290" ht="14.25" customHeight="1">
      <c r="A2290" s="1">
        <v>114.0</v>
      </c>
      <c r="B2290" s="1">
        <v>6.3</v>
      </c>
      <c r="K2290" s="4"/>
      <c r="P2290" s="5"/>
      <c r="Q2290" s="24"/>
    </row>
    <row r="2291" ht="14.25" customHeight="1">
      <c r="A2291" s="1">
        <v>114.0</v>
      </c>
      <c r="B2291" s="1">
        <v>6.3</v>
      </c>
      <c r="K2291" s="4"/>
      <c r="P2291" s="5"/>
      <c r="Q2291" s="24"/>
    </row>
    <row r="2292" ht="14.25" customHeight="1">
      <c r="A2292" s="1">
        <v>113.0</v>
      </c>
      <c r="B2292" s="1">
        <v>6.3</v>
      </c>
      <c r="K2292" s="4"/>
      <c r="P2292" s="5"/>
      <c r="Q2292" s="24"/>
    </row>
    <row r="2293" ht="14.25" customHeight="1">
      <c r="A2293" s="1">
        <v>113.0</v>
      </c>
      <c r="B2293" s="1">
        <v>6.3</v>
      </c>
      <c r="K2293" s="4"/>
      <c r="P2293" s="5"/>
      <c r="Q2293" s="24"/>
    </row>
    <row r="2294" ht="14.25" customHeight="1">
      <c r="A2294" s="1">
        <v>113.0</v>
      </c>
      <c r="B2294" s="1">
        <v>6.3</v>
      </c>
      <c r="K2294" s="4"/>
      <c r="P2294" s="5"/>
      <c r="Q2294" s="24"/>
    </row>
    <row r="2295" ht="14.25" customHeight="1">
      <c r="A2295" s="1">
        <v>113.0</v>
      </c>
      <c r="B2295" s="1">
        <v>6.3</v>
      </c>
      <c r="K2295" s="4"/>
      <c r="P2295" s="5"/>
      <c r="Q2295" s="24"/>
    </row>
    <row r="2296" ht="14.25" customHeight="1">
      <c r="A2296" s="1">
        <v>113.0</v>
      </c>
      <c r="B2296" s="1">
        <v>6.3</v>
      </c>
      <c r="K2296" s="4"/>
      <c r="P2296" s="5"/>
      <c r="Q2296" s="24"/>
    </row>
    <row r="2297" ht="14.25" customHeight="1">
      <c r="A2297" s="1">
        <v>112.0</v>
      </c>
      <c r="B2297" s="1">
        <v>6.3</v>
      </c>
      <c r="K2297" s="4"/>
      <c r="P2297" s="5"/>
      <c r="Q2297" s="24"/>
    </row>
    <row r="2298" ht="14.25" customHeight="1">
      <c r="A2298" s="1">
        <v>112.0</v>
      </c>
      <c r="B2298" s="1">
        <v>6.3</v>
      </c>
      <c r="K2298" s="4"/>
      <c r="P2298" s="5"/>
      <c r="Q2298" s="24"/>
    </row>
    <row r="2299" ht="14.25" customHeight="1">
      <c r="A2299" s="1">
        <v>111.0</v>
      </c>
      <c r="B2299" s="1">
        <v>6.3</v>
      </c>
      <c r="K2299" s="4"/>
      <c r="P2299" s="5"/>
      <c r="Q2299" s="24"/>
    </row>
    <row r="2300" ht="14.25" customHeight="1">
      <c r="A2300" s="1">
        <v>111.0</v>
      </c>
      <c r="B2300" s="1">
        <v>6.3</v>
      </c>
      <c r="K2300" s="4"/>
      <c r="P2300" s="5"/>
      <c r="Q2300" s="24"/>
    </row>
    <row r="2301" ht="14.25" customHeight="1">
      <c r="A2301" s="1">
        <v>110.0</v>
      </c>
      <c r="B2301" s="1">
        <v>6.3</v>
      </c>
      <c r="K2301" s="4"/>
      <c r="P2301" s="5"/>
      <c r="Q2301" s="24"/>
    </row>
    <row r="2302" ht="14.25" customHeight="1">
      <c r="A2302" s="1">
        <v>110.0</v>
      </c>
      <c r="B2302" s="1">
        <v>6.3</v>
      </c>
      <c r="K2302" s="4"/>
      <c r="P2302" s="5"/>
      <c r="Q2302" s="24"/>
    </row>
    <row r="2303" ht="14.25" customHeight="1">
      <c r="A2303" s="1">
        <v>110.0</v>
      </c>
      <c r="B2303" s="1">
        <v>6.3</v>
      </c>
      <c r="K2303" s="4"/>
      <c r="P2303" s="5"/>
      <c r="Q2303" s="24"/>
    </row>
    <row r="2304" ht="14.25" customHeight="1">
      <c r="A2304" s="1">
        <v>109.0</v>
      </c>
      <c r="B2304" s="1">
        <v>6.3</v>
      </c>
      <c r="K2304" s="4"/>
      <c r="P2304" s="5"/>
      <c r="Q2304" s="24"/>
    </row>
    <row r="2305" ht="14.25" customHeight="1">
      <c r="A2305" s="1">
        <v>109.0</v>
      </c>
      <c r="B2305" s="1">
        <v>6.3</v>
      </c>
      <c r="K2305" s="4"/>
      <c r="P2305" s="5"/>
      <c r="Q2305" s="24"/>
    </row>
    <row r="2306" ht="14.25" customHeight="1">
      <c r="A2306" s="1">
        <v>108.0</v>
      </c>
      <c r="B2306" s="1">
        <v>6.3</v>
      </c>
      <c r="K2306" s="4"/>
      <c r="P2306" s="5"/>
      <c r="Q2306" s="24"/>
    </row>
    <row r="2307" ht="14.25" customHeight="1">
      <c r="A2307" s="1">
        <v>108.0</v>
      </c>
      <c r="B2307" s="1">
        <v>6.3</v>
      </c>
      <c r="K2307" s="4"/>
      <c r="P2307" s="5"/>
      <c r="Q2307" s="24"/>
    </row>
    <row r="2308" ht="14.25" customHeight="1">
      <c r="A2308" s="1">
        <v>108.0</v>
      </c>
      <c r="B2308" s="1">
        <v>6.3</v>
      </c>
      <c r="K2308" s="4"/>
      <c r="P2308" s="5"/>
      <c r="Q2308" s="24"/>
    </row>
    <row r="2309" ht="14.25" customHeight="1">
      <c r="A2309" s="1">
        <v>108.0</v>
      </c>
      <c r="B2309" s="1">
        <v>6.3</v>
      </c>
      <c r="K2309" s="4"/>
      <c r="P2309" s="5"/>
      <c r="Q2309" s="24"/>
    </row>
    <row r="2310" ht="14.25" customHeight="1">
      <c r="A2310" s="1">
        <v>108.0</v>
      </c>
      <c r="B2310" s="1">
        <v>6.3</v>
      </c>
      <c r="K2310" s="4"/>
      <c r="P2310" s="5"/>
      <c r="Q2310" s="24"/>
    </row>
    <row r="2311" ht="14.25" customHeight="1">
      <c r="A2311" s="1">
        <v>107.0</v>
      </c>
      <c r="B2311" s="1">
        <v>6.3</v>
      </c>
      <c r="K2311" s="4"/>
      <c r="P2311" s="5"/>
      <c r="Q2311" s="24"/>
    </row>
    <row r="2312" ht="14.25" customHeight="1">
      <c r="A2312" s="1">
        <v>107.0</v>
      </c>
      <c r="B2312" s="1">
        <v>6.3</v>
      </c>
      <c r="K2312" s="4"/>
      <c r="P2312" s="5"/>
      <c r="Q2312" s="24"/>
    </row>
    <row r="2313" ht="14.25" customHeight="1">
      <c r="A2313" s="1">
        <v>107.0</v>
      </c>
      <c r="B2313" s="1">
        <v>6.3</v>
      </c>
      <c r="K2313" s="4"/>
      <c r="P2313" s="5"/>
      <c r="Q2313" s="24"/>
    </row>
    <row r="2314" ht="14.25" customHeight="1">
      <c r="A2314" s="1">
        <v>106.0</v>
      </c>
      <c r="B2314" s="1">
        <v>6.3</v>
      </c>
      <c r="K2314" s="4"/>
      <c r="P2314" s="5"/>
      <c r="Q2314" s="24"/>
    </row>
    <row r="2315" ht="14.25" customHeight="1">
      <c r="A2315" s="1">
        <v>106.0</v>
      </c>
      <c r="B2315" s="1">
        <v>6.3</v>
      </c>
      <c r="K2315" s="4"/>
      <c r="P2315" s="5"/>
      <c r="Q2315" s="24"/>
    </row>
    <row r="2316" ht="14.25" customHeight="1">
      <c r="A2316" s="1">
        <v>106.0</v>
      </c>
      <c r="B2316" s="1">
        <v>6.3</v>
      </c>
      <c r="K2316" s="4"/>
      <c r="P2316" s="5"/>
      <c r="Q2316" s="24"/>
    </row>
    <row r="2317" ht="14.25" customHeight="1">
      <c r="A2317" s="1">
        <v>106.0</v>
      </c>
      <c r="B2317" s="1">
        <v>6.3</v>
      </c>
      <c r="K2317" s="4"/>
      <c r="P2317" s="5"/>
      <c r="Q2317" s="24"/>
    </row>
    <row r="2318" ht="14.25" customHeight="1">
      <c r="A2318" s="1">
        <v>106.0</v>
      </c>
      <c r="B2318" s="1">
        <v>6.3</v>
      </c>
      <c r="K2318" s="4"/>
      <c r="P2318" s="5"/>
      <c r="Q2318" s="24"/>
    </row>
    <row r="2319" ht="14.25" customHeight="1">
      <c r="A2319" s="1">
        <v>106.0</v>
      </c>
      <c r="B2319" s="1">
        <v>6.3</v>
      </c>
      <c r="K2319" s="4"/>
      <c r="P2319" s="5"/>
      <c r="Q2319" s="24"/>
    </row>
    <row r="2320" ht="14.25" customHeight="1">
      <c r="A2320" s="1">
        <v>106.0</v>
      </c>
      <c r="B2320" s="1">
        <v>6.3</v>
      </c>
      <c r="K2320" s="4"/>
      <c r="P2320" s="5"/>
      <c r="Q2320" s="24"/>
    </row>
    <row r="2321" ht="14.25" customHeight="1">
      <c r="A2321" s="1">
        <v>105.0</v>
      </c>
      <c r="B2321" s="1">
        <v>6.3</v>
      </c>
      <c r="K2321" s="4"/>
      <c r="P2321" s="5"/>
      <c r="Q2321" s="24"/>
    </row>
    <row r="2322" ht="14.25" customHeight="1">
      <c r="A2322" s="1">
        <v>105.0</v>
      </c>
      <c r="B2322" s="1">
        <v>6.3</v>
      </c>
      <c r="K2322" s="4"/>
      <c r="P2322" s="5"/>
      <c r="Q2322" s="24"/>
    </row>
    <row r="2323" ht="14.25" customHeight="1">
      <c r="A2323" s="1">
        <v>105.0</v>
      </c>
      <c r="B2323" s="1">
        <v>6.3</v>
      </c>
      <c r="K2323" s="4"/>
      <c r="P2323" s="5"/>
      <c r="Q2323" s="24"/>
    </row>
    <row r="2324" ht="14.25" customHeight="1">
      <c r="A2324" s="1">
        <v>104.0</v>
      </c>
      <c r="B2324" s="1">
        <v>6.3</v>
      </c>
      <c r="K2324" s="4"/>
      <c r="P2324" s="5"/>
      <c r="Q2324" s="24"/>
    </row>
    <row r="2325" ht="14.25" customHeight="1">
      <c r="A2325" s="1">
        <v>104.0</v>
      </c>
      <c r="B2325" s="1">
        <v>6.3</v>
      </c>
      <c r="K2325" s="4"/>
      <c r="P2325" s="5"/>
      <c r="Q2325" s="24"/>
    </row>
    <row r="2326" ht="14.25" customHeight="1">
      <c r="A2326" s="1">
        <v>104.0</v>
      </c>
      <c r="B2326" s="1">
        <v>6.3</v>
      </c>
      <c r="K2326" s="4"/>
      <c r="P2326" s="5"/>
      <c r="Q2326" s="24"/>
    </row>
    <row r="2327" ht="14.25" customHeight="1">
      <c r="A2327" s="1">
        <v>104.0</v>
      </c>
      <c r="B2327" s="1">
        <v>6.3</v>
      </c>
      <c r="K2327" s="4"/>
      <c r="P2327" s="5"/>
      <c r="Q2327" s="24"/>
    </row>
    <row r="2328" ht="14.25" customHeight="1">
      <c r="A2328" s="1">
        <v>104.0</v>
      </c>
      <c r="B2328" s="1">
        <v>6.3</v>
      </c>
      <c r="K2328" s="4"/>
      <c r="P2328" s="5"/>
      <c r="Q2328" s="24"/>
    </row>
    <row r="2329" ht="14.25" customHeight="1">
      <c r="A2329" s="1">
        <v>103.0</v>
      </c>
      <c r="B2329" s="1">
        <v>6.3</v>
      </c>
      <c r="K2329" s="4"/>
      <c r="P2329" s="5"/>
      <c r="Q2329" s="24"/>
    </row>
    <row r="2330" ht="14.25" customHeight="1">
      <c r="A2330" s="1">
        <v>103.0</v>
      </c>
      <c r="B2330" s="1">
        <v>6.3</v>
      </c>
      <c r="K2330" s="4"/>
      <c r="P2330" s="5"/>
      <c r="Q2330" s="24"/>
    </row>
    <row r="2331" ht="14.25" customHeight="1">
      <c r="A2331" s="1">
        <v>103.0</v>
      </c>
      <c r="B2331" s="1">
        <v>6.3</v>
      </c>
      <c r="K2331" s="4"/>
      <c r="P2331" s="5"/>
      <c r="Q2331" s="24"/>
    </row>
    <row r="2332" ht="14.25" customHeight="1">
      <c r="A2332" s="1">
        <v>103.0</v>
      </c>
      <c r="B2332" s="1">
        <v>6.3</v>
      </c>
      <c r="K2332" s="4"/>
      <c r="P2332" s="5"/>
      <c r="Q2332" s="24"/>
    </row>
    <row r="2333" ht="14.25" customHeight="1">
      <c r="A2333" s="1">
        <v>103.0</v>
      </c>
      <c r="B2333" s="1">
        <v>6.3</v>
      </c>
      <c r="K2333" s="4"/>
      <c r="P2333" s="5"/>
      <c r="Q2333" s="24"/>
    </row>
    <row r="2334" ht="14.25" customHeight="1">
      <c r="A2334" s="1">
        <v>103.0</v>
      </c>
      <c r="B2334" s="1">
        <v>6.3</v>
      </c>
      <c r="K2334" s="4"/>
      <c r="P2334" s="5"/>
      <c r="Q2334" s="24"/>
    </row>
    <row r="2335" ht="14.25" customHeight="1">
      <c r="A2335" s="1">
        <v>102.0</v>
      </c>
      <c r="B2335" s="1">
        <v>6.3</v>
      </c>
      <c r="K2335" s="4"/>
      <c r="P2335" s="5"/>
      <c r="Q2335" s="24"/>
    </row>
    <row r="2336" ht="14.25" customHeight="1">
      <c r="A2336" s="1">
        <v>102.0</v>
      </c>
      <c r="B2336" s="1">
        <v>6.3</v>
      </c>
      <c r="K2336" s="4"/>
      <c r="P2336" s="5"/>
      <c r="Q2336" s="24"/>
    </row>
    <row r="2337" ht="14.25" customHeight="1">
      <c r="A2337" s="1">
        <v>101.0</v>
      </c>
      <c r="B2337" s="1">
        <v>6.3</v>
      </c>
      <c r="K2337" s="4"/>
      <c r="P2337" s="5"/>
      <c r="Q2337" s="24"/>
    </row>
    <row r="2338" ht="14.25" customHeight="1">
      <c r="A2338" s="1">
        <v>101.0</v>
      </c>
      <c r="B2338" s="1">
        <v>6.3</v>
      </c>
      <c r="K2338" s="4"/>
      <c r="P2338" s="5"/>
      <c r="Q2338" s="24"/>
    </row>
    <row r="2339" ht="14.25" customHeight="1">
      <c r="A2339" s="1">
        <v>100.0</v>
      </c>
      <c r="B2339" s="1">
        <v>6.3</v>
      </c>
      <c r="K2339" s="4"/>
      <c r="P2339" s="5"/>
      <c r="Q2339" s="24"/>
    </row>
    <row r="2340" ht="14.25" customHeight="1">
      <c r="A2340" s="1">
        <v>100.0</v>
      </c>
      <c r="B2340" s="1">
        <v>6.3</v>
      </c>
      <c r="K2340" s="4"/>
      <c r="P2340" s="5"/>
      <c r="Q2340" s="24"/>
    </row>
    <row r="2341" ht="14.25" customHeight="1">
      <c r="A2341" s="1">
        <v>100.0</v>
      </c>
      <c r="B2341" s="1">
        <v>6.3</v>
      </c>
      <c r="K2341" s="4"/>
      <c r="P2341" s="5"/>
      <c r="Q2341" s="24"/>
    </row>
    <row r="2342" ht="14.25" customHeight="1">
      <c r="A2342" s="1">
        <v>100.0</v>
      </c>
      <c r="B2342" s="1">
        <v>6.3</v>
      </c>
      <c r="K2342" s="4"/>
      <c r="P2342" s="5"/>
      <c r="Q2342" s="24"/>
    </row>
    <row r="2343" ht="14.25" customHeight="1">
      <c r="A2343" s="1">
        <v>100.0</v>
      </c>
      <c r="B2343" s="1">
        <v>6.3</v>
      </c>
      <c r="K2343" s="4"/>
      <c r="P2343" s="5"/>
      <c r="Q2343" s="24"/>
    </row>
    <row r="2344" ht="14.25" customHeight="1">
      <c r="A2344" s="1">
        <v>100.0</v>
      </c>
      <c r="B2344" s="1">
        <v>6.3</v>
      </c>
      <c r="K2344" s="4"/>
      <c r="P2344" s="5"/>
      <c r="Q2344" s="24"/>
    </row>
    <row r="2345" ht="14.25" customHeight="1">
      <c r="A2345" s="1">
        <v>98.0</v>
      </c>
      <c r="B2345" s="1">
        <v>6.3</v>
      </c>
      <c r="K2345" s="4"/>
      <c r="P2345" s="5"/>
      <c r="Q2345" s="24"/>
    </row>
    <row r="2346" ht="14.25" customHeight="1">
      <c r="A2346" s="1">
        <v>98.0</v>
      </c>
      <c r="B2346" s="1">
        <v>6.3</v>
      </c>
      <c r="K2346" s="4"/>
      <c r="P2346" s="5"/>
      <c r="Q2346" s="24"/>
    </row>
    <row r="2347" ht="14.25" customHeight="1">
      <c r="A2347" s="1">
        <v>98.0</v>
      </c>
      <c r="B2347" s="1">
        <v>6.3</v>
      </c>
      <c r="K2347" s="4"/>
      <c r="P2347" s="5"/>
      <c r="Q2347" s="24"/>
    </row>
    <row r="2348" ht="14.25" customHeight="1">
      <c r="A2348" s="1">
        <v>98.0</v>
      </c>
      <c r="B2348" s="1">
        <v>6.3</v>
      </c>
      <c r="K2348" s="4"/>
      <c r="P2348" s="5"/>
      <c r="Q2348" s="24"/>
    </row>
    <row r="2349" ht="14.25" customHeight="1">
      <c r="A2349" s="1">
        <v>98.0</v>
      </c>
      <c r="B2349" s="1">
        <v>6.3</v>
      </c>
      <c r="K2349" s="4"/>
      <c r="P2349" s="5"/>
      <c r="Q2349" s="24"/>
    </row>
    <row r="2350" ht="14.25" customHeight="1">
      <c r="A2350" s="1">
        <v>98.0</v>
      </c>
      <c r="B2350" s="1">
        <v>6.3</v>
      </c>
      <c r="K2350" s="4"/>
      <c r="P2350" s="5"/>
      <c r="Q2350" s="24"/>
    </row>
    <row r="2351" ht="14.25" customHeight="1">
      <c r="A2351" s="1">
        <v>97.0</v>
      </c>
      <c r="B2351" s="1">
        <v>6.3</v>
      </c>
      <c r="K2351" s="4"/>
      <c r="P2351" s="5"/>
      <c r="Q2351" s="24"/>
    </row>
    <row r="2352" ht="14.25" customHeight="1">
      <c r="A2352" s="1">
        <v>97.0</v>
      </c>
      <c r="B2352" s="1">
        <v>6.3</v>
      </c>
      <c r="K2352" s="4"/>
      <c r="P2352" s="5"/>
      <c r="Q2352" s="24"/>
    </row>
    <row r="2353" ht="14.25" customHeight="1">
      <c r="A2353" s="1">
        <v>97.0</v>
      </c>
      <c r="B2353" s="1">
        <v>6.3</v>
      </c>
      <c r="K2353" s="4"/>
      <c r="P2353" s="5"/>
      <c r="Q2353" s="24"/>
    </row>
    <row r="2354" ht="14.25" customHeight="1">
      <c r="A2354" s="1">
        <v>97.0</v>
      </c>
      <c r="B2354" s="1">
        <v>6.3</v>
      </c>
      <c r="K2354" s="4"/>
      <c r="P2354" s="5"/>
      <c r="Q2354" s="24"/>
    </row>
    <row r="2355" ht="14.25" customHeight="1">
      <c r="A2355" s="1">
        <v>97.0</v>
      </c>
      <c r="B2355" s="1">
        <v>6.3</v>
      </c>
      <c r="K2355" s="4"/>
      <c r="P2355" s="5"/>
      <c r="Q2355" s="24"/>
    </row>
    <row r="2356" ht="14.25" customHeight="1">
      <c r="A2356" s="1">
        <v>97.0</v>
      </c>
      <c r="B2356" s="1">
        <v>6.3</v>
      </c>
      <c r="K2356" s="4"/>
      <c r="P2356" s="5"/>
      <c r="Q2356" s="24"/>
    </row>
    <row r="2357" ht="14.25" customHeight="1">
      <c r="A2357" s="1">
        <v>96.0</v>
      </c>
      <c r="B2357" s="1">
        <v>6.3</v>
      </c>
      <c r="K2357" s="4"/>
      <c r="P2357" s="5"/>
      <c r="Q2357" s="24"/>
    </row>
    <row r="2358" ht="14.25" customHeight="1">
      <c r="A2358" s="1">
        <v>96.0</v>
      </c>
      <c r="B2358" s="1">
        <v>6.3</v>
      </c>
      <c r="K2358" s="4"/>
      <c r="P2358" s="5"/>
      <c r="Q2358" s="24"/>
    </row>
    <row r="2359" ht="14.25" customHeight="1">
      <c r="A2359" s="1">
        <v>95.0</v>
      </c>
      <c r="B2359" s="1">
        <v>6.3</v>
      </c>
      <c r="K2359" s="4"/>
      <c r="P2359" s="5"/>
      <c r="Q2359" s="24"/>
    </row>
    <row r="2360" ht="14.25" customHeight="1">
      <c r="A2360" s="1">
        <v>95.0</v>
      </c>
      <c r="B2360" s="1">
        <v>6.3</v>
      </c>
      <c r="K2360" s="4"/>
      <c r="P2360" s="5"/>
      <c r="Q2360" s="24"/>
    </row>
    <row r="2361" ht="14.25" customHeight="1">
      <c r="A2361" s="1">
        <v>94.0</v>
      </c>
      <c r="B2361" s="1">
        <v>6.3</v>
      </c>
      <c r="K2361" s="4"/>
      <c r="P2361" s="5"/>
      <c r="Q2361" s="24"/>
    </row>
    <row r="2362" ht="14.25" customHeight="1">
      <c r="A2362" s="1">
        <v>94.0</v>
      </c>
      <c r="B2362" s="1">
        <v>6.3</v>
      </c>
      <c r="K2362" s="4"/>
      <c r="P2362" s="5"/>
      <c r="Q2362" s="24"/>
    </row>
    <row r="2363" ht="14.25" customHeight="1">
      <c r="A2363" s="1">
        <v>94.0</v>
      </c>
      <c r="B2363" s="1">
        <v>6.3</v>
      </c>
      <c r="K2363" s="4"/>
      <c r="P2363" s="5"/>
      <c r="Q2363" s="24"/>
    </row>
    <row r="2364" ht="14.25" customHeight="1">
      <c r="A2364" s="1">
        <v>94.0</v>
      </c>
      <c r="B2364" s="1">
        <v>6.3</v>
      </c>
      <c r="K2364" s="4"/>
      <c r="P2364" s="5"/>
      <c r="Q2364" s="24"/>
    </row>
    <row r="2365" ht="14.25" customHeight="1">
      <c r="A2365" s="1">
        <v>93.0</v>
      </c>
      <c r="B2365" s="1">
        <v>6.3</v>
      </c>
      <c r="K2365" s="4"/>
      <c r="P2365" s="5"/>
      <c r="Q2365" s="24"/>
    </row>
    <row r="2366" ht="14.25" customHeight="1">
      <c r="A2366" s="1">
        <v>93.0</v>
      </c>
      <c r="B2366" s="1">
        <v>6.3</v>
      </c>
      <c r="K2366" s="4"/>
      <c r="P2366" s="5"/>
      <c r="Q2366" s="24"/>
    </row>
    <row r="2367" ht="14.25" customHeight="1">
      <c r="A2367" s="1">
        <v>93.0</v>
      </c>
      <c r="B2367" s="1">
        <v>6.3</v>
      </c>
      <c r="K2367" s="4"/>
      <c r="P2367" s="5"/>
      <c r="Q2367" s="24"/>
    </row>
    <row r="2368" ht="14.25" customHeight="1">
      <c r="A2368" s="1">
        <v>93.0</v>
      </c>
      <c r="B2368" s="1">
        <v>6.3</v>
      </c>
      <c r="K2368" s="4"/>
      <c r="P2368" s="5"/>
      <c r="Q2368" s="24"/>
    </row>
    <row r="2369" ht="14.25" customHeight="1">
      <c r="A2369" s="1">
        <v>92.0</v>
      </c>
      <c r="B2369" s="1">
        <v>6.3</v>
      </c>
      <c r="K2369" s="4"/>
      <c r="P2369" s="5"/>
      <c r="Q2369" s="24"/>
    </row>
    <row r="2370" ht="14.25" customHeight="1">
      <c r="A2370" s="1">
        <v>92.0</v>
      </c>
      <c r="B2370" s="1">
        <v>6.3</v>
      </c>
      <c r="K2370" s="4"/>
      <c r="P2370" s="5"/>
      <c r="Q2370" s="24"/>
    </row>
    <row r="2371" ht="14.25" customHeight="1">
      <c r="A2371" s="1">
        <v>91.0</v>
      </c>
      <c r="B2371" s="1">
        <v>6.3</v>
      </c>
      <c r="K2371" s="4"/>
      <c r="P2371" s="5"/>
      <c r="Q2371" s="24"/>
    </row>
    <row r="2372" ht="14.25" customHeight="1">
      <c r="A2372" s="1">
        <v>91.0</v>
      </c>
      <c r="B2372" s="1">
        <v>6.3</v>
      </c>
      <c r="K2372" s="4"/>
      <c r="P2372" s="5"/>
      <c r="Q2372" s="24"/>
    </row>
    <row r="2373" ht="14.25" customHeight="1">
      <c r="A2373" s="1">
        <v>91.0</v>
      </c>
      <c r="B2373" s="1">
        <v>6.3</v>
      </c>
      <c r="K2373" s="4"/>
      <c r="P2373" s="5"/>
      <c r="Q2373" s="24"/>
    </row>
    <row r="2374" ht="14.25" customHeight="1">
      <c r="A2374" s="1">
        <v>90.0</v>
      </c>
      <c r="B2374" s="1">
        <v>6.3</v>
      </c>
      <c r="K2374" s="4"/>
      <c r="P2374" s="5"/>
      <c r="Q2374" s="24"/>
    </row>
    <row r="2375" ht="14.25" customHeight="1">
      <c r="A2375" s="1">
        <v>90.0</v>
      </c>
      <c r="B2375" s="1">
        <v>6.3</v>
      </c>
      <c r="K2375" s="4"/>
      <c r="P2375" s="5"/>
      <c r="Q2375" s="24"/>
    </row>
    <row r="2376" ht="14.25" customHeight="1">
      <c r="A2376" s="1">
        <v>90.0</v>
      </c>
      <c r="B2376" s="1">
        <v>6.3</v>
      </c>
      <c r="K2376" s="4"/>
      <c r="P2376" s="5"/>
      <c r="Q2376" s="24"/>
    </row>
    <row r="2377" ht="14.25" customHeight="1">
      <c r="A2377" s="1">
        <v>90.0</v>
      </c>
      <c r="B2377" s="1">
        <v>6.3</v>
      </c>
      <c r="K2377" s="4"/>
      <c r="P2377" s="5"/>
      <c r="Q2377" s="24"/>
    </row>
    <row r="2378" ht="14.25" customHeight="1">
      <c r="A2378" s="1">
        <v>89.0</v>
      </c>
      <c r="B2378" s="1">
        <v>6.3</v>
      </c>
      <c r="K2378" s="4"/>
      <c r="P2378" s="5"/>
      <c r="Q2378" s="24"/>
    </row>
    <row r="2379" ht="14.25" customHeight="1">
      <c r="A2379" s="1">
        <v>89.0</v>
      </c>
      <c r="B2379" s="1">
        <v>6.3</v>
      </c>
      <c r="K2379" s="4"/>
      <c r="P2379" s="5"/>
      <c r="Q2379" s="24"/>
    </row>
    <row r="2380" ht="14.25" customHeight="1">
      <c r="A2380" s="1">
        <v>88.0</v>
      </c>
      <c r="B2380" s="1">
        <v>6.3</v>
      </c>
      <c r="K2380" s="4"/>
      <c r="P2380" s="5"/>
      <c r="Q2380" s="24"/>
    </row>
    <row r="2381" ht="14.25" customHeight="1">
      <c r="A2381" s="1">
        <v>88.0</v>
      </c>
      <c r="B2381" s="1">
        <v>6.3</v>
      </c>
      <c r="K2381" s="4"/>
      <c r="P2381" s="5"/>
      <c r="Q2381" s="24"/>
    </row>
    <row r="2382" ht="14.25" customHeight="1">
      <c r="A2382" s="1">
        <v>87.0</v>
      </c>
      <c r="B2382" s="1">
        <v>6.3</v>
      </c>
      <c r="K2382" s="4"/>
      <c r="P2382" s="5"/>
      <c r="Q2382" s="24"/>
    </row>
    <row r="2383" ht="14.25" customHeight="1">
      <c r="A2383" s="1">
        <v>87.0</v>
      </c>
      <c r="B2383" s="1">
        <v>6.3</v>
      </c>
      <c r="K2383" s="4"/>
      <c r="P2383" s="5"/>
      <c r="Q2383" s="24"/>
    </row>
    <row r="2384" ht="14.25" customHeight="1">
      <c r="A2384" s="1">
        <v>86.0</v>
      </c>
      <c r="B2384" s="1">
        <v>6.3</v>
      </c>
      <c r="K2384" s="4"/>
      <c r="P2384" s="5"/>
      <c r="Q2384" s="24"/>
    </row>
    <row r="2385" ht="14.25" customHeight="1">
      <c r="A2385" s="1">
        <v>86.0</v>
      </c>
      <c r="B2385" s="1">
        <v>6.3</v>
      </c>
      <c r="K2385" s="4"/>
      <c r="P2385" s="5"/>
      <c r="Q2385" s="24"/>
    </row>
    <row r="2386" ht="14.25" customHeight="1">
      <c r="A2386" s="1">
        <v>85.0</v>
      </c>
      <c r="B2386" s="1">
        <v>6.3</v>
      </c>
      <c r="K2386" s="4"/>
      <c r="P2386" s="5"/>
      <c r="Q2386" s="24"/>
    </row>
    <row r="2387" ht="14.25" customHeight="1">
      <c r="A2387" s="1">
        <v>85.0</v>
      </c>
      <c r="B2387" s="1">
        <v>6.3</v>
      </c>
      <c r="K2387" s="4"/>
      <c r="P2387" s="5"/>
      <c r="Q2387" s="24"/>
    </row>
    <row r="2388" ht="14.25" customHeight="1">
      <c r="A2388" s="1">
        <v>84.0</v>
      </c>
      <c r="B2388" s="1">
        <v>6.3</v>
      </c>
      <c r="K2388" s="4"/>
      <c r="P2388" s="5"/>
      <c r="Q2388" s="24"/>
    </row>
    <row r="2389" ht="14.25" customHeight="1">
      <c r="A2389" s="1">
        <v>84.0</v>
      </c>
      <c r="B2389" s="1">
        <v>6.3</v>
      </c>
      <c r="K2389" s="4"/>
      <c r="P2389" s="5"/>
      <c r="Q2389" s="24"/>
    </row>
    <row r="2390" ht="14.25" customHeight="1">
      <c r="A2390" s="1">
        <v>82.0</v>
      </c>
      <c r="B2390" s="1">
        <v>6.3</v>
      </c>
      <c r="K2390" s="4"/>
      <c r="P2390" s="5"/>
      <c r="Q2390" s="24"/>
    </row>
    <row r="2391" ht="14.25" customHeight="1">
      <c r="A2391" s="1">
        <v>81.0</v>
      </c>
      <c r="B2391" s="1">
        <v>6.3</v>
      </c>
      <c r="K2391" s="4"/>
      <c r="P2391" s="5"/>
      <c r="Q2391" s="24"/>
    </row>
    <row r="2392" ht="14.25" customHeight="1">
      <c r="A2392" s="1">
        <v>80.0</v>
      </c>
      <c r="B2392" s="1">
        <v>6.3</v>
      </c>
      <c r="K2392" s="4"/>
      <c r="P2392" s="5"/>
      <c r="Q2392" s="24"/>
    </row>
    <row r="2393" ht="14.25" customHeight="1">
      <c r="A2393" s="1">
        <v>80.0</v>
      </c>
      <c r="B2393" s="1">
        <v>6.3</v>
      </c>
      <c r="K2393" s="4"/>
      <c r="P2393" s="5"/>
      <c r="Q2393" s="24"/>
    </row>
    <row r="2394" ht="14.25" customHeight="1">
      <c r="A2394" s="1">
        <v>78.0</v>
      </c>
      <c r="B2394" s="1">
        <v>6.3</v>
      </c>
      <c r="K2394" s="4"/>
      <c r="P2394" s="5"/>
      <c r="Q2394" s="24"/>
    </row>
    <row r="2395" ht="14.25" customHeight="1">
      <c r="A2395" s="1">
        <v>77.0</v>
      </c>
      <c r="B2395" s="1">
        <v>6.3</v>
      </c>
      <c r="K2395" s="4"/>
      <c r="P2395" s="5"/>
      <c r="Q2395" s="24"/>
    </row>
    <row r="2396" ht="14.25" customHeight="1">
      <c r="A2396" s="1">
        <v>74.0</v>
      </c>
      <c r="B2396" s="1">
        <v>6.3</v>
      </c>
      <c r="K2396" s="4"/>
      <c r="P2396" s="5"/>
      <c r="Q2396" s="24"/>
    </row>
    <row r="2397" ht="14.25" customHeight="1">
      <c r="A2397" s="1">
        <v>167.0</v>
      </c>
      <c r="B2397" s="1">
        <v>6.2</v>
      </c>
      <c r="K2397" s="4"/>
      <c r="P2397" s="5"/>
      <c r="Q2397" s="24"/>
    </row>
    <row r="2398" ht="14.25" customHeight="1">
      <c r="A2398" s="1">
        <v>156.0</v>
      </c>
      <c r="B2398" s="1">
        <v>6.2</v>
      </c>
      <c r="K2398" s="4"/>
      <c r="P2398" s="5"/>
      <c r="Q2398" s="24"/>
    </row>
    <row r="2399" ht="14.25" customHeight="1">
      <c r="A2399" s="1">
        <v>156.0</v>
      </c>
      <c r="B2399" s="1">
        <v>6.2</v>
      </c>
      <c r="K2399" s="4"/>
      <c r="P2399" s="5"/>
      <c r="Q2399" s="24"/>
    </row>
    <row r="2400" ht="14.25" customHeight="1">
      <c r="A2400" s="1">
        <v>143.0</v>
      </c>
      <c r="B2400" s="1">
        <v>6.2</v>
      </c>
      <c r="K2400" s="4"/>
      <c r="P2400" s="5"/>
      <c r="Q2400" s="24"/>
    </row>
    <row r="2401" ht="14.25" customHeight="1">
      <c r="A2401" s="1">
        <v>141.0</v>
      </c>
      <c r="B2401" s="1">
        <v>6.2</v>
      </c>
      <c r="K2401" s="4"/>
      <c r="P2401" s="5"/>
      <c r="Q2401" s="24"/>
    </row>
    <row r="2402" ht="14.25" customHeight="1">
      <c r="A2402" s="1">
        <v>135.0</v>
      </c>
      <c r="B2402" s="1">
        <v>6.2</v>
      </c>
      <c r="K2402" s="4"/>
      <c r="P2402" s="5"/>
      <c r="Q2402" s="24"/>
    </row>
    <row r="2403" ht="14.25" customHeight="1">
      <c r="A2403" s="1">
        <v>134.0</v>
      </c>
      <c r="B2403" s="1">
        <v>6.2</v>
      </c>
      <c r="K2403" s="4"/>
      <c r="P2403" s="5"/>
      <c r="Q2403" s="24"/>
    </row>
    <row r="2404" ht="14.25" customHeight="1">
      <c r="A2404" s="1">
        <v>131.0</v>
      </c>
      <c r="B2404" s="1">
        <v>6.2</v>
      </c>
      <c r="K2404" s="4"/>
      <c r="P2404" s="5"/>
      <c r="Q2404" s="24"/>
    </row>
    <row r="2405" ht="14.25" customHeight="1">
      <c r="A2405" s="1">
        <v>131.0</v>
      </c>
      <c r="B2405" s="1">
        <v>6.2</v>
      </c>
      <c r="K2405" s="4"/>
      <c r="P2405" s="5"/>
      <c r="Q2405" s="24"/>
    </row>
    <row r="2406" ht="14.25" customHeight="1">
      <c r="A2406" s="1">
        <v>130.0</v>
      </c>
      <c r="B2406" s="1">
        <v>6.2</v>
      </c>
      <c r="K2406" s="4"/>
      <c r="P2406" s="5"/>
      <c r="Q2406" s="24"/>
    </row>
    <row r="2407" ht="14.25" customHeight="1">
      <c r="A2407" s="1">
        <v>128.0</v>
      </c>
      <c r="B2407" s="1">
        <v>6.2</v>
      </c>
      <c r="K2407" s="4"/>
      <c r="P2407" s="5"/>
      <c r="Q2407" s="24"/>
    </row>
    <row r="2408" ht="14.25" customHeight="1">
      <c r="A2408" s="1">
        <v>128.0</v>
      </c>
      <c r="B2408" s="1">
        <v>6.2</v>
      </c>
      <c r="K2408" s="4"/>
      <c r="P2408" s="5"/>
      <c r="Q2408" s="24"/>
    </row>
    <row r="2409" ht="14.25" customHeight="1">
      <c r="A2409" s="1">
        <v>125.0</v>
      </c>
      <c r="B2409" s="1">
        <v>6.2</v>
      </c>
      <c r="K2409" s="4"/>
      <c r="P2409" s="5"/>
      <c r="Q2409" s="24"/>
    </row>
    <row r="2410" ht="14.25" customHeight="1">
      <c r="A2410" s="1">
        <v>125.0</v>
      </c>
      <c r="B2410" s="1">
        <v>6.2</v>
      </c>
      <c r="K2410" s="4"/>
      <c r="P2410" s="5"/>
      <c r="Q2410" s="24"/>
    </row>
    <row r="2411" ht="14.25" customHeight="1">
      <c r="A2411" s="1">
        <v>125.0</v>
      </c>
      <c r="B2411" s="1">
        <v>6.2</v>
      </c>
      <c r="K2411" s="4"/>
      <c r="P2411" s="5"/>
      <c r="Q2411" s="24"/>
    </row>
    <row r="2412" ht="14.25" customHeight="1">
      <c r="A2412" s="1">
        <v>124.0</v>
      </c>
      <c r="B2412" s="1">
        <v>6.2</v>
      </c>
      <c r="K2412" s="4"/>
      <c r="P2412" s="5"/>
      <c r="Q2412" s="24"/>
    </row>
    <row r="2413" ht="14.25" customHeight="1">
      <c r="A2413" s="1">
        <v>123.0</v>
      </c>
      <c r="B2413" s="1">
        <v>6.2</v>
      </c>
      <c r="K2413" s="4"/>
      <c r="P2413" s="5"/>
      <c r="Q2413" s="24"/>
    </row>
    <row r="2414" ht="14.25" customHeight="1">
      <c r="A2414" s="1">
        <v>123.0</v>
      </c>
      <c r="B2414" s="1">
        <v>6.2</v>
      </c>
      <c r="K2414" s="4"/>
      <c r="P2414" s="5"/>
      <c r="Q2414" s="24"/>
    </row>
    <row r="2415" ht="14.25" customHeight="1">
      <c r="A2415" s="1">
        <v>122.0</v>
      </c>
      <c r="B2415" s="1">
        <v>6.2</v>
      </c>
      <c r="K2415" s="4"/>
      <c r="P2415" s="5"/>
      <c r="Q2415" s="24"/>
    </row>
    <row r="2416" ht="14.25" customHeight="1">
      <c r="A2416" s="1">
        <v>122.0</v>
      </c>
      <c r="B2416" s="1">
        <v>6.2</v>
      </c>
      <c r="K2416" s="4"/>
      <c r="P2416" s="5"/>
      <c r="Q2416" s="24"/>
    </row>
    <row r="2417" ht="14.25" customHeight="1">
      <c r="A2417" s="1">
        <v>122.0</v>
      </c>
      <c r="B2417" s="1">
        <v>6.2</v>
      </c>
      <c r="K2417" s="4"/>
      <c r="P2417" s="5"/>
      <c r="Q2417" s="24"/>
    </row>
    <row r="2418" ht="14.25" customHeight="1">
      <c r="A2418" s="1">
        <v>121.0</v>
      </c>
      <c r="B2418" s="1">
        <v>6.2</v>
      </c>
      <c r="K2418" s="4"/>
      <c r="P2418" s="5"/>
      <c r="Q2418" s="24"/>
    </row>
    <row r="2419" ht="14.25" customHeight="1">
      <c r="A2419" s="1">
        <v>121.0</v>
      </c>
      <c r="B2419" s="1">
        <v>6.2</v>
      </c>
      <c r="K2419" s="4"/>
      <c r="P2419" s="5"/>
      <c r="Q2419" s="24"/>
    </row>
    <row r="2420" ht="14.25" customHeight="1">
      <c r="A2420" s="1">
        <v>121.0</v>
      </c>
      <c r="B2420" s="1">
        <v>6.2</v>
      </c>
      <c r="K2420" s="4"/>
      <c r="P2420" s="5"/>
      <c r="Q2420" s="24"/>
    </row>
    <row r="2421" ht="14.25" customHeight="1">
      <c r="A2421" s="1">
        <v>121.0</v>
      </c>
      <c r="B2421" s="1">
        <v>6.2</v>
      </c>
      <c r="K2421" s="4"/>
      <c r="P2421" s="5"/>
      <c r="Q2421" s="24"/>
    </row>
    <row r="2422" ht="14.25" customHeight="1">
      <c r="A2422" s="1">
        <v>121.0</v>
      </c>
      <c r="B2422" s="1">
        <v>6.2</v>
      </c>
      <c r="K2422" s="4"/>
      <c r="P2422" s="5"/>
      <c r="Q2422" s="24"/>
    </row>
    <row r="2423" ht="14.25" customHeight="1">
      <c r="A2423" s="1">
        <v>120.0</v>
      </c>
      <c r="B2423" s="1">
        <v>6.2</v>
      </c>
      <c r="K2423" s="4"/>
      <c r="P2423" s="5"/>
      <c r="Q2423" s="24"/>
    </row>
    <row r="2424" ht="14.25" customHeight="1">
      <c r="A2424" s="1">
        <v>118.0</v>
      </c>
      <c r="B2424" s="1">
        <v>6.2</v>
      </c>
      <c r="K2424" s="4"/>
      <c r="P2424" s="5"/>
      <c r="Q2424" s="24"/>
    </row>
    <row r="2425" ht="14.25" customHeight="1">
      <c r="A2425" s="1">
        <v>118.0</v>
      </c>
      <c r="B2425" s="1">
        <v>6.2</v>
      </c>
      <c r="K2425" s="4"/>
      <c r="P2425" s="5"/>
      <c r="Q2425" s="24"/>
    </row>
    <row r="2426" ht="14.25" customHeight="1">
      <c r="A2426" s="1">
        <v>118.0</v>
      </c>
      <c r="B2426" s="1">
        <v>6.2</v>
      </c>
      <c r="K2426" s="4"/>
      <c r="P2426" s="5"/>
      <c r="Q2426" s="24"/>
    </row>
    <row r="2427" ht="14.25" customHeight="1">
      <c r="A2427" s="1">
        <v>117.0</v>
      </c>
      <c r="B2427" s="1">
        <v>6.2</v>
      </c>
      <c r="K2427" s="4"/>
      <c r="P2427" s="5"/>
      <c r="Q2427" s="24"/>
    </row>
    <row r="2428" ht="14.25" customHeight="1">
      <c r="A2428" s="1">
        <v>117.0</v>
      </c>
      <c r="B2428" s="1">
        <v>6.2</v>
      </c>
      <c r="K2428" s="4"/>
      <c r="P2428" s="5"/>
      <c r="Q2428" s="24"/>
    </row>
    <row r="2429" ht="14.25" customHeight="1">
      <c r="A2429" s="1">
        <v>116.0</v>
      </c>
      <c r="B2429" s="1">
        <v>6.2</v>
      </c>
      <c r="K2429" s="4"/>
      <c r="P2429" s="5"/>
      <c r="Q2429" s="24"/>
    </row>
    <row r="2430" ht="14.25" customHeight="1">
      <c r="A2430" s="1">
        <v>115.0</v>
      </c>
      <c r="B2430" s="1">
        <v>6.2</v>
      </c>
      <c r="K2430" s="4"/>
      <c r="P2430" s="5"/>
      <c r="Q2430" s="24"/>
    </row>
    <row r="2431" ht="14.25" customHeight="1">
      <c r="A2431" s="1">
        <v>115.0</v>
      </c>
      <c r="B2431" s="1">
        <v>6.2</v>
      </c>
      <c r="K2431" s="4"/>
      <c r="P2431" s="5"/>
      <c r="Q2431" s="24"/>
    </row>
    <row r="2432" ht="14.25" customHeight="1">
      <c r="A2432" s="1">
        <v>114.0</v>
      </c>
      <c r="B2432" s="1">
        <v>6.2</v>
      </c>
      <c r="K2432" s="4"/>
      <c r="P2432" s="5"/>
      <c r="Q2432" s="24"/>
    </row>
    <row r="2433" ht="14.25" customHeight="1">
      <c r="A2433" s="1">
        <v>113.0</v>
      </c>
      <c r="B2433" s="1">
        <v>6.2</v>
      </c>
      <c r="K2433" s="4"/>
      <c r="P2433" s="5"/>
      <c r="Q2433" s="24"/>
    </row>
    <row r="2434" ht="14.25" customHeight="1">
      <c r="A2434" s="1">
        <v>113.0</v>
      </c>
      <c r="B2434" s="1">
        <v>6.2</v>
      </c>
      <c r="K2434" s="4"/>
      <c r="P2434" s="5"/>
      <c r="Q2434" s="24"/>
    </row>
    <row r="2435" ht="14.25" customHeight="1">
      <c r="A2435" s="1">
        <v>113.0</v>
      </c>
      <c r="B2435" s="1">
        <v>6.2</v>
      </c>
      <c r="K2435" s="4"/>
      <c r="P2435" s="5"/>
      <c r="Q2435" s="24"/>
    </row>
    <row r="2436" ht="14.25" customHeight="1">
      <c r="A2436" s="1">
        <v>112.0</v>
      </c>
      <c r="B2436" s="1">
        <v>6.2</v>
      </c>
      <c r="K2436" s="4"/>
      <c r="P2436" s="5"/>
      <c r="Q2436" s="24"/>
    </row>
    <row r="2437" ht="14.25" customHeight="1">
      <c r="A2437" s="1">
        <v>112.0</v>
      </c>
      <c r="B2437" s="1">
        <v>6.2</v>
      </c>
      <c r="K2437" s="4"/>
      <c r="P2437" s="5"/>
      <c r="Q2437" s="24"/>
    </row>
    <row r="2438" ht="14.25" customHeight="1">
      <c r="A2438" s="1">
        <v>111.0</v>
      </c>
      <c r="B2438" s="1">
        <v>6.2</v>
      </c>
      <c r="K2438" s="4"/>
      <c r="P2438" s="5"/>
      <c r="Q2438" s="24"/>
    </row>
    <row r="2439" ht="14.25" customHeight="1">
      <c r="A2439" s="1">
        <v>111.0</v>
      </c>
      <c r="B2439" s="1">
        <v>6.2</v>
      </c>
      <c r="K2439" s="4"/>
      <c r="P2439" s="5"/>
      <c r="Q2439" s="24"/>
    </row>
    <row r="2440" ht="14.25" customHeight="1">
      <c r="A2440" s="1">
        <v>111.0</v>
      </c>
      <c r="B2440" s="1">
        <v>6.2</v>
      </c>
      <c r="K2440" s="4"/>
      <c r="P2440" s="5"/>
      <c r="Q2440" s="24"/>
    </row>
    <row r="2441" ht="14.25" customHeight="1">
      <c r="A2441" s="1">
        <v>111.0</v>
      </c>
      <c r="B2441" s="1">
        <v>6.2</v>
      </c>
      <c r="K2441" s="4"/>
      <c r="P2441" s="5"/>
      <c r="Q2441" s="24"/>
    </row>
    <row r="2442" ht="14.25" customHeight="1">
      <c r="A2442" s="1">
        <v>110.0</v>
      </c>
      <c r="B2442" s="1">
        <v>6.2</v>
      </c>
      <c r="K2442" s="4"/>
      <c r="P2442" s="5"/>
      <c r="Q2442" s="24"/>
    </row>
    <row r="2443" ht="14.25" customHeight="1">
      <c r="A2443" s="1">
        <v>110.0</v>
      </c>
      <c r="B2443" s="1">
        <v>6.2</v>
      </c>
      <c r="K2443" s="4"/>
      <c r="P2443" s="5"/>
      <c r="Q2443" s="24"/>
    </row>
    <row r="2444" ht="14.25" customHeight="1">
      <c r="A2444" s="1">
        <v>109.0</v>
      </c>
      <c r="B2444" s="1">
        <v>6.2</v>
      </c>
      <c r="K2444" s="4"/>
      <c r="P2444" s="5"/>
      <c r="Q2444" s="24"/>
    </row>
    <row r="2445" ht="14.25" customHeight="1">
      <c r="A2445" s="1">
        <v>109.0</v>
      </c>
      <c r="B2445" s="1">
        <v>6.2</v>
      </c>
      <c r="K2445" s="4"/>
      <c r="P2445" s="5"/>
      <c r="Q2445" s="24"/>
    </row>
    <row r="2446" ht="14.25" customHeight="1">
      <c r="A2446" s="1">
        <v>109.0</v>
      </c>
      <c r="B2446" s="1">
        <v>6.2</v>
      </c>
      <c r="K2446" s="4"/>
      <c r="P2446" s="5"/>
      <c r="Q2446" s="24"/>
    </row>
    <row r="2447" ht="14.25" customHeight="1">
      <c r="A2447" s="1">
        <v>109.0</v>
      </c>
      <c r="B2447" s="1">
        <v>6.2</v>
      </c>
      <c r="K2447" s="4"/>
      <c r="P2447" s="5"/>
      <c r="Q2447" s="24"/>
    </row>
    <row r="2448" ht="14.25" customHeight="1">
      <c r="A2448" s="1">
        <v>108.0</v>
      </c>
      <c r="B2448" s="1">
        <v>6.2</v>
      </c>
      <c r="K2448" s="4"/>
      <c r="P2448" s="5"/>
      <c r="Q2448" s="24"/>
    </row>
    <row r="2449" ht="14.25" customHeight="1">
      <c r="A2449" s="1">
        <v>108.0</v>
      </c>
      <c r="B2449" s="1">
        <v>6.2</v>
      </c>
      <c r="K2449" s="4"/>
      <c r="P2449" s="5"/>
      <c r="Q2449" s="24"/>
    </row>
    <row r="2450" ht="14.25" customHeight="1">
      <c r="A2450" s="1">
        <v>108.0</v>
      </c>
      <c r="B2450" s="1">
        <v>6.2</v>
      </c>
      <c r="K2450" s="4"/>
      <c r="P2450" s="5"/>
      <c r="Q2450" s="24"/>
    </row>
    <row r="2451" ht="14.25" customHeight="1">
      <c r="A2451" s="1">
        <v>108.0</v>
      </c>
      <c r="B2451" s="1">
        <v>6.2</v>
      </c>
      <c r="K2451" s="4"/>
      <c r="P2451" s="5"/>
      <c r="Q2451" s="24"/>
    </row>
    <row r="2452" ht="14.25" customHeight="1">
      <c r="A2452" s="1">
        <v>107.0</v>
      </c>
      <c r="B2452" s="1">
        <v>6.2</v>
      </c>
      <c r="K2452" s="4"/>
      <c r="P2452" s="5"/>
      <c r="Q2452" s="24"/>
    </row>
    <row r="2453" ht="14.25" customHeight="1">
      <c r="A2453" s="1">
        <v>107.0</v>
      </c>
      <c r="B2453" s="1">
        <v>6.2</v>
      </c>
      <c r="K2453" s="4"/>
      <c r="P2453" s="5"/>
      <c r="Q2453" s="24"/>
    </row>
    <row r="2454" ht="14.25" customHeight="1">
      <c r="A2454" s="1">
        <v>107.0</v>
      </c>
      <c r="B2454" s="1">
        <v>6.2</v>
      </c>
      <c r="K2454" s="4"/>
      <c r="P2454" s="5"/>
      <c r="Q2454" s="24"/>
    </row>
    <row r="2455" ht="14.25" customHeight="1">
      <c r="A2455" s="1">
        <v>107.0</v>
      </c>
      <c r="B2455" s="1">
        <v>6.2</v>
      </c>
      <c r="K2455" s="4"/>
      <c r="P2455" s="5"/>
      <c r="Q2455" s="24"/>
    </row>
    <row r="2456" ht="14.25" customHeight="1">
      <c r="A2456" s="1">
        <v>107.0</v>
      </c>
      <c r="B2456" s="1">
        <v>6.2</v>
      </c>
      <c r="K2456" s="4"/>
      <c r="P2456" s="5"/>
      <c r="Q2456" s="24"/>
    </row>
    <row r="2457" ht="14.25" customHeight="1">
      <c r="A2457" s="1">
        <v>106.0</v>
      </c>
      <c r="B2457" s="1">
        <v>6.2</v>
      </c>
      <c r="K2457" s="4"/>
      <c r="P2457" s="5"/>
      <c r="Q2457" s="24"/>
    </row>
    <row r="2458" ht="14.25" customHeight="1">
      <c r="A2458" s="1">
        <v>105.0</v>
      </c>
      <c r="B2458" s="1">
        <v>6.2</v>
      </c>
      <c r="K2458" s="4"/>
      <c r="P2458" s="5"/>
      <c r="Q2458" s="24"/>
    </row>
    <row r="2459" ht="14.25" customHeight="1">
      <c r="A2459" s="1">
        <v>105.0</v>
      </c>
      <c r="B2459" s="1">
        <v>6.2</v>
      </c>
      <c r="K2459" s="4"/>
      <c r="P2459" s="5"/>
      <c r="Q2459" s="24"/>
    </row>
    <row r="2460" ht="14.25" customHeight="1">
      <c r="A2460" s="1">
        <v>105.0</v>
      </c>
      <c r="B2460" s="1">
        <v>6.2</v>
      </c>
      <c r="K2460" s="4"/>
      <c r="P2460" s="5"/>
      <c r="Q2460" s="24"/>
    </row>
    <row r="2461" ht="14.25" customHeight="1">
      <c r="A2461" s="1">
        <v>104.0</v>
      </c>
      <c r="B2461" s="1">
        <v>6.2</v>
      </c>
      <c r="K2461" s="4"/>
      <c r="P2461" s="5"/>
      <c r="Q2461" s="24"/>
    </row>
    <row r="2462" ht="14.25" customHeight="1">
      <c r="A2462" s="1">
        <v>104.0</v>
      </c>
      <c r="B2462" s="1">
        <v>6.2</v>
      </c>
      <c r="K2462" s="4"/>
      <c r="P2462" s="5"/>
      <c r="Q2462" s="24"/>
    </row>
    <row r="2463" ht="14.25" customHeight="1">
      <c r="A2463" s="1">
        <v>104.0</v>
      </c>
      <c r="B2463" s="1">
        <v>6.2</v>
      </c>
      <c r="K2463" s="4"/>
      <c r="P2463" s="5"/>
      <c r="Q2463" s="24"/>
    </row>
    <row r="2464" ht="14.25" customHeight="1">
      <c r="A2464" s="1">
        <v>104.0</v>
      </c>
      <c r="B2464" s="1">
        <v>6.2</v>
      </c>
      <c r="K2464" s="4"/>
      <c r="P2464" s="5"/>
      <c r="Q2464" s="24"/>
    </row>
    <row r="2465" ht="14.25" customHeight="1">
      <c r="A2465" s="1">
        <v>103.0</v>
      </c>
      <c r="B2465" s="1">
        <v>6.2</v>
      </c>
      <c r="K2465" s="4"/>
      <c r="P2465" s="5"/>
      <c r="Q2465" s="24"/>
    </row>
    <row r="2466" ht="14.25" customHeight="1">
      <c r="A2466" s="1">
        <v>103.0</v>
      </c>
      <c r="B2466" s="1">
        <v>6.2</v>
      </c>
      <c r="K2466" s="4"/>
      <c r="P2466" s="5"/>
      <c r="Q2466" s="24"/>
    </row>
    <row r="2467" ht="14.25" customHeight="1">
      <c r="A2467" s="1">
        <v>103.0</v>
      </c>
      <c r="B2467" s="1">
        <v>6.2</v>
      </c>
      <c r="K2467" s="4"/>
      <c r="P2467" s="5"/>
      <c r="Q2467" s="24"/>
    </row>
    <row r="2468" ht="14.25" customHeight="1">
      <c r="A2468" s="1">
        <v>103.0</v>
      </c>
      <c r="B2468" s="1">
        <v>6.2</v>
      </c>
      <c r="K2468" s="4"/>
      <c r="P2468" s="5"/>
      <c r="Q2468" s="24"/>
    </row>
    <row r="2469" ht="14.25" customHeight="1">
      <c r="A2469" s="1">
        <v>103.0</v>
      </c>
      <c r="B2469" s="1">
        <v>6.2</v>
      </c>
      <c r="K2469" s="4"/>
      <c r="P2469" s="5"/>
      <c r="Q2469" s="24"/>
    </row>
    <row r="2470" ht="14.25" customHeight="1">
      <c r="A2470" s="1">
        <v>103.0</v>
      </c>
      <c r="B2470" s="1">
        <v>6.2</v>
      </c>
      <c r="K2470" s="4"/>
      <c r="P2470" s="5"/>
      <c r="Q2470" s="24"/>
    </row>
    <row r="2471" ht="14.25" customHeight="1">
      <c r="A2471" s="1">
        <v>103.0</v>
      </c>
      <c r="B2471" s="1">
        <v>6.2</v>
      </c>
      <c r="K2471" s="4"/>
      <c r="P2471" s="5"/>
      <c r="Q2471" s="24"/>
    </row>
    <row r="2472" ht="14.25" customHeight="1">
      <c r="A2472" s="1">
        <v>102.0</v>
      </c>
      <c r="B2472" s="1">
        <v>6.2</v>
      </c>
      <c r="K2472" s="4"/>
      <c r="P2472" s="5"/>
      <c r="Q2472" s="24"/>
    </row>
    <row r="2473" ht="14.25" customHeight="1">
      <c r="A2473" s="1">
        <v>102.0</v>
      </c>
      <c r="B2473" s="1">
        <v>6.2</v>
      </c>
      <c r="K2473" s="4"/>
      <c r="P2473" s="5"/>
      <c r="Q2473" s="24"/>
    </row>
    <row r="2474" ht="14.25" customHeight="1">
      <c r="A2474" s="1">
        <v>102.0</v>
      </c>
      <c r="B2474" s="1">
        <v>6.2</v>
      </c>
      <c r="K2474" s="4"/>
      <c r="P2474" s="5"/>
      <c r="Q2474" s="24"/>
    </row>
    <row r="2475" ht="14.25" customHeight="1">
      <c r="A2475" s="1">
        <v>102.0</v>
      </c>
      <c r="B2475" s="1">
        <v>6.2</v>
      </c>
      <c r="K2475" s="4"/>
      <c r="P2475" s="5"/>
      <c r="Q2475" s="24"/>
    </row>
    <row r="2476" ht="14.25" customHeight="1">
      <c r="A2476" s="1">
        <v>101.0</v>
      </c>
      <c r="B2476" s="1">
        <v>6.2</v>
      </c>
      <c r="K2476" s="4"/>
      <c r="P2476" s="5"/>
      <c r="Q2476" s="24"/>
    </row>
    <row r="2477" ht="14.25" customHeight="1">
      <c r="A2477" s="1">
        <v>101.0</v>
      </c>
      <c r="B2477" s="1">
        <v>6.2</v>
      </c>
      <c r="K2477" s="4"/>
      <c r="P2477" s="5"/>
      <c r="Q2477" s="24"/>
    </row>
    <row r="2478" ht="14.25" customHeight="1">
      <c r="A2478" s="1">
        <v>101.0</v>
      </c>
      <c r="B2478" s="1">
        <v>6.2</v>
      </c>
      <c r="K2478" s="4"/>
      <c r="P2478" s="5"/>
      <c r="Q2478" s="24"/>
    </row>
    <row r="2479" ht="14.25" customHeight="1">
      <c r="A2479" s="1">
        <v>101.0</v>
      </c>
      <c r="B2479" s="1">
        <v>6.2</v>
      </c>
      <c r="K2479" s="4"/>
      <c r="P2479" s="5"/>
      <c r="Q2479" s="24"/>
    </row>
    <row r="2480" ht="14.25" customHeight="1">
      <c r="A2480" s="1">
        <v>100.0</v>
      </c>
      <c r="B2480" s="1">
        <v>6.2</v>
      </c>
      <c r="K2480" s="4"/>
      <c r="P2480" s="5"/>
      <c r="Q2480" s="24"/>
    </row>
    <row r="2481" ht="14.25" customHeight="1">
      <c r="A2481" s="1">
        <v>100.0</v>
      </c>
      <c r="B2481" s="1">
        <v>6.2</v>
      </c>
      <c r="K2481" s="4"/>
      <c r="P2481" s="5"/>
      <c r="Q2481" s="24"/>
    </row>
    <row r="2482" ht="14.25" customHeight="1">
      <c r="A2482" s="1">
        <v>100.0</v>
      </c>
      <c r="B2482" s="1">
        <v>6.2</v>
      </c>
      <c r="K2482" s="4"/>
      <c r="P2482" s="5"/>
      <c r="Q2482" s="24"/>
    </row>
    <row r="2483" ht="14.25" customHeight="1">
      <c r="A2483" s="1">
        <v>100.0</v>
      </c>
      <c r="B2483" s="1">
        <v>6.2</v>
      </c>
      <c r="K2483" s="4"/>
      <c r="P2483" s="5"/>
      <c r="Q2483" s="24"/>
    </row>
    <row r="2484" ht="14.25" customHeight="1">
      <c r="A2484" s="1">
        <v>100.0</v>
      </c>
      <c r="B2484" s="1">
        <v>6.2</v>
      </c>
      <c r="K2484" s="4"/>
      <c r="P2484" s="5"/>
      <c r="Q2484" s="24"/>
    </row>
    <row r="2485" ht="14.25" customHeight="1">
      <c r="A2485" s="1">
        <v>99.0</v>
      </c>
      <c r="B2485" s="1">
        <v>6.2</v>
      </c>
      <c r="K2485" s="4"/>
      <c r="P2485" s="5"/>
      <c r="Q2485" s="24"/>
    </row>
    <row r="2486" ht="14.25" customHeight="1">
      <c r="A2486" s="1">
        <v>98.0</v>
      </c>
      <c r="B2486" s="1">
        <v>6.2</v>
      </c>
      <c r="K2486" s="4"/>
      <c r="P2486" s="5"/>
      <c r="Q2486" s="24"/>
    </row>
    <row r="2487" ht="14.25" customHeight="1">
      <c r="A2487" s="1">
        <v>98.0</v>
      </c>
      <c r="B2487" s="1">
        <v>6.2</v>
      </c>
      <c r="K2487" s="4"/>
      <c r="P2487" s="5"/>
      <c r="Q2487" s="24"/>
    </row>
    <row r="2488" ht="14.25" customHeight="1">
      <c r="A2488" s="1">
        <v>98.0</v>
      </c>
      <c r="B2488" s="1">
        <v>6.2</v>
      </c>
      <c r="K2488" s="4"/>
      <c r="P2488" s="5"/>
      <c r="Q2488" s="24"/>
    </row>
    <row r="2489" ht="14.25" customHeight="1">
      <c r="A2489" s="1">
        <v>98.0</v>
      </c>
      <c r="B2489" s="1">
        <v>6.2</v>
      </c>
      <c r="K2489" s="4"/>
      <c r="P2489" s="5"/>
      <c r="Q2489" s="24"/>
    </row>
    <row r="2490" ht="14.25" customHeight="1">
      <c r="A2490" s="1">
        <v>98.0</v>
      </c>
      <c r="B2490" s="1">
        <v>6.2</v>
      </c>
      <c r="K2490" s="4"/>
      <c r="P2490" s="5"/>
      <c r="Q2490" s="24"/>
    </row>
    <row r="2491" ht="14.25" customHeight="1">
      <c r="A2491" s="1">
        <v>97.0</v>
      </c>
      <c r="B2491" s="1">
        <v>6.2</v>
      </c>
      <c r="K2491" s="4"/>
      <c r="P2491" s="5"/>
      <c r="Q2491" s="24"/>
    </row>
    <row r="2492" ht="14.25" customHeight="1">
      <c r="A2492" s="1">
        <v>97.0</v>
      </c>
      <c r="B2492" s="1">
        <v>6.2</v>
      </c>
      <c r="K2492" s="4"/>
      <c r="P2492" s="5"/>
      <c r="Q2492" s="24"/>
    </row>
    <row r="2493" ht="14.25" customHeight="1">
      <c r="A2493" s="1">
        <v>97.0</v>
      </c>
      <c r="B2493" s="1">
        <v>6.2</v>
      </c>
      <c r="K2493" s="4"/>
      <c r="P2493" s="5"/>
      <c r="Q2493" s="24"/>
    </row>
    <row r="2494" ht="14.25" customHeight="1">
      <c r="A2494" s="1">
        <v>97.0</v>
      </c>
      <c r="B2494" s="1">
        <v>6.2</v>
      </c>
      <c r="K2494" s="4"/>
      <c r="P2494" s="5"/>
      <c r="Q2494" s="24"/>
    </row>
    <row r="2495" ht="14.25" customHeight="1">
      <c r="A2495" s="1">
        <v>96.0</v>
      </c>
      <c r="B2495" s="1">
        <v>6.2</v>
      </c>
      <c r="K2495" s="4"/>
      <c r="P2495" s="5"/>
      <c r="Q2495" s="24"/>
    </row>
    <row r="2496" ht="14.25" customHeight="1">
      <c r="A2496" s="1">
        <v>96.0</v>
      </c>
      <c r="B2496" s="1">
        <v>6.2</v>
      </c>
      <c r="K2496" s="4"/>
      <c r="P2496" s="5"/>
      <c r="Q2496" s="24"/>
    </row>
    <row r="2497" ht="14.25" customHeight="1">
      <c r="A2497" s="1">
        <v>96.0</v>
      </c>
      <c r="B2497" s="1">
        <v>6.2</v>
      </c>
      <c r="K2497" s="4"/>
      <c r="P2497" s="5"/>
      <c r="Q2497" s="24"/>
    </row>
    <row r="2498" ht="14.25" customHeight="1">
      <c r="A2498" s="1">
        <v>95.0</v>
      </c>
      <c r="B2498" s="1">
        <v>6.2</v>
      </c>
      <c r="K2498" s="4"/>
      <c r="P2498" s="5"/>
      <c r="Q2498" s="24"/>
    </row>
    <row r="2499" ht="14.25" customHeight="1">
      <c r="A2499" s="1">
        <v>95.0</v>
      </c>
      <c r="B2499" s="1">
        <v>6.2</v>
      </c>
      <c r="K2499" s="4"/>
      <c r="P2499" s="5"/>
      <c r="Q2499" s="24"/>
    </row>
    <row r="2500" ht="14.25" customHeight="1">
      <c r="A2500" s="1">
        <v>95.0</v>
      </c>
      <c r="B2500" s="1">
        <v>6.2</v>
      </c>
      <c r="K2500" s="4"/>
      <c r="P2500" s="5"/>
      <c r="Q2500" s="24"/>
    </row>
    <row r="2501" ht="14.25" customHeight="1">
      <c r="A2501" s="1">
        <v>95.0</v>
      </c>
      <c r="B2501" s="1">
        <v>6.2</v>
      </c>
      <c r="K2501" s="4"/>
      <c r="P2501" s="5"/>
      <c r="Q2501" s="24"/>
    </row>
    <row r="2502" ht="14.25" customHeight="1">
      <c r="A2502" s="1">
        <v>95.0</v>
      </c>
      <c r="B2502" s="1">
        <v>6.2</v>
      </c>
      <c r="K2502" s="4"/>
      <c r="P2502" s="5"/>
      <c r="Q2502" s="24"/>
    </row>
    <row r="2503" ht="14.25" customHeight="1">
      <c r="A2503" s="1">
        <v>94.0</v>
      </c>
      <c r="B2503" s="1">
        <v>6.2</v>
      </c>
      <c r="K2503" s="4"/>
      <c r="P2503" s="5"/>
      <c r="Q2503" s="24"/>
    </row>
    <row r="2504" ht="14.25" customHeight="1">
      <c r="A2504" s="1">
        <v>94.0</v>
      </c>
      <c r="B2504" s="1">
        <v>6.2</v>
      </c>
      <c r="K2504" s="4"/>
      <c r="P2504" s="5"/>
      <c r="Q2504" s="24"/>
    </row>
    <row r="2505" ht="14.25" customHeight="1">
      <c r="A2505" s="1">
        <v>94.0</v>
      </c>
      <c r="B2505" s="1">
        <v>6.2</v>
      </c>
      <c r="K2505" s="4"/>
      <c r="P2505" s="5"/>
      <c r="Q2505" s="24"/>
    </row>
    <row r="2506" ht="14.25" customHeight="1">
      <c r="A2506" s="1">
        <v>94.0</v>
      </c>
      <c r="B2506" s="1">
        <v>6.2</v>
      </c>
      <c r="K2506" s="4"/>
      <c r="P2506" s="5"/>
      <c r="Q2506" s="24"/>
    </row>
    <row r="2507" ht="14.25" customHeight="1">
      <c r="A2507" s="1">
        <v>94.0</v>
      </c>
      <c r="B2507" s="1">
        <v>6.2</v>
      </c>
      <c r="K2507" s="4"/>
      <c r="P2507" s="5"/>
      <c r="Q2507" s="24"/>
    </row>
    <row r="2508" ht="14.25" customHeight="1">
      <c r="A2508" s="1">
        <v>93.0</v>
      </c>
      <c r="B2508" s="1">
        <v>6.2</v>
      </c>
      <c r="K2508" s="4"/>
      <c r="P2508" s="5"/>
      <c r="Q2508" s="24"/>
    </row>
    <row r="2509" ht="14.25" customHeight="1">
      <c r="A2509" s="1">
        <v>93.0</v>
      </c>
      <c r="B2509" s="1">
        <v>6.2</v>
      </c>
      <c r="K2509" s="4"/>
      <c r="P2509" s="5"/>
      <c r="Q2509" s="24"/>
    </row>
    <row r="2510" ht="14.25" customHeight="1">
      <c r="A2510" s="1">
        <v>92.0</v>
      </c>
      <c r="B2510" s="1">
        <v>6.2</v>
      </c>
      <c r="K2510" s="4"/>
      <c r="P2510" s="5"/>
      <c r="Q2510" s="24"/>
    </row>
    <row r="2511" ht="14.25" customHeight="1">
      <c r="A2511" s="1">
        <v>92.0</v>
      </c>
      <c r="B2511" s="1">
        <v>6.2</v>
      </c>
      <c r="K2511" s="4"/>
      <c r="P2511" s="5"/>
      <c r="Q2511" s="24"/>
    </row>
    <row r="2512" ht="14.25" customHeight="1">
      <c r="A2512" s="1">
        <v>92.0</v>
      </c>
      <c r="B2512" s="1">
        <v>6.2</v>
      </c>
      <c r="K2512" s="4"/>
      <c r="P2512" s="5"/>
      <c r="Q2512" s="24"/>
    </row>
    <row r="2513" ht="14.25" customHeight="1">
      <c r="A2513" s="1">
        <v>92.0</v>
      </c>
      <c r="B2513" s="1">
        <v>6.2</v>
      </c>
      <c r="K2513" s="4"/>
      <c r="P2513" s="5"/>
      <c r="Q2513" s="24"/>
    </row>
    <row r="2514" ht="14.25" customHeight="1">
      <c r="A2514" s="1">
        <v>92.0</v>
      </c>
      <c r="B2514" s="1">
        <v>6.2</v>
      </c>
      <c r="K2514" s="4"/>
      <c r="P2514" s="5"/>
      <c r="Q2514" s="24"/>
    </row>
    <row r="2515" ht="14.25" customHeight="1">
      <c r="A2515" s="1">
        <v>91.0</v>
      </c>
      <c r="B2515" s="1">
        <v>6.2</v>
      </c>
      <c r="K2515" s="4"/>
      <c r="P2515" s="5"/>
      <c r="Q2515" s="24"/>
    </row>
    <row r="2516" ht="14.25" customHeight="1">
      <c r="A2516" s="1">
        <v>91.0</v>
      </c>
      <c r="B2516" s="1">
        <v>6.2</v>
      </c>
      <c r="K2516" s="4"/>
      <c r="P2516" s="5"/>
      <c r="Q2516" s="24"/>
    </row>
    <row r="2517" ht="14.25" customHeight="1">
      <c r="A2517" s="1">
        <v>91.0</v>
      </c>
      <c r="B2517" s="1">
        <v>6.2</v>
      </c>
      <c r="K2517" s="4"/>
      <c r="P2517" s="5"/>
      <c r="Q2517" s="24"/>
    </row>
    <row r="2518" ht="14.25" customHeight="1">
      <c r="A2518" s="1">
        <v>90.0</v>
      </c>
      <c r="B2518" s="1">
        <v>6.2</v>
      </c>
      <c r="K2518" s="4"/>
      <c r="P2518" s="5"/>
      <c r="Q2518" s="24"/>
    </row>
    <row r="2519" ht="14.25" customHeight="1">
      <c r="A2519" s="1">
        <v>90.0</v>
      </c>
      <c r="B2519" s="1">
        <v>6.2</v>
      </c>
      <c r="K2519" s="4"/>
      <c r="P2519" s="5"/>
      <c r="Q2519" s="24"/>
    </row>
    <row r="2520" ht="14.25" customHeight="1">
      <c r="A2520" s="1">
        <v>90.0</v>
      </c>
      <c r="B2520" s="1">
        <v>6.2</v>
      </c>
      <c r="K2520" s="4"/>
      <c r="P2520" s="5"/>
      <c r="Q2520" s="24"/>
    </row>
    <row r="2521" ht="14.25" customHeight="1">
      <c r="A2521" s="1">
        <v>89.0</v>
      </c>
      <c r="B2521" s="1">
        <v>6.2</v>
      </c>
      <c r="K2521" s="4"/>
      <c r="P2521" s="5"/>
      <c r="Q2521" s="24"/>
    </row>
    <row r="2522" ht="14.25" customHeight="1">
      <c r="A2522" s="1">
        <v>88.0</v>
      </c>
      <c r="B2522" s="1">
        <v>6.2</v>
      </c>
      <c r="K2522" s="4"/>
      <c r="P2522" s="5"/>
      <c r="Q2522" s="24"/>
    </row>
    <row r="2523" ht="14.25" customHeight="1">
      <c r="A2523" s="1">
        <v>87.0</v>
      </c>
      <c r="B2523" s="1">
        <v>6.2</v>
      </c>
      <c r="K2523" s="4"/>
      <c r="P2523" s="5"/>
      <c r="Q2523" s="24"/>
    </row>
    <row r="2524" ht="14.25" customHeight="1">
      <c r="A2524" s="1">
        <v>87.0</v>
      </c>
      <c r="B2524" s="1">
        <v>6.2</v>
      </c>
      <c r="K2524" s="4"/>
      <c r="P2524" s="5"/>
      <c r="Q2524" s="24"/>
    </row>
    <row r="2525" ht="14.25" customHeight="1">
      <c r="A2525" s="1">
        <v>87.0</v>
      </c>
      <c r="B2525" s="1">
        <v>6.2</v>
      </c>
      <c r="K2525" s="4"/>
      <c r="P2525" s="5"/>
      <c r="Q2525" s="24"/>
    </row>
    <row r="2526" ht="14.25" customHeight="1">
      <c r="A2526" s="1">
        <v>86.0</v>
      </c>
      <c r="B2526" s="1">
        <v>6.2</v>
      </c>
      <c r="K2526" s="4"/>
      <c r="P2526" s="5"/>
      <c r="Q2526" s="24"/>
    </row>
    <row r="2527" ht="14.25" customHeight="1">
      <c r="A2527" s="1">
        <v>86.0</v>
      </c>
      <c r="B2527" s="1">
        <v>6.2</v>
      </c>
      <c r="K2527" s="4"/>
      <c r="P2527" s="5"/>
      <c r="Q2527" s="24"/>
    </row>
    <row r="2528" ht="14.25" customHeight="1">
      <c r="A2528" s="1">
        <v>86.0</v>
      </c>
      <c r="B2528" s="1">
        <v>6.2</v>
      </c>
      <c r="K2528" s="4"/>
      <c r="P2528" s="5"/>
      <c r="Q2528" s="24"/>
    </row>
    <row r="2529" ht="14.25" customHeight="1">
      <c r="A2529" s="1">
        <v>85.0</v>
      </c>
      <c r="B2529" s="1">
        <v>6.2</v>
      </c>
      <c r="K2529" s="4"/>
      <c r="P2529" s="5"/>
      <c r="Q2529" s="24"/>
    </row>
    <row r="2530" ht="14.25" customHeight="1">
      <c r="A2530" s="1">
        <v>85.0</v>
      </c>
      <c r="B2530" s="1">
        <v>6.2</v>
      </c>
      <c r="K2530" s="4"/>
      <c r="P2530" s="5"/>
      <c r="Q2530" s="24"/>
    </row>
    <row r="2531" ht="14.25" customHeight="1">
      <c r="A2531" s="1">
        <v>84.0</v>
      </c>
      <c r="B2531" s="1">
        <v>6.2</v>
      </c>
      <c r="K2531" s="4"/>
      <c r="P2531" s="5"/>
      <c r="Q2531" s="24"/>
    </row>
    <row r="2532" ht="14.25" customHeight="1">
      <c r="A2532" s="1">
        <v>83.0</v>
      </c>
      <c r="B2532" s="1">
        <v>6.2</v>
      </c>
      <c r="K2532" s="4"/>
      <c r="P2532" s="5"/>
      <c r="Q2532" s="24"/>
    </row>
    <row r="2533" ht="14.25" customHeight="1">
      <c r="A2533" s="1">
        <v>82.0</v>
      </c>
      <c r="B2533" s="1">
        <v>6.2</v>
      </c>
      <c r="K2533" s="4"/>
      <c r="P2533" s="5"/>
      <c r="Q2533" s="24"/>
    </row>
    <row r="2534" ht="14.25" customHeight="1">
      <c r="A2534" s="1">
        <v>81.0</v>
      </c>
      <c r="B2534" s="1">
        <v>6.2</v>
      </c>
      <c r="K2534" s="4"/>
      <c r="P2534" s="5"/>
      <c r="Q2534" s="24"/>
    </row>
    <row r="2535" ht="14.25" customHeight="1">
      <c r="A2535" s="1">
        <v>81.0</v>
      </c>
      <c r="B2535" s="1">
        <v>6.2</v>
      </c>
      <c r="K2535" s="4"/>
      <c r="P2535" s="5"/>
      <c r="Q2535" s="24"/>
    </row>
    <row r="2536" ht="14.25" customHeight="1">
      <c r="A2536" s="1">
        <v>80.0</v>
      </c>
      <c r="B2536" s="1">
        <v>6.2</v>
      </c>
      <c r="K2536" s="4"/>
      <c r="P2536" s="5"/>
      <c r="Q2536" s="24"/>
    </row>
    <row r="2537" ht="14.25" customHeight="1">
      <c r="A2537" s="1">
        <v>184.0</v>
      </c>
      <c r="B2537" s="1">
        <v>6.1</v>
      </c>
      <c r="K2537" s="4"/>
      <c r="P2537" s="5"/>
      <c r="Q2537" s="24"/>
    </row>
    <row r="2538" ht="14.25" customHeight="1">
      <c r="A2538" s="1">
        <v>176.0</v>
      </c>
      <c r="B2538" s="1">
        <v>6.1</v>
      </c>
      <c r="K2538" s="4"/>
      <c r="P2538" s="5"/>
      <c r="Q2538" s="24"/>
    </row>
    <row r="2539" ht="14.25" customHeight="1">
      <c r="A2539" s="1">
        <v>169.0</v>
      </c>
      <c r="B2539" s="1">
        <v>6.1</v>
      </c>
      <c r="K2539" s="4"/>
      <c r="P2539" s="5"/>
      <c r="Q2539" s="24"/>
    </row>
    <row r="2540" ht="14.25" customHeight="1">
      <c r="A2540" s="1">
        <v>150.0</v>
      </c>
      <c r="B2540" s="1">
        <v>6.1</v>
      </c>
      <c r="K2540" s="4"/>
      <c r="P2540" s="5"/>
      <c r="Q2540" s="24"/>
    </row>
    <row r="2541" ht="14.25" customHeight="1">
      <c r="A2541" s="1">
        <v>150.0</v>
      </c>
      <c r="B2541" s="1">
        <v>6.1</v>
      </c>
      <c r="K2541" s="4"/>
      <c r="P2541" s="5"/>
      <c r="Q2541" s="24"/>
    </row>
    <row r="2542" ht="14.25" customHeight="1">
      <c r="A2542" s="1">
        <v>137.0</v>
      </c>
      <c r="B2542" s="1">
        <v>6.1</v>
      </c>
      <c r="K2542" s="4"/>
      <c r="P2542" s="5"/>
      <c r="Q2542" s="24"/>
    </row>
    <row r="2543" ht="14.25" customHeight="1">
      <c r="A2543" s="1">
        <v>136.0</v>
      </c>
      <c r="B2543" s="1">
        <v>6.1</v>
      </c>
      <c r="K2543" s="4"/>
      <c r="P2543" s="5"/>
      <c r="Q2543" s="24"/>
    </row>
    <row r="2544" ht="14.25" customHeight="1">
      <c r="A2544" s="1">
        <v>135.0</v>
      </c>
      <c r="B2544" s="1">
        <v>6.1</v>
      </c>
      <c r="K2544" s="4"/>
      <c r="P2544" s="5"/>
      <c r="Q2544" s="24"/>
    </row>
    <row r="2545" ht="14.25" customHeight="1">
      <c r="A2545" s="1">
        <v>133.0</v>
      </c>
      <c r="B2545" s="1">
        <v>6.1</v>
      </c>
      <c r="K2545" s="4"/>
      <c r="P2545" s="5"/>
      <c r="Q2545" s="24"/>
    </row>
    <row r="2546" ht="14.25" customHeight="1">
      <c r="A2546" s="1">
        <v>132.0</v>
      </c>
      <c r="B2546" s="1">
        <v>6.1</v>
      </c>
      <c r="K2546" s="4"/>
      <c r="P2546" s="5"/>
      <c r="Q2546" s="24"/>
    </row>
    <row r="2547" ht="14.25" customHeight="1">
      <c r="A2547" s="1">
        <v>131.0</v>
      </c>
      <c r="B2547" s="1">
        <v>6.1</v>
      </c>
      <c r="K2547" s="4"/>
      <c r="P2547" s="5"/>
      <c r="Q2547" s="24"/>
    </row>
    <row r="2548" ht="14.25" customHeight="1">
      <c r="A2548" s="1">
        <v>131.0</v>
      </c>
      <c r="B2548" s="1">
        <v>6.1</v>
      </c>
      <c r="K2548" s="4"/>
      <c r="P2548" s="5"/>
      <c r="Q2548" s="24"/>
    </row>
    <row r="2549" ht="14.25" customHeight="1">
      <c r="A2549" s="1">
        <v>129.0</v>
      </c>
      <c r="B2549" s="1">
        <v>6.1</v>
      </c>
      <c r="K2549" s="4"/>
      <c r="P2549" s="5"/>
      <c r="Q2549" s="24"/>
    </row>
    <row r="2550" ht="14.25" customHeight="1">
      <c r="A2550" s="1">
        <v>128.0</v>
      </c>
      <c r="B2550" s="1">
        <v>6.1</v>
      </c>
      <c r="K2550" s="4"/>
      <c r="P2550" s="5"/>
      <c r="Q2550" s="24"/>
    </row>
    <row r="2551" ht="14.25" customHeight="1">
      <c r="A2551" s="1">
        <v>128.0</v>
      </c>
      <c r="B2551" s="1">
        <v>6.1</v>
      </c>
      <c r="K2551" s="4"/>
      <c r="P2551" s="5"/>
      <c r="Q2551" s="24"/>
    </row>
    <row r="2552" ht="14.25" customHeight="1">
      <c r="A2552" s="1">
        <v>124.0</v>
      </c>
      <c r="B2552" s="1">
        <v>6.1</v>
      </c>
      <c r="K2552" s="4"/>
      <c r="P2552" s="5"/>
      <c r="Q2552" s="24"/>
    </row>
    <row r="2553" ht="14.25" customHeight="1">
      <c r="A2553" s="1">
        <v>123.0</v>
      </c>
      <c r="B2553" s="1">
        <v>6.1</v>
      </c>
      <c r="K2553" s="4"/>
      <c r="P2553" s="5"/>
      <c r="Q2553" s="24"/>
    </row>
    <row r="2554" ht="14.25" customHeight="1">
      <c r="A2554" s="1">
        <v>123.0</v>
      </c>
      <c r="B2554" s="1">
        <v>6.1</v>
      </c>
      <c r="K2554" s="4"/>
      <c r="P2554" s="5"/>
      <c r="Q2554" s="24"/>
    </row>
    <row r="2555" ht="14.25" customHeight="1">
      <c r="A2555" s="1">
        <v>122.0</v>
      </c>
      <c r="B2555" s="1">
        <v>6.1</v>
      </c>
      <c r="K2555" s="4"/>
      <c r="P2555" s="5"/>
      <c r="Q2555" s="24"/>
    </row>
    <row r="2556" ht="14.25" customHeight="1">
      <c r="A2556" s="1">
        <v>120.0</v>
      </c>
      <c r="B2556" s="1">
        <v>6.1</v>
      </c>
      <c r="K2556" s="4"/>
      <c r="P2556" s="5"/>
      <c r="Q2556" s="24"/>
    </row>
    <row r="2557" ht="14.25" customHeight="1">
      <c r="A2557" s="1">
        <v>120.0</v>
      </c>
      <c r="B2557" s="1">
        <v>6.1</v>
      </c>
      <c r="K2557" s="4"/>
      <c r="P2557" s="5"/>
      <c r="Q2557" s="24"/>
    </row>
    <row r="2558" ht="14.25" customHeight="1">
      <c r="A2558" s="1">
        <v>120.0</v>
      </c>
      <c r="B2558" s="1">
        <v>6.1</v>
      </c>
      <c r="K2558" s="4"/>
      <c r="P2558" s="5"/>
      <c r="Q2558" s="24"/>
    </row>
    <row r="2559" ht="14.25" customHeight="1">
      <c r="A2559" s="1">
        <v>120.0</v>
      </c>
      <c r="B2559" s="1">
        <v>6.1</v>
      </c>
      <c r="K2559" s="4"/>
      <c r="P2559" s="5"/>
      <c r="Q2559" s="24"/>
    </row>
    <row r="2560" ht="14.25" customHeight="1">
      <c r="A2560" s="1">
        <v>120.0</v>
      </c>
      <c r="B2560" s="1">
        <v>6.1</v>
      </c>
      <c r="K2560" s="4"/>
      <c r="P2560" s="5"/>
      <c r="Q2560" s="24"/>
    </row>
    <row r="2561" ht="14.25" customHeight="1">
      <c r="A2561" s="1">
        <v>120.0</v>
      </c>
      <c r="B2561" s="1">
        <v>6.1</v>
      </c>
      <c r="K2561" s="4"/>
      <c r="P2561" s="5"/>
      <c r="Q2561" s="24"/>
    </row>
    <row r="2562" ht="14.25" customHeight="1">
      <c r="A2562" s="1">
        <v>118.0</v>
      </c>
      <c r="B2562" s="1">
        <v>6.1</v>
      </c>
      <c r="K2562" s="4"/>
      <c r="P2562" s="5"/>
      <c r="Q2562" s="24"/>
    </row>
    <row r="2563" ht="14.25" customHeight="1">
      <c r="A2563" s="1">
        <v>118.0</v>
      </c>
      <c r="B2563" s="1">
        <v>6.1</v>
      </c>
      <c r="K2563" s="4"/>
      <c r="P2563" s="5"/>
      <c r="Q2563" s="24"/>
    </row>
    <row r="2564" ht="14.25" customHeight="1">
      <c r="A2564" s="1">
        <v>117.0</v>
      </c>
      <c r="B2564" s="1">
        <v>6.1</v>
      </c>
      <c r="K2564" s="4"/>
      <c r="P2564" s="5"/>
      <c r="Q2564" s="24"/>
    </row>
    <row r="2565" ht="14.25" customHeight="1">
      <c r="A2565" s="1">
        <v>115.0</v>
      </c>
      <c r="B2565" s="1">
        <v>6.1</v>
      </c>
      <c r="K2565" s="4"/>
      <c r="P2565" s="5"/>
      <c r="Q2565" s="24"/>
    </row>
    <row r="2566" ht="14.25" customHeight="1">
      <c r="A2566" s="1">
        <v>115.0</v>
      </c>
      <c r="B2566" s="1">
        <v>6.1</v>
      </c>
      <c r="K2566" s="4"/>
      <c r="P2566" s="5"/>
      <c r="Q2566" s="24"/>
    </row>
    <row r="2567" ht="14.25" customHeight="1">
      <c r="A2567" s="1">
        <v>115.0</v>
      </c>
      <c r="B2567" s="1">
        <v>6.1</v>
      </c>
      <c r="K2567" s="4"/>
      <c r="P2567" s="5"/>
      <c r="Q2567" s="24"/>
    </row>
    <row r="2568" ht="14.25" customHeight="1">
      <c r="A2568" s="1">
        <v>115.0</v>
      </c>
      <c r="B2568" s="1">
        <v>6.1</v>
      </c>
      <c r="K2568" s="4"/>
      <c r="P2568" s="5"/>
      <c r="Q2568" s="24"/>
    </row>
    <row r="2569" ht="14.25" customHeight="1">
      <c r="A2569" s="1">
        <v>114.0</v>
      </c>
      <c r="B2569" s="1">
        <v>6.1</v>
      </c>
      <c r="K2569" s="4"/>
      <c r="P2569" s="5"/>
      <c r="Q2569" s="24"/>
    </row>
    <row r="2570" ht="14.25" customHeight="1">
      <c r="A2570" s="1">
        <v>114.0</v>
      </c>
      <c r="B2570" s="1">
        <v>6.1</v>
      </c>
      <c r="K2570" s="4"/>
      <c r="P2570" s="5"/>
      <c r="Q2570" s="24"/>
    </row>
    <row r="2571" ht="14.25" customHeight="1">
      <c r="A2571" s="1">
        <v>113.0</v>
      </c>
      <c r="B2571" s="1">
        <v>6.1</v>
      </c>
      <c r="K2571" s="4"/>
      <c r="P2571" s="5"/>
      <c r="Q2571" s="24"/>
    </row>
    <row r="2572" ht="14.25" customHeight="1">
      <c r="A2572" s="1">
        <v>113.0</v>
      </c>
      <c r="B2572" s="1">
        <v>6.1</v>
      </c>
      <c r="K2572" s="4"/>
      <c r="P2572" s="5"/>
      <c r="Q2572" s="24"/>
    </row>
    <row r="2573" ht="14.25" customHeight="1">
      <c r="A2573" s="1">
        <v>112.0</v>
      </c>
      <c r="B2573" s="1">
        <v>6.1</v>
      </c>
      <c r="K2573" s="4"/>
      <c r="P2573" s="5"/>
      <c r="Q2573" s="24"/>
    </row>
    <row r="2574" ht="14.25" customHeight="1">
      <c r="A2574" s="1">
        <v>112.0</v>
      </c>
      <c r="B2574" s="1">
        <v>6.1</v>
      </c>
      <c r="K2574" s="4"/>
      <c r="P2574" s="5"/>
      <c r="Q2574" s="24"/>
    </row>
    <row r="2575" ht="14.25" customHeight="1">
      <c r="A2575" s="1">
        <v>112.0</v>
      </c>
      <c r="B2575" s="1">
        <v>6.1</v>
      </c>
      <c r="K2575" s="4"/>
      <c r="P2575" s="5"/>
      <c r="Q2575" s="24"/>
    </row>
    <row r="2576" ht="14.25" customHeight="1">
      <c r="A2576" s="1">
        <v>111.0</v>
      </c>
      <c r="B2576" s="1">
        <v>6.1</v>
      </c>
      <c r="K2576" s="4"/>
      <c r="P2576" s="5"/>
      <c r="Q2576" s="24"/>
    </row>
    <row r="2577" ht="14.25" customHeight="1">
      <c r="A2577" s="1">
        <v>111.0</v>
      </c>
      <c r="B2577" s="1">
        <v>6.1</v>
      </c>
      <c r="K2577" s="4"/>
      <c r="P2577" s="5"/>
      <c r="Q2577" s="24"/>
    </row>
    <row r="2578" ht="14.25" customHeight="1">
      <c r="A2578" s="1">
        <v>111.0</v>
      </c>
      <c r="B2578" s="1">
        <v>6.1</v>
      </c>
      <c r="K2578" s="4"/>
      <c r="P2578" s="5"/>
      <c r="Q2578" s="24"/>
    </row>
    <row r="2579" ht="14.25" customHeight="1">
      <c r="A2579" s="1">
        <v>111.0</v>
      </c>
      <c r="B2579" s="1">
        <v>6.1</v>
      </c>
      <c r="K2579" s="4"/>
      <c r="P2579" s="5"/>
      <c r="Q2579" s="24"/>
    </row>
    <row r="2580" ht="14.25" customHeight="1">
      <c r="A2580" s="1">
        <v>110.0</v>
      </c>
      <c r="B2580" s="1">
        <v>6.1</v>
      </c>
      <c r="K2580" s="4"/>
      <c r="P2580" s="5"/>
      <c r="Q2580" s="24"/>
    </row>
    <row r="2581" ht="14.25" customHeight="1">
      <c r="A2581" s="1">
        <v>110.0</v>
      </c>
      <c r="B2581" s="1">
        <v>6.1</v>
      </c>
      <c r="K2581" s="4"/>
      <c r="P2581" s="5"/>
      <c r="Q2581" s="24"/>
    </row>
    <row r="2582" ht="14.25" customHeight="1">
      <c r="A2582" s="1">
        <v>110.0</v>
      </c>
      <c r="B2582" s="1">
        <v>6.1</v>
      </c>
      <c r="K2582" s="4"/>
      <c r="P2582" s="5"/>
      <c r="Q2582" s="24"/>
    </row>
    <row r="2583" ht="14.25" customHeight="1">
      <c r="A2583" s="1">
        <v>110.0</v>
      </c>
      <c r="B2583" s="1">
        <v>6.1</v>
      </c>
      <c r="K2583" s="4"/>
      <c r="P2583" s="5"/>
      <c r="Q2583" s="24"/>
    </row>
    <row r="2584" ht="14.25" customHeight="1">
      <c r="A2584" s="1">
        <v>110.0</v>
      </c>
      <c r="B2584" s="1">
        <v>6.1</v>
      </c>
      <c r="K2584" s="4"/>
      <c r="P2584" s="5"/>
      <c r="Q2584" s="24"/>
    </row>
    <row r="2585" ht="14.25" customHeight="1">
      <c r="A2585" s="1">
        <v>109.0</v>
      </c>
      <c r="B2585" s="1">
        <v>6.1</v>
      </c>
      <c r="K2585" s="4"/>
      <c r="P2585" s="5"/>
      <c r="Q2585" s="24"/>
    </row>
    <row r="2586" ht="14.25" customHeight="1">
      <c r="A2586" s="1">
        <v>109.0</v>
      </c>
      <c r="B2586" s="1">
        <v>6.1</v>
      </c>
      <c r="K2586" s="4"/>
      <c r="P2586" s="5"/>
      <c r="Q2586" s="24"/>
    </row>
    <row r="2587" ht="14.25" customHeight="1">
      <c r="A2587" s="1">
        <v>109.0</v>
      </c>
      <c r="B2587" s="1">
        <v>6.1</v>
      </c>
      <c r="K2587" s="4"/>
      <c r="P2587" s="5"/>
      <c r="Q2587" s="24"/>
    </row>
    <row r="2588" ht="14.25" customHeight="1">
      <c r="A2588" s="1">
        <v>109.0</v>
      </c>
      <c r="B2588" s="1">
        <v>6.1</v>
      </c>
      <c r="K2588" s="4"/>
      <c r="P2588" s="5"/>
      <c r="Q2588" s="24"/>
    </row>
    <row r="2589" ht="14.25" customHeight="1">
      <c r="A2589" s="1">
        <v>109.0</v>
      </c>
      <c r="B2589" s="1">
        <v>6.1</v>
      </c>
      <c r="K2589" s="4"/>
      <c r="P2589" s="5"/>
      <c r="Q2589" s="24"/>
    </row>
    <row r="2590" ht="14.25" customHeight="1">
      <c r="A2590" s="1">
        <v>109.0</v>
      </c>
      <c r="B2590" s="1">
        <v>6.1</v>
      </c>
      <c r="K2590" s="4"/>
      <c r="P2590" s="5"/>
      <c r="Q2590" s="24"/>
    </row>
    <row r="2591" ht="14.25" customHeight="1">
      <c r="A2591" s="1">
        <v>109.0</v>
      </c>
      <c r="B2591" s="1">
        <v>6.1</v>
      </c>
      <c r="K2591" s="4"/>
      <c r="P2591" s="5"/>
      <c r="Q2591" s="24"/>
    </row>
    <row r="2592" ht="14.25" customHeight="1">
      <c r="A2592" s="1">
        <v>109.0</v>
      </c>
      <c r="B2592" s="1">
        <v>6.1</v>
      </c>
      <c r="K2592" s="4"/>
      <c r="P2592" s="5"/>
      <c r="Q2592" s="24"/>
    </row>
    <row r="2593" ht="14.25" customHeight="1">
      <c r="A2593" s="1">
        <v>109.0</v>
      </c>
      <c r="B2593" s="1">
        <v>6.1</v>
      </c>
      <c r="K2593" s="4"/>
      <c r="P2593" s="5"/>
      <c r="Q2593" s="24"/>
    </row>
    <row r="2594" ht="14.25" customHeight="1">
      <c r="A2594" s="1">
        <v>108.0</v>
      </c>
      <c r="B2594" s="1">
        <v>6.1</v>
      </c>
      <c r="K2594" s="4"/>
      <c r="P2594" s="5"/>
      <c r="Q2594" s="24"/>
    </row>
    <row r="2595" ht="14.25" customHeight="1">
      <c r="A2595" s="1">
        <v>108.0</v>
      </c>
      <c r="B2595" s="1">
        <v>6.1</v>
      </c>
      <c r="K2595" s="4"/>
      <c r="P2595" s="5"/>
      <c r="Q2595" s="24"/>
    </row>
    <row r="2596" ht="14.25" customHeight="1">
      <c r="A2596" s="1">
        <v>108.0</v>
      </c>
      <c r="B2596" s="1">
        <v>6.1</v>
      </c>
      <c r="K2596" s="4"/>
      <c r="P2596" s="5"/>
      <c r="Q2596" s="24"/>
    </row>
    <row r="2597" ht="14.25" customHeight="1">
      <c r="A2597" s="1">
        <v>107.0</v>
      </c>
      <c r="B2597" s="1">
        <v>6.1</v>
      </c>
      <c r="K2597" s="4"/>
      <c r="P2597" s="5"/>
      <c r="Q2597" s="24"/>
    </row>
    <row r="2598" ht="14.25" customHeight="1">
      <c r="A2598" s="1">
        <v>107.0</v>
      </c>
      <c r="B2598" s="1">
        <v>6.1</v>
      </c>
      <c r="K2598" s="4"/>
      <c r="P2598" s="5"/>
      <c r="Q2598" s="24"/>
    </row>
    <row r="2599" ht="14.25" customHeight="1">
      <c r="A2599" s="1">
        <v>106.0</v>
      </c>
      <c r="B2599" s="1">
        <v>6.1</v>
      </c>
      <c r="K2599" s="4"/>
      <c r="P2599" s="5"/>
      <c r="Q2599" s="24"/>
    </row>
    <row r="2600" ht="14.25" customHeight="1">
      <c r="A2600" s="1">
        <v>106.0</v>
      </c>
      <c r="B2600" s="1">
        <v>6.1</v>
      </c>
      <c r="K2600" s="4"/>
      <c r="P2600" s="5"/>
      <c r="Q2600" s="24"/>
    </row>
    <row r="2601" ht="14.25" customHeight="1">
      <c r="A2601" s="1">
        <v>106.0</v>
      </c>
      <c r="B2601" s="1">
        <v>6.1</v>
      </c>
      <c r="K2601" s="4"/>
      <c r="P2601" s="5"/>
      <c r="Q2601" s="24"/>
    </row>
    <row r="2602" ht="14.25" customHeight="1">
      <c r="A2602" s="1">
        <v>106.0</v>
      </c>
      <c r="B2602" s="1">
        <v>6.1</v>
      </c>
      <c r="K2602" s="4"/>
      <c r="P2602" s="5"/>
      <c r="Q2602" s="24"/>
    </row>
    <row r="2603" ht="14.25" customHeight="1">
      <c r="A2603" s="1">
        <v>105.0</v>
      </c>
      <c r="B2603" s="1">
        <v>6.1</v>
      </c>
      <c r="K2603" s="4"/>
      <c r="P2603" s="5"/>
      <c r="Q2603" s="24"/>
    </row>
    <row r="2604" ht="14.25" customHeight="1">
      <c r="A2604" s="1">
        <v>105.0</v>
      </c>
      <c r="B2604" s="1">
        <v>6.1</v>
      </c>
      <c r="K2604" s="4"/>
      <c r="P2604" s="5"/>
      <c r="Q2604" s="24"/>
    </row>
    <row r="2605" ht="14.25" customHeight="1">
      <c r="A2605" s="1">
        <v>105.0</v>
      </c>
      <c r="B2605" s="1">
        <v>6.1</v>
      </c>
      <c r="K2605" s="4"/>
      <c r="P2605" s="5"/>
      <c r="Q2605" s="24"/>
    </row>
    <row r="2606" ht="14.25" customHeight="1">
      <c r="A2606" s="1">
        <v>104.0</v>
      </c>
      <c r="B2606" s="1">
        <v>6.1</v>
      </c>
      <c r="K2606" s="4"/>
      <c r="P2606" s="5"/>
      <c r="Q2606" s="24"/>
    </row>
    <row r="2607" ht="14.25" customHeight="1">
      <c r="A2607" s="1">
        <v>104.0</v>
      </c>
      <c r="B2607" s="1">
        <v>6.1</v>
      </c>
      <c r="K2607" s="4"/>
      <c r="P2607" s="5"/>
      <c r="Q2607" s="24"/>
    </row>
    <row r="2608" ht="14.25" customHeight="1">
      <c r="A2608" s="1">
        <v>104.0</v>
      </c>
      <c r="B2608" s="1">
        <v>6.1</v>
      </c>
      <c r="K2608" s="4"/>
      <c r="P2608" s="5"/>
      <c r="Q2608" s="24"/>
    </row>
    <row r="2609" ht="14.25" customHeight="1">
      <c r="A2609" s="1">
        <v>104.0</v>
      </c>
      <c r="B2609" s="1">
        <v>6.1</v>
      </c>
      <c r="K2609" s="4"/>
      <c r="P2609" s="5"/>
      <c r="Q2609" s="24"/>
    </row>
    <row r="2610" ht="14.25" customHeight="1">
      <c r="A2610" s="1">
        <v>104.0</v>
      </c>
      <c r="B2610" s="1">
        <v>6.1</v>
      </c>
      <c r="K2610" s="4"/>
      <c r="P2610" s="5"/>
      <c r="Q2610" s="24"/>
    </row>
    <row r="2611" ht="14.25" customHeight="1">
      <c r="A2611" s="1">
        <v>104.0</v>
      </c>
      <c r="B2611" s="1">
        <v>6.1</v>
      </c>
      <c r="K2611" s="4"/>
      <c r="P2611" s="5"/>
      <c r="Q2611" s="24"/>
    </row>
    <row r="2612" ht="14.25" customHeight="1">
      <c r="A2612" s="1">
        <v>103.0</v>
      </c>
      <c r="B2612" s="1">
        <v>6.1</v>
      </c>
      <c r="K2612" s="4"/>
      <c r="P2612" s="5"/>
      <c r="Q2612" s="24"/>
    </row>
    <row r="2613" ht="14.25" customHeight="1">
      <c r="A2613" s="1">
        <v>103.0</v>
      </c>
      <c r="B2613" s="1">
        <v>6.1</v>
      </c>
      <c r="K2613" s="4"/>
      <c r="P2613" s="5"/>
      <c r="Q2613" s="24"/>
    </row>
    <row r="2614" ht="14.25" customHeight="1">
      <c r="A2614" s="1">
        <v>103.0</v>
      </c>
      <c r="B2614" s="1">
        <v>6.1</v>
      </c>
      <c r="K2614" s="4"/>
      <c r="P2614" s="5"/>
      <c r="Q2614" s="24"/>
    </row>
    <row r="2615" ht="14.25" customHeight="1">
      <c r="A2615" s="1">
        <v>101.0</v>
      </c>
      <c r="B2615" s="1">
        <v>6.1</v>
      </c>
      <c r="K2615" s="4"/>
      <c r="P2615" s="5"/>
      <c r="Q2615" s="24"/>
    </row>
    <row r="2616" ht="14.25" customHeight="1">
      <c r="A2616" s="1">
        <v>101.0</v>
      </c>
      <c r="B2616" s="1">
        <v>6.1</v>
      </c>
      <c r="K2616" s="4"/>
      <c r="P2616" s="5"/>
      <c r="Q2616" s="24"/>
    </row>
    <row r="2617" ht="14.25" customHeight="1">
      <c r="A2617" s="1">
        <v>101.0</v>
      </c>
      <c r="B2617" s="1">
        <v>6.1</v>
      </c>
      <c r="K2617" s="4"/>
      <c r="P2617" s="5"/>
      <c r="Q2617" s="24"/>
    </row>
    <row r="2618" ht="14.25" customHeight="1">
      <c r="A2618" s="1">
        <v>101.0</v>
      </c>
      <c r="B2618" s="1">
        <v>6.1</v>
      </c>
      <c r="K2618" s="4"/>
      <c r="P2618" s="5"/>
      <c r="Q2618" s="24"/>
    </row>
    <row r="2619" ht="14.25" customHeight="1">
      <c r="A2619" s="1">
        <v>101.0</v>
      </c>
      <c r="B2619" s="1">
        <v>6.1</v>
      </c>
      <c r="K2619" s="4"/>
      <c r="P2619" s="5"/>
      <c r="Q2619" s="24"/>
    </row>
    <row r="2620" ht="14.25" customHeight="1">
      <c r="A2620" s="1">
        <v>101.0</v>
      </c>
      <c r="B2620" s="1">
        <v>6.1</v>
      </c>
      <c r="K2620" s="4"/>
      <c r="P2620" s="5"/>
      <c r="Q2620" s="24"/>
    </row>
    <row r="2621" ht="14.25" customHeight="1">
      <c r="A2621" s="1">
        <v>101.0</v>
      </c>
      <c r="B2621" s="1">
        <v>6.1</v>
      </c>
      <c r="K2621" s="4"/>
      <c r="P2621" s="5"/>
      <c r="Q2621" s="24"/>
    </row>
    <row r="2622" ht="14.25" customHeight="1">
      <c r="A2622" s="1">
        <v>101.0</v>
      </c>
      <c r="B2622" s="1">
        <v>6.1</v>
      </c>
      <c r="K2622" s="4"/>
      <c r="P2622" s="5"/>
      <c r="Q2622" s="24"/>
    </row>
    <row r="2623" ht="14.25" customHeight="1">
      <c r="A2623" s="1">
        <v>100.0</v>
      </c>
      <c r="B2623" s="1">
        <v>6.1</v>
      </c>
      <c r="K2623" s="4"/>
      <c r="P2623" s="5"/>
      <c r="Q2623" s="24"/>
    </row>
    <row r="2624" ht="14.25" customHeight="1">
      <c r="A2624" s="1">
        <v>100.0</v>
      </c>
      <c r="B2624" s="1">
        <v>6.1</v>
      </c>
      <c r="K2624" s="4"/>
      <c r="P2624" s="5"/>
      <c r="Q2624" s="24"/>
    </row>
    <row r="2625" ht="14.25" customHeight="1">
      <c r="A2625" s="1">
        <v>100.0</v>
      </c>
      <c r="B2625" s="1">
        <v>6.1</v>
      </c>
      <c r="K2625" s="4"/>
      <c r="P2625" s="5"/>
      <c r="Q2625" s="24"/>
    </row>
    <row r="2626" ht="14.25" customHeight="1">
      <c r="A2626" s="1">
        <v>99.0</v>
      </c>
      <c r="B2626" s="1">
        <v>6.1</v>
      </c>
      <c r="K2626" s="4"/>
      <c r="P2626" s="5"/>
      <c r="Q2626" s="24"/>
    </row>
    <row r="2627" ht="14.25" customHeight="1">
      <c r="A2627" s="1">
        <v>99.0</v>
      </c>
      <c r="B2627" s="1">
        <v>6.1</v>
      </c>
      <c r="K2627" s="4"/>
      <c r="P2627" s="5"/>
      <c r="Q2627" s="24"/>
    </row>
    <row r="2628" ht="14.25" customHeight="1">
      <c r="A2628" s="1">
        <v>99.0</v>
      </c>
      <c r="B2628" s="1">
        <v>6.1</v>
      </c>
      <c r="K2628" s="4"/>
      <c r="P2628" s="5"/>
      <c r="Q2628" s="24"/>
    </row>
    <row r="2629" ht="14.25" customHeight="1">
      <c r="A2629" s="1">
        <v>99.0</v>
      </c>
      <c r="B2629" s="1">
        <v>6.1</v>
      </c>
      <c r="K2629" s="4"/>
      <c r="P2629" s="5"/>
      <c r="Q2629" s="24"/>
    </row>
    <row r="2630" ht="14.25" customHeight="1">
      <c r="A2630" s="1">
        <v>98.0</v>
      </c>
      <c r="B2630" s="1">
        <v>6.1</v>
      </c>
      <c r="K2630" s="4"/>
      <c r="P2630" s="5"/>
      <c r="Q2630" s="24"/>
    </row>
    <row r="2631" ht="14.25" customHeight="1">
      <c r="A2631" s="1">
        <v>98.0</v>
      </c>
      <c r="B2631" s="1">
        <v>6.1</v>
      </c>
      <c r="K2631" s="4"/>
      <c r="P2631" s="5"/>
      <c r="Q2631" s="24"/>
    </row>
    <row r="2632" ht="14.25" customHeight="1">
      <c r="A2632" s="1">
        <v>98.0</v>
      </c>
      <c r="B2632" s="1">
        <v>6.1</v>
      </c>
      <c r="K2632" s="4"/>
      <c r="P2632" s="5"/>
      <c r="Q2632" s="24"/>
    </row>
    <row r="2633" ht="14.25" customHeight="1">
      <c r="A2633" s="1">
        <v>98.0</v>
      </c>
      <c r="B2633" s="1">
        <v>6.1</v>
      </c>
      <c r="K2633" s="4"/>
      <c r="P2633" s="5"/>
      <c r="Q2633" s="24"/>
    </row>
    <row r="2634" ht="14.25" customHeight="1">
      <c r="A2634" s="1">
        <v>98.0</v>
      </c>
      <c r="B2634" s="1">
        <v>6.1</v>
      </c>
      <c r="K2634" s="4"/>
      <c r="P2634" s="5"/>
      <c r="Q2634" s="24"/>
    </row>
    <row r="2635" ht="14.25" customHeight="1">
      <c r="A2635" s="1">
        <v>98.0</v>
      </c>
      <c r="B2635" s="1">
        <v>6.1</v>
      </c>
      <c r="K2635" s="4"/>
      <c r="P2635" s="5"/>
      <c r="Q2635" s="24"/>
    </row>
    <row r="2636" ht="14.25" customHeight="1">
      <c r="A2636" s="1">
        <v>98.0</v>
      </c>
      <c r="B2636" s="1">
        <v>6.1</v>
      </c>
      <c r="K2636" s="4"/>
      <c r="P2636" s="5"/>
      <c r="Q2636" s="24"/>
    </row>
    <row r="2637" ht="14.25" customHeight="1">
      <c r="A2637" s="1">
        <v>97.0</v>
      </c>
      <c r="B2637" s="1">
        <v>6.1</v>
      </c>
      <c r="K2637" s="4"/>
      <c r="P2637" s="5"/>
      <c r="Q2637" s="24"/>
    </row>
    <row r="2638" ht="14.25" customHeight="1">
      <c r="A2638" s="1">
        <v>97.0</v>
      </c>
      <c r="B2638" s="1">
        <v>6.1</v>
      </c>
      <c r="K2638" s="4"/>
      <c r="P2638" s="5"/>
      <c r="Q2638" s="24"/>
    </row>
    <row r="2639" ht="14.25" customHeight="1">
      <c r="A2639" s="1">
        <v>97.0</v>
      </c>
      <c r="B2639" s="1">
        <v>6.1</v>
      </c>
      <c r="K2639" s="4"/>
      <c r="P2639" s="5"/>
      <c r="Q2639" s="24"/>
    </row>
    <row r="2640" ht="14.25" customHeight="1">
      <c r="A2640" s="1">
        <v>97.0</v>
      </c>
      <c r="B2640" s="1">
        <v>6.1</v>
      </c>
      <c r="K2640" s="4"/>
      <c r="P2640" s="5"/>
      <c r="Q2640" s="24"/>
    </row>
    <row r="2641" ht="14.25" customHeight="1">
      <c r="A2641" s="1">
        <v>97.0</v>
      </c>
      <c r="B2641" s="1">
        <v>6.1</v>
      </c>
      <c r="K2641" s="4"/>
      <c r="P2641" s="5"/>
      <c r="Q2641" s="24"/>
    </row>
    <row r="2642" ht="14.25" customHeight="1">
      <c r="A2642" s="1">
        <v>96.0</v>
      </c>
      <c r="B2642" s="1">
        <v>6.1</v>
      </c>
      <c r="K2642" s="4"/>
      <c r="P2642" s="5"/>
      <c r="Q2642" s="24"/>
    </row>
    <row r="2643" ht="14.25" customHeight="1">
      <c r="A2643" s="1">
        <v>96.0</v>
      </c>
      <c r="B2643" s="1">
        <v>6.1</v>
      </c>
      <c r="K2643" s="4"/>
      <c r="P2643" s="5"/>
      <c r="Q2643" s="24"/>
    </row>
    <row r="2644" ht="14.25" customHeight="1">
      <c r="A2644" s="1">
        <v>96.0</v>
      </c>
      <c r="B2644" s="1">
        <v>6.1</v>
      </c>
      <c r="K2644" s="4"/>
      <c r="P2644" s="5"/>
      <c r="Q2644" s="24"/>
    </row>
    <row r="2645" ht="14.25" customHeight="1">
      <c r="A2645" s="1">
        <v>96.0</v>
      </c>
      <c r="B2645" s="1">
        <v>6.1</v>
      </c>
      <c r="K2645" s="4"/>
      <c r="P2645" s="5"/>
      <c r="Q2645" s="24"/>
    </row>
    <row r="2646" ht="14.25" customHeight="1">
      <c r="A2646" s="1">
        <v>95.0</v>
      </c>
      <c r="B2646" s="1">
        <v>6.1</v>
      </c>
      <c r="K2646" s="4"/>
      <c r="P2646" s="5"/>
      <c r="Q2646" s="24"/>
    </row>
    <row r="2647" ht="14.25" customHeight="1">
      <c r="A2647" s="1">
        <v>95.0</v>
      </c>
      <c r="B2647" s="1">
        <v>6.1</v>
      </c>
      <c r="K2647" s="4"/>
      <c r="P2647" s="5"/>
      <c r="Q2647" s="24"/>
    </row>
    <row r="2648" ht="14.25" customHeight="1">
      <c r="A2648" s="1">
        <v>95.0</v>
      </c>
      <c r="B2648" s="1">
        <v>6.1</v>
      </c>
      <c r="K2648" s="4"/>
      <c r="P2648" s="5"/>
      <c r="Q2648" s="24"/>
    </row>
    <row r="2649" ht="14.25" customHeight="1">
      <c r="A2649" s="1">
        <v>94.0</v>
      </c>
      <c r="B2649" s="1">
        <v>6.1</v>
      </c>
      <c r="K2649" s="4"/>
      <c r="P2649" s="5"/>
      <c r="Q2649" s="24"/>
    </row>
    <row r="2650" ht="14.25" customHeight="1">
      <c r="A2650" s="1">
        <v>94.0</v>
      </c>
      <c r="B2650" s="1">
        <v>6.1</v>
      </c>
      <c r="K2650" s="4"/>
      <c r="P2650" s="5"/>
      <c r="Q2650" s="24"/>
    </row>
    <row r="2651" ht="14.25" customHeight="1">
      <c r="A2651" s="1">
        <v>94.0</v>
      </c>
      <c r="B2651" s="1">
        <v>6.1</v>
      </c>
      <c r="K2651" s="4"/>
      <c r="P2651" s="5"/>
      <c r="Q2651" s="24"/>
    </row>
    <row r="2652" ht="14.25" customHeight="1">
      <c r="A2652" s="1">
        <v>94.0</v>
      </c>
      <c r="B2652" s="1">
        <v>6.1</v>
      </c>
      <c r="K2652" s="4"/>
      <c r="P2652" s="5"/>
      <c r="Q2652" s="24"/>
    </row>
    <row r="2653" ht="14.25" customHeight="1">
      <c r="A2653" s="1">
        <v>93.0</v>
      </c>
      <c r="B2653" s="1">
        <v>6.1</v>
      </c>
      <c r="K2653" s="4"/>
      <c r="P2653" s="5"/>
      <c r="Q2653" s="24"/>
    </row>
    <row r="2654" ht="14.25" customHeight="1">
      <c r="A2654" s="1">
        <v>93.0</v>
      </c>
      <c r="B2654" s="1">
        <v>6.1</v>
      </c>
      <c r="K2654" s="4"/>
      <c r="P2654" s="5"/>
      <c r="Q2654" s="24"/>
    </row>
    <row r="2655" ht="14.25" customHeight="1">
      <c r="A2655" s="1">
        <v>93.0</v>
      </c>
      <c r="B2655" s="1">
        <v>6.1</v>
      </c>
      <c r="K2655" s="4"/>
      <c r="P2655" s="5"/>
      <c r="Q2655" s="24"/>
    </row>
    <row r="2656" ht="14.25" customHeight="1">
      <c r="A2656" s="1">
        <v>93.0</v>
      </c>
      <c r="B2656" s="1">
        <v>6.1</v>
      </c>
      <c r="K2656" s="4"/>
      <c r="P2656" s="5"/>
      <c r="Q2656" s="24"/>
    </row>
    <row r="2657" ht="14.25" customHeight="1">
      <c r="A2657" s="1">
        <v>92.0</v>
      </c>
      <c r="B2657" s="1">
        <v>6.1</v>
      </c>
      <c r="K2657" s="4"/>
      <c r="P2657" s="5"/>
      <c r="Q2657" s="24"/>
    </row>
    <row r="2658" ht="14.25" customHeight="1">
      <c r="A2658" s="1">
        <v>91.0</v>
      </c>
      <c r="B2658" s="1">
        <v>6.1</v>
      </c>
      <c r="K2658" s="4"/>
      <c r="P2658" s="5"/>
      <c r="Q2658" s="24"/>
    </row>
    <row r="2659" ht="14.25" customHeight="1">
      <c r="A2659" s="1">
        <v>91.0</v>
      </c>
      <c r="B2659" s="1">
        <v>6.1</v>
      </c>
      <c r="K2659" s="4"/>
      <c r="P2659" s="5"/>
      <c r="Q2659" s="24"/>
    </row>
    <row r="2660" ht="14.25" customHeight="1">
      <c r="A2660" s="1">
        <v>90.0</v>
      </c>
      <c r="B2660" s="1">
        <v>6.1</v>
      </c>
      <c r="K2660" s="4"/>
      <c r="P2660" s="5"/>
      <c r="Q2660" s="24"/>
    </row>
    <row r="2661" ht="14.25" customHeight="1">
      <c r="A2661" s="1">
        <v>90.0</v>
      </c>
      <c r="B2661" s="1">
        <v>6.1</v>
      </c>
      <c r="K2661" s="4"/>
      <c r="P2661" s="5"/>
      <c r="Q2661" s="24"/>
    </row>
    <row r="2662" ht="14.25" customHeight="1">
      <c r="A2662" s="1">
        <v>90.0</v>
      </c>
      <c r="B2662" s="1">
        <v>6.1</v>
      </c>
      <c r="K2662" s="4"/>
      <c r="P2662" s="5"/>
      <c r="Q2662" s="24"/>
    </row>
    <row r="2663" ht="14.25" customHeight="1">
      <c r="A2663" s="1">
        <v>90.0</v>
      </c>
      <c r="B2663" s="1">
        <v>6.1</v>
      </c>
      <c r="K2663" s="4"/>
      <c r="P2663" s="5"/>
      <c r="Q2663" s="24"/>
    </row>
    <row r="2664" ht="14.25" customHeight="1">
      <c r="A2664" s="1">
        <v>90.0</v>
      </c>
      <c r="B2664" s="1">
        <v>6.1</v>
      </c>
      <c r="K2664" s="4"/>
      <c r="P2664" s="5"/>
      <c r="Q2664" s="24"/>
    </row>
    <row r="2665" ht="14.25" customHeight="1">
      <c r="A2665" s="1">
        <v>89.0</v>
      </c>
      <c r="B2665" s="1">
        <v>6.1</v>
      </c>
      <c r="K2665" s="4"/>
      <c r="P2665" s="5"/>
      <c r="Q2665" s="24"/>
    </row>
    <row r="2666" ht="14.25" customHeight="1">
      <c r="A2666" s="1">
        <v>88.0</v>
      </c>
      <c r="B2666" s="1">
        <v>6.1</v>
      </c>
      <c r="K2666" s="4"/>
      <c r="P2666" s="5"/>
      <c r="Q2666" s="24"/>
    </row>
    <row r="2667" ht="14.25" customHeight="1">
      <c r="A2667" s="1">
        <v>88.0</v>
      </c>
      <c r="B2667" s="1">
        <v>6.1</v>
      </c>
      <c r="K2667" s="4"/>
      <c r="P2667" s="5"/>
      <c r="Q2667" s="24"/>
    </row>
    <row r="2668" ht="14.25" customHeight="1">
      <c r="A2668" s="1">
        <v>88.0</v>
      </c>
      <c r="B2668" s="1">
        <v>6.1</v>
      </c>
      <c r="K2668" s="4"/>
      <c r="P2668" s="5"/>
      <c r="Q2668" s="24"/>
    </row>
    <row r="2669" ht="14.25" customHeight="1">
      <c r="A2669" s="1">
        <v>88.0</v>
      </c>
      <c r="B2669" s="1">
        <v>6.1</v>
      </c>
      <c r="K2669" s="4"/>
      <c r="P2669" s="5"/>
      <c r="Q2669" s="24"/>
    </row>
    <row r="2670" ht="14.25" customHeight="1">
      <c r="A2670" s="1">
        <v>87.0</v>
      </c>
      <c r="B2670" s="1">
        <v>6.1</v>
      </c>
      <c r="K2670" s="4"/>
      <c r="P2670" s="5"/>
      <c r="Q2670" s="24"/>
    </row>
    <row r="2671" ht="14.25" customHeight="1">
      <c r="A2671" s="1">
        <v>87.0</v>
      </c>
      <c r="B2671" s="1">
        <v>6.1</v>
      </c>
      <c r="K2671" s="4"/>
      <c r="P2671" s="5"/>
      <c r="Q2671" s="24"/>
    </row>
    <row r="2672" ht="14.25" customHeight="1">
      <c r="A2672" s="1">
        <v>86.0</v>
      </c>
      <c r="B2672" s="1">
        <v>6.1</v>
      </c>
      <c r="K2672" s="4"/>
      <c r="P2672" s="5"/>
      <c r="Q2672" s="24"/>
    </row>
    <row r="2673" ht="14.25" customHeight="1">
      <c r="A2673" s="1">
        <v>86.0</v>
      </c>
      <c r="B2673" s="1">
        <v>6.1</v>
      </c>
      <c r="K2673" s="4"/>
      <c r="P2673" s="5"/>
      <c r="Q2673" s="24"/>
    </row>
    <row r="2674" ht="14.25" customHeight="1">
      <c r="A2674" s="1">
        <v>84.0</v>
      </c>
      <c r="B2674" s="1">
        <v>6.1</v>
      </c>
      <c r="K2674" s="4"/>
      <c r="P2674" s="5"/>
      <c r="Q2674" s="24"/>
    </row>
    <row r="2675" ht="14.25" customHeight="1">
      <c r="A2675" s="1">
        <v>84.0</v>
      </c>
      <c r="B2675" s="1">
        <v>6.1</v>
      </c>
      <c r="K2675" s="4"/>
      <c r="P2675" s="5"/>
      <c r="Q2675" s="24"/>
    </row>
    <row r="2676" ht="14.25" customHeight="1">
      <c r="A2676" s="1">
        <v>83.0</v>
      </c>
      <c r="B2676" s="1">
        <v>6.1</v>
      </c>
      <c r="K2676" s="4"/>
      <c r="P2676" s="5"/>
      <c r="Q2676" s="24"/>
    </row>
    <row r="2677" ht="14.25" customHeight="1">
      <c r="A2677" s="1">
        <v>82.0</v>
      </c>
      <c r="B2677" s="1">
        <v>6.1</v>
      </c>
      <c r="K2677" s="4"/>
      <c r="P2677" s="5"/>
      <c r="Q2677" s="24"/>
    </row>
    <row r="2678" ht="14.25" customHeight="1">
      <c r="A2678" s="1">
        <v>79.0</v>
      </c>
      <c r="B2678" s="1">
        <v>6.1</v>
      </c>
      <c r="K2678" s="4"/>
      <c r="P2678" s="5"/>
      <c r="Q2678" s="24"/>
    </row>
    <row r="2679" ht="14.25" customHeight="1">
      <c r="A2679" s="1">
        <v>78.0</v>
      </c>
      <c r="B2679" s="1">
        <v>6.1</v>
      </c>
      <c r="K2679" s="4"/>
      <c r="P2679" s="5"/>
      <c r="Q2679" s="24"/>
    </row>
    <row r="2680" ht="14.25" customHeight="1">
      <c r="A2680" s="1">
        <v>78.0</v>
      </c>
      <c r="B2680" s="1">
        <v>6.1</v>
      </c>
      <c r="K2680" s="4"/>
      <c r="P2680" s="5"/>
      <c r="Q2680" s="24"/>
    </row>
    <row r="2681" ht="14.25" customHeight="1">
      <c r="A2681" s="1">
        <v>193.0</v>
      </c>
      <c r="B2681" s="1">
        <v>6.0</v>
      </c>
      <c r="K2681" s="4"/>
      <c r="P2681" s="5"/>
      <c r="Q2681" s="24"/>
    </row>
    <row r="2682" ht="14.25" customHeight="1">
      <c r="A2682" s="1">
        <v>177.0</v>
      </c>
      <c r="B2682" s="1">
        <v>6.0</v>
      </c>
      <c r="K2682" s="4"/>
      <c r="P2682" s="5"/>
      <c r="Q2682" s="24"/>
    </row>
    <row r="2683" ht="14.25" customHeight="1">
      <c r="A2683" s="1">
        <v>160.0</v>
      </c>
      <c r="B2683" s="1">
        <v>6.0</v>
      </c>
      <c r="K2683" s="4"/>
      <c r="P2683" s="5"/>
      <c r="Q2683" s="24"/>
    </row>
    <row r="2684" ht="14.25" customHeight="1">
      <c r="A2684" s="1">
        <v>153.0</v>
      </c>
      <c r="B2684" s="1">
        <v>6.0</v>
      </c>
      <c r="K2684" s="4"/>
      <c r="P2684" s="5"/>
      <c r="Q2684" s="24"/>
    </row>
    <row r="2685" ht="14.25" customHeight="1">
      <c r="A2685" s="1">
        <v>150.0</v>
      </c>
      <c r="B2685" s="1">
        <v>6.0</v>
      </c>
      <c r="K2685" s="4"/>
      <c r="P2685" s="5"/>
      <c r="Q2685" s="24"/>
    </row>
    <row r="2686" ht="14.25" customHeight="1">
      <c r="A2686" s="1">
        <v>137.0</v>
      </c>
      <c r="B2686" s="1">
        <v>6.0</v>
      </c>
      <c r="K2686" s="4"/>
      <c r="P2686" s="5"/>
      <c r="Q2686" s="24"/>
    </row>
    <row r="2687" ht="14.25" customHeight="1">
      <c r="A2687" s="1">
        <v>134.0</v>
      </c>
      <c r="B2687" s="1">
        <v>6.0</v>
      </c>
      <c r="K2687" s="4"/>
      <c r="P2687" s="5"/>
      <c r="Q2687" s="24"/>
    </row>
    <row r="2688" ht="14.25" customHeight="1">
      <c r="A2688" s="1">
        <v>130.0</v>
      </c>
      <c r="B2688" s="1">
        <v>6.0</v>
      </c>
      <c r="K2688" s="4"/>
      <c r="P2688" s="5"/>
      <c r="Q2688" s="24"/>
    </row>
    <row r="2689" ht="14.25" customHeight="1">
      <c r="A2689" s="1">
        <v>129.0</v>
      </c>
      <c r="B2689" s="1">
        <v>6.0</v>
      </c>
      <c r="K2689" s="4"/>
      <c r="P2689" s="5"/>
      <c r="Q2689" s="24"/>
    </row>
    <row r="2690" ht="14.25" customHeight="1">
      <c r="A2690" s="1">
        <v>128.0</v>
      </c>
      <c r="B2690" s="1">
        <v>6.0</v>
      </c>
      <c r="K2690" s="4"/>
      <c r="P2690" s="5"/>
      <c r="Q2690" s="24"/>
    </row>
    <row r="2691" ht="14.25" customHeight="1">
      <c r="A2691" s="1">
        <v>127.0</v>
      </c>
      <c r="B2691" s="1">
        <v>6.0</v>
      </c>
      <c r="K2691" s="4"/>
      <c r="P2691" s="5"/>
      <c r="Q2691" s="24"/>
    </row>
    <row r="2692" ht="14.25" customHeight="1">
      <c r="A2692" s="1">
        <v>125.0</v>
      </c>
      <c r="B2692" s="1">
        <v>6.0</v>
      </c>
      <c r="K2692" s="4"/>
      <c r="P2692" s="5"/>
      <c r="Q2692" s="24"/>
    </row>
    <row r="2693" ht="14.25" customHeight="1">
      <c r="A2693" s="1">
        <v>124.0</v>
      </c>
      <c r="B2693" s="1">
        <v>6.0</v>
      </c>
      <c r="K2693" s="4"/>
      <c r="P2693" s="5"/>
      <c r="Q2693" s="24"/>
    </row>
    <row r="2694" ht="14.25" customHeight="1">
      <c r="A2694" s="1">
        <v>124.0</v>
      </c>
      <c r="B2694" s="1">
        <v>6.0</v>
      </c>
      <c r="K2694" s="4"/>
      <c r="P2694" s="5"/>
      <c r="Q2694" s="24"/>
    </row>
    <row r="2695" ht="14.25" customHeight="1">
      <c r="A2695" s="1">
        <v>123.0</v>
      </c>
      <c r="B2695" s="1">
        <v>6.0</v>
      </c>
      <c r="K2695" s="4"/>
      <c r="P2695" s="5"/>
      <c r="Q2695" s="24"/>
    </row>
    <row r="2696" ht="14.25" customHeight="1">
      <c r="A2696" s="1">
        <v>121.0</v>
      </c>
      <c r="B2696" s="1">
        <v>6.0</v>
      </c>
      <c r="K2696" s="4"/>
      <c r="P2696" s="5"/>
      <c r="Q2696" s="24"/>
    </row>
    <row r="2697" ht="14.25" customHeight="1">
      <c r="A2697" s="1">
        <v>121.0</v>
      </c>
      <c r="B2697" s="1">
        <v>6.0</v>
      </c>
      <c r="K2697" s="4"/>
      <c r="P2697" s="5"/>
      <c r="Q2697" s="24"/>
    </row>
    <row r="2698" ht="14.25" customHeight="1">
      <c r="A2698" s="1">
        <v>119.0</v>
      </c>
      <c r="B2698" s="1">
        <v>6.0</v>
      </c>
      <c r="K2698" s="4"/>
      <c r="P2698" s="5"/>
      <c r="Q2698" s="24"/>
    </row>
    <row r="2699" ht="14.25" customHeight="1">
      <c r="A2699" s="1">
        <v>118.0</v>
      </c>
      <c r="B2699" s="1">
        <v>6.0</v>
      </c>
      <c r="K2699" s="4"/>
      <c r="P2699" s="5"/>
      <c r="Q2699" s="24"/>
    </row>
    <row r="2700" ht="14.25" customHeight="1">
      <c r="A2700" s="1">
        <v>118.0</v>
      </c>
      <c r="B2700" s="1">
        <v>6.0</v>
      </c>
      <c r="K2700" s="4"/>
      <c r="P2700" s="5"/>
      <c r="Q2700" s="24"/>
    </row>
    <row r="2701" ht="14.25" customHeight="1">
      <c r="A2701" s="1">
        <v>118.0</v>
      </c>
      <c r="B2701" s="1">
        <v>6.0</v>
      </c>
      <c r="K2701" s="4"/>
      <c r="P2701" s="5"/>
      <c r="Q2701" s="24"/>
    </row>
    <row r="2702" ht="14.25" customHeight="1">
      <c r="A2702" s="1">
        <v>117.0</v>
      </c>
      <c r="B2702" s="1">
        <v>6.0</v>
      </c>
      <c r="K2702" s="4"/>
      <c r="P2702" s="5"/>
      <c r="Q2702" s="24"/>
    </row>
    <row r="2703" ht="14.25" customHeight="1">
      <c r="A2703" s="1">
        <v>117.0</v>
      </c>
      <c r="B2703" s="1">
        <v>6.0</v>
      </c>
      <c r="K2703" s="4"/>
      <c r="P2703" s="5"/>
      <c r="Q2703" s="24"/>
    </row>
    <row r="2704" ht="14.25" customHeight="1">
      <c r="A2704" s="1">
        <v>117.0</v>
      </c>
      <c r="B2704" s="1">
        <v>6.0</v>
      </c>
      <c r="K2704" s="4"/>
      <c r="P2704" s="5"/>
      <c r="Q2704" s="24"/>
    </row>
    <row r="2705" ht="14.25" customHeight="1">
      <c r="A2705" s="1">
        <v>116.0</v>
      </c>
      <c r="B2705" s="1">
        <v>6.0</v>
      </c>
      <c r="K2705" s="4"/>
      <c r="P2705" s="5"/>
      <c r="Q2705" s="24"/>
    </row>
    <row r="2706" ht="14.25" customHeight="1">
      <c r="A2706" s="1">
        <v>116.0</v>
      </c>
      <c r="B2706" s="1">
        <v>6.0</v>
      </c>
      <c r="K2706" s="4"/>
      <c r="P2706" s="5"/>
      <c r="Q2706" s="24"/>
    </row>
    <row r="2707" ht="14.25" customHeight="1">
      <c r="A2707" s="1">
        <v>115.0</v>
      </c>
      <c r="B2707" s="1">
        <v>6.0</v>
      </c>
      <c r="K2707" s="4"/>
      <c r="P2707" s="5"/>
      <c r="Q2707" s="24"/>
    </row>
    <row r="2708" ht="14.25" customHeight="1">
      <c r="A2708" s="1">
        <v>114.0</v>
      </c>
      <c r="B2708" s="1">
        <v>6.0</v>
      </c>
      <c r="K2708" s="4"/>
      <c r="P2708" s="5"/>
      <c r="Q2708" s="24"/>
    </row>
    <row r="2709" ht="14.25" customHeight="1">
      <c r="A2709" s="1">
        <v>114.0</v>
      </c>
      <c r="B2709" s="1">
        <v>6.0</v>
      </c>
      <c r="K2709" s="4"/>
      <c r="P2709" s="5"/>
      <c r="Q2709" s="24"/>
    </row>
    <row r="2710" ht="14.25" customHeight="1">
      <c r="A2710" s="1">
        <v>114.0</v>
      </c>
      <c r="B2710" s="1">
        <v>6.0</v>
      </c>
      <c r="K2710" s="4"/>
      <c r="P2710" s="5"/>
      <c r="Q2710" s="24"/>
    </row>
    <row r="2711" ht="14.25" customHeight="1">
      <c r="A2711" s="1">
        <v>113.0</v>
      </c>
      <c r="B2711" s="1">
        <v>6.0</v>
      </c>
      <c r="K2711" s="4"/>
      <c r="P2711" s="5"/>
      <c r="Q2711" s="24"/>
    </row>
    <row r="2712" ht="14.25" customHeight="1">
      <c r="A2712" s="1">
        <v>113.0</v>
      </c>
      <c r="B2712" s="1">
        <v>6.0</v>
      </c>
      <c r="K2712" s="4"/>
      <c r="P2712" s="5"/>
      <c r="Q2712" s="24"/>
    </row>
    <row r="2713" ht="14.25" customHeight="1">
      <c r="A2713" s="1">
        <v>112.0</v>
      </c>
      <c r="B2713" s="1">
        <v>6.0</v>
      </c>
      <c r="K2713" s="4"/>
      <c r="P2713" s="5"/>
      <c r="Q2713" s="24"/>
    </row>
    <row r="2714" ht="14.25" customHeight="1">
      <c r="A2714" s="1">
        <v>112.0</v>
      </c>
      <c r="B2714" s="1">
        <v>6.0</v>
      </c>
      <c r="K2714" s="4"/>
      <c r="P2714" s="5"/>
      <c r="Q2714" s="24"/>
    </row>
    <row r="2715" ht="14.25" customHeight="1">
      <c r="A2715" s="1">
        <v>111.0</v>
      </c>
      <c r="B2715" s="1">
        <v>6.0</v>
      </c>
      <c r="K2715" s="4"/>
      <c r="P2715" s="5"/>
      <c r="Q2715" s="24"/>
    </row>
    <row r="2716" ht="14.25" customHeight="1">
      <c r="A2716" s="1">
        <v>111.0</v>
      </c>
      <c r="B2716" s="1">
        <v>6.0</v>
      </c>
      <c r="K2716" s="4"/>
      <c r="P2716" s="5"/>
      <c r="Q2716" s="24"/>
    </row>
    <row r="2717" ht="14.25" customHeight="1">
      <c r="A2717" s="1">
        <v>111.0</v>
      </c>
      <c r="B2717" s="1">
        <v>6.0</v>
      </c>
      <c r="K2717" s="4"/>
      <c r="P2717" s="5"/>
      <c r="Q2717" s="24"/>
    </row>
    <row r="2718" ht="14.25" customHeight="1">
      <c r="A2718" s="1">
        <v>111.0</v>
      </c>
      <c r="B2718" s="1">
        <v>6.0</v>
      </c>
      <c r="K2718" s="4"/>
      <c r="P2718" s="5"/>
      <c r="Q2718" s="24"/>
    </row>
    <row r="2719" ht="14.25" customHeight="1">
      <c r="A2719" s="1">
        <v>110.0</v>
      </c>
      <c r="B2719" s="1">
        <v>6.0</v>
      </c>
      <c r="K2719" s="4"/>
      <c r="P2719" s="5"/>
      <c r="Q2719" s="24"/>
    </row>
    <row r="2720" ht="14.25" customHeight="1">
      <c r="A2720" s="1">
        <v>110.0</v>
      </c>
      <c r="B2720" s="1">
        <v>6.0</v>
      </c>
      <c r="K2720" s="4"/>
      <c r="P2720" s="5"/>
      <c r="Q2720" s="24"/>
    </row>
    <row r="2721" ht="14.25" customHeight="1">
      <c r="A2721" s="1">
        <v>110.0</v>
      </c>
      <c r="B2721" s="1">
        <v>6.0</v>
      </c>
      <c r="K2721" s="4"/>
      <c r="P2721" s="5"/>
      <c r="Q2721" s="24"/>
    </row>
    <row r="2722" ht="14.25" customHeight="1">
      <c r="A2722" s="1">
        <v>110.0</v>
      </c>
      <c r="B2722" s="1">
        <v>6.0</v>
      </c>
      <c r="K2722" s="4"/>
      <c r="P2722" s="5"/>
      <c r="Q2722" s="24"/>
    </row>
    <row r="2723" ht="14.25" customHeight="1">
      <c r="A2723" s="1">
        <v>109.0</v>
      </c>
      <c r="B2723" s="1">
        <v>6.0</v>
      </c>
      <c r="K2723" s="4"/>
      <c r="P2723" s="5"/>
      <c r="Q2723" s="24"/>
    </row>
    <row r="2724" ht="14.25" customHeight="1">
      <c r="A2724" s="1">
        <v>109.0</v>
      </c>
      <c r="B2724" s="1">
        <v>6.0</v>
      </c>
      <c r="K2724" s="4"/>
      <c r="P2724" s="5"/>
      <c r="Q2724" s="24"/>
    </row>
    <row r="2725" ht="14.25" customHeight="1">
      <c r="A2725" s="1">
        <v>109.0</v>
      </c>
      <c r="B2725" s="1">
        <v>6.0</v>
      </c>
      <c r="K2725" s="4"/>
      <c r="P2725" s="5"/>
      <c r="Q2725" s="24"/>
    </row>
    <row r="2726" ht="14.25" customHeight="1">
      <c r="A2726" s="1">
        <v>109.0</v>
      </c>
      <c r="B2726" s="1">
        <v>6.0</v>
      </c>
      <c r="K2726" s="4"/>
      <c r="P2726" s="5"/>
      <c r="Q2726" s="24"/>
    </row>
    <row r="2727" ht="14.25" customHeight="1">
      <c r="A2727" s="1">
        <v>108.0</v>
      </c>
      <c r="B2727" s="1">
        <v>6.0</v>
      </c>
      <c r="K2727" s="4"/>
      <c r="P2727" s="5"/>
      <c r="Q2727" s="24"/>
    </row>
    <row r="2728" ht="14.25" customHeight="1">
      <c r="A2728" s="1">
        <v>108.0</v>
      </c>
      <c r="B2728" s="1">
        <v>6.0</v>
      </c>
      <c r="K2728" s="4"/>
      <c r="P2728" s="5"/>
      <c r="Q2728" s="24"/>
    </row>
    <row r="2729" ht="14.25" customHeight="1">
      <c r="A2729" s="1">
        <v>107.0</v>
      </c>
      <c r="B2729" s="1">
        <v>6.0</v>
      </c>
      <c r="K2729" s="4"/>
      <c r="P2729" s="5"/>
      <c r="Q2729" s="24"/>
    </row>
    <row r="2730" ht="14.25" customHeight="1">
      <c r="A2730" s="1">
        <v>107.0</v>
      </c>
      <c r="B2730" s="1">
        <v>6.0</v>
      </c>
      <c r="K2730" s="4"/>
      <c r="P2730" s="5"/>
      <c r="Q2730" s="24"/>
    </row>
    <row r="2731" ht="14.25" customHeight="1">
      <c r="A2731" s="1">
        <v>107.0</v>
      </c>
      <c r="B2731" s="1">
        <v>6.0</v>
      </c>
      <c r="K2731" s="4"/>
      <c r="P2731" s="5"/>
      <c r="Q2731" s="24"/>
    </row>
    <row r="2732" ht="14.25" customHeight="1">
      <c r="A2732" s="1">
        <v>106.0</v>
      </c>
      <c r="B2732" s="1">
        <v>6.0</v>
      </c>
      <c r="K2732" s="4"/>
      <c r="P2732" s="5"/>
      <c r="Q2732" s="24"/>
    </row>
    <row r="2733" ht="14.25" customHeight="1">
      <c r="A2733" s="1">
        <v>106.0</v>
      </c>
      <c r="B2733" s="1">
        <v>6.0</v>
      </c>
      <c r="K2733" s="4"/>
      <c r="P2733" s="5"/>
      <c r="Q2733" s="24"/>
    </row>
    <row r="2734" ht="14.25" customHeight="1">
      <c r="A2734" s="1">
        <v>106.0</v>
      </c>
      <c r="B2734" s="1">
        <v>6.0</v>
      </c>
      <c r="K2734" s="4"/>
      <c r="P2734" s="5"/>
      <c r="Q2734" s="24"/>
    </row>
    <row r="2735" ht="14.25" customHeight="1">
      <c r="A2735" s="1">
        <v>106.0</v>
      </c>
      <c r="B2735" s="1">
        <v>6.0</v>
      </c>
      <c r="K2735" s="4"/>
      <c r="P2735" s="5"/>
      <c r="Q2735" s="24"/>
    </row>
    <row r="2736" ht="14.25" customHeight="1">
      <c r="A2736" s="1">
        <v>105.0</v>
      </c>
      <c r="B2736" s="1">
        <v>6.0</v>
      </c>
      <c r="K2736" s="4"/>
      <c r="P2736" s="5"/>
      <c r="Q2736" s="24"/>
    </row>
    <row r="2737" ht="14.25" customHeight="1">
      <c r="A2737" s="1">
        <v>104.0</v>
      </c>
      <c r="B2737" s="1">
        <v>6.0</v>
      </c>
      <c r="K2737" s="4"/>
      <c r="P2737" s="5"/>
      <c r="Q2737" s="24"/>
    </row>
    <row r="2738" ht="14.25" customHeight="1">
      <c r="A2738" s="1">
        <v>104.0</v>
      </c>
      <c r="B2738" s="1">
        <v>6.0</v>
      </c>
      <c r="K2738" s="4"/>
      <c r="P2738" s="5"/>
      <c r="Q2738" s="24"/>
    </row>
    <row r="2739" ht="14.25" customHeight="1">
      <c r="A2739" s="1">
        <v>103.0</v>
      </c>
      <c r="B2739" s="1">
        <v>6.0</v>
      </c>
      <c r="K2739" s="4"/>
      <c r="P2739" s="5"/>
      <c r="Q2739" s="24"/>
    </row>
    <row r="2740" ht="14.25" customHeight="1">
      <c r="A2740" s="1">
        <v>103.0</v>
      </c>
      <c r="B2740" s="1">
        <v>6.0</v>
      </c>
      <c r="K2740" s="4"/>
      <c r="P2740" s="5"/>
      <c r="Q2740" s="24"/>
    </row>
    <row r="2741" ht="14.25" customHeight="1">
      <c r="A2741" s="1">
        <v>103.0</v>
      </c>
      <c r="B2741" s="1">
        <v>6.0</v>
      </c>
      <c r="K2741" s="4"/>
      <c r="P2741" s="5"/>
      <c r="Q2741" s="24"/>
    </row>
    <row r="2742" ht="14.25" customHeight="1">
      <c r="A2742" s="1">
        <v>103.0</v>
      </c>
      <c r="B2742" s="1">
        <v>6.0</v>
      </c>
      <c r="K2742" s="4"/>
      <c r="P2742" s="5"/>
      <c r="Q2742" s="24"/>
    </row>
    <row r="2743" ht="14.25" customHeight="1">
      <c r="A2743" s="1">
        <v>102.0</v>
      </c>
      <c r="B2743" s="1">
        <v>6.0</v>
      </c>
      <c r="K2743" s="4"/>
      <c r="P2743" s="5"/>
      <c r="Q2743" s="24"/>
    </row>
    <row r="2744" ht="14.25" customHeight="1">
      <c r="A2744" s="1">
        <v>102.0</v>
      </c>
      <c r="B2744" s="1">
        <v>6.0</v>
      </c>
      <c r="K2744" s="4"/>
      <c r="P2744" s="5"/>
      <c r="Q2744" s="24"/>
    </row>
    <row r="2745" ht="14.25" customHeight="1">
      <c r="A2745" s="1">
        <v>101.0</v>
      </c>
      <c r="B2745" s="1">
        <v>6.0</v>
      </c>
      <c r="K2745" s="4"/>
      <c r="P2745" s="5"/>
      <c r="Q2745" s="24"/>
    </row>
    <row r="2746" ht="14.25" customHeight="1">
      <c r="A2746" s="1">
        <v>101.0</v>
      </c>
      <c r="B2746" s="1">
        <v>6.0</v>
      </c>
      <c r="K2746" s="4"/>
      <c r="P2746" s="5"/>
      <c r="Q2746" s="24"/>
    </row>
    <row r="2747" ht="14.25" customHeight="1">
      <c r="A2747" s="1">
        <v>101.0</v>
      </c>
      <c r="B2747" s="1">
        <v>6.0</v>
      </c>
      <c r="K2747" s="4"/>
      <c r="P2747" s="5"/>
      <c r="Q2747" s="24"/>
    </row>
    <row r="2748" ht="14.25" customHeight="1">
      <c r="A2748" s="1">
        <v>100.0</v>
      </c>
      <c r="B2748" s="1">
        <v>6.0</v>
      </c>
      <c r="K2748" s="4"/>
      <c r="P2748" s="5"/>
      <c r="Q2748" s="24"/>
    </row>
    <row r="2749" ht="14.25" customHeight="1">
      <c r="A2749" s="1">
        <v>99.0</v>
      </c>
      <c r="B2749" s="1">
        <v>6.0</v>
      </c>
      <c r="K2749" s="4"/>
      <c r="P2749" s="5"/>
      <c r="Q2749" s="24"/>
    </row>
    <row r="2750" ht="14.25" customHeight="1">
      <c r="A2750" s="1">
        <v>99.0</v>
      </c>
      <c r="B2750" s="1">
        <v>6.0</v>
      </c>
      <c r="K2750" s="4"/>
      <c r="P2750" s="5"/>
      <c r="Q2750" s="24"/>
    </row>
    <row r="2751" ht="14.25" customHeight="1">
      <c r="A2751" s="1">
        <v>99.0</v>
      </c>
      <c r="B2751" s="1">
        <v>6.0</v>
      </c>
      <c r="K2751" s="4"/>
      <c r="P2751" s="5"/>
      <c r="Q2751" s="24"/>
    </row>
    <row r="2752" ht="14.25" customHeight="1">
      <c r="A2752" s="1">
        <v>99.0</v>
      </c>
      <c r="B2752" s="1">
        <v>6.0</v>
      </c>
      <c r="K2752" s="4"/>
      <c r="P2752" s="5"/>
      <c r="Q2752" s="24"/>
    </row>
    <row r="2753" ht="14.25" customHeight="1">
      <c r="A2753" s="1">
        <v>98.0</v>
      </c>
      <c r="B2753" s="1">
        <v>6.0</v>
      </c>
      <c r="K2753" s="4"/>
      <c r="P2753" s="5"/>
      <c r="Q2753" s="24"/>
    </row>
    <row r="2754" ht="14.25" customHeight="1">
      <c r="A2754" s="1">
        <v>98.0</v>
      </c>
      <c r="B2754" s="1">
        <v>6.0</v>
      </c>
      <c r="K2754" s="4"/>
      <c r="P2754" s="5"/>
      <c r="Q2754" s="24"/>
    </row>
    <row r="2755" ht="14.25" customHeight="1">
      <c r="A2755" s="1">
        <v>97.0</v>
      </c>
      <c r="B2755" s="1">
        <v>6.0</v>
      </c>
      <c r="K2755" s="4"/>
      <c r="P2755" s="5"/>
      <c r="Q2755" s="24"/>
    </row>
    <row r="2756" ht="14.25" customHeight="1">
      <c r="A2756" s="1">
        <v>96.0</v>
      </c>
      <c r="B2756" s="1">
        <v>6.0</v>
      </c>
      <c r="K2756" s="4"/>
      <c r="P2756" s="5"/>
      <c r="Q2756" s="24"/>
    </row>
    <row r="2757" ht="14.25" customHeight="1">
      <c r="A2757" s="1">
        <v>96.0</v>
      </c>
      <c r="B2757" s="1">
        <v>6.0</v>
      </c>
      <c r="K2757" s="4"/>
      <c r="P2757" s="5"/>
      <c r="Q2757" s="24"/>
    </row>
    <row r="2758" ht="14.25" customHeight="1">
      <c r="A2758" s="1">
        <v>96.0</v>
      </c>
      <c r="B2758" s="1">
        <v>6.0</v>
      </c>
      <c r="K2758" s="4"/>
      <c r="P2758" s="5"/>
      <c r="Q2758" s="24"/>
    </row>
    <row r="2759" ht="14.25" customHeight="1">
      <c r="A2759" s="1">
        <v>95.0</v>
      </c>
      <c r="B2759" s="1">
        <v>6.0</v>
      </c>
      <c r="K2759" s="4"/>
      <c r="P2759" s="5"/>
      <c r="Q2759" s="24"/>
    </row>
    <row r="2760" ht="14.25" customHeight="1">
      <c r="A2760" s="1">
        <v>94.0</v>
      </c>
      <c r="B2760" s="1">
        <v>6.0</v>
      </c>
      <c r="K2760" s="4"/>
      <c r="P2760" s="5"/>
      <c r="Q2760" s="24"/>
    </row>
    <row r="2761" ht="14.25" customHeight="1">
      <c r="A2761" s="1">
        <v>94.0</v>
      </c>
      <c r="B2761" s="1">
        <v>6.0</v>
      </c>
      <c r="K2761" s="4"/>
      <c r="P2761" s="5"/>
      <c r="Q2761" s="24"/>
    </row>
    <row r="2762" ht="14.25" customHeight="1">
      <c r="A2762" s="1">
        <v>94.0</v>
      </c>
      <c r="B2762" s="1">
        <v>6.0</v>
      </c>
      <c r="K2762" s="4"/>
      <c r="P2762" s="5"/>
      <c r="Q2762" s="24"/>
    </row>
    <row r="2763" ht="14.25" customHeight="1">
      <c r="A2763" s="1">
        <v>94.0</v>
      </c>
      <c r="B2763" s="1">
        <v>6.0</v>
      </c>
      <c r="K2763" s="4"/>
      <c r="P2763" s="5"/>
      <c r="Q2763" s="24"/>
    </row>
    <row r="2764" ht="14.25" customHeight="1">
      <c r="A2764" s="1">
        <v>93.0</v>
      </c>
      <c r="B2764" s="1">
        <v>6.0</v>
      </c>
      <c r="K2764" s="4"/>
      <c r="P2764" s="5"/>
      <c r="Q2764" s="24"/>
    </row>
    <row r="2765" ht="14.25" customHeight="1">
      <c r="A2765" s="1">
        <v>93.0</v>
      </c>
      <c r="B2765" s="1">
        <v>6.0</v>
      </c>
      <c r="K2765" s="4"/>
      <c r="P2765" s="5"/>
      <c r="Q2765" s="24"/>
    </row>
    <row r="2766" ht="14.25" customHeight="1">
      <c r="A2766" s="1">
        <v>92.0</v>
      </c>
      <c r="B2766" s="1">
        <v>6.0</v>
      </c>
      <c r="K2766" s="4"/>
      <c r="P2766" s="5"/>
      <c r="Q2766" s="24"/>
    </row>
    <row r="2767" ht="14.25" customHeight="1">
      <c r="A2767" s="1">
        <v>92.0</v>
      </c>
      <c r="B2767" s="1">
        <v>6.0</v>
      </c>
      <c r="K2767" s="4"/>
      <c r="P2767" s="5"/>
      <c r="Q2767" s="24"/>
    </row>
    <row r="2768" ht="14.25" customHeight="1">
      <c r="A2768" s="1">
        <v>92.0</v>
      </c>
      <c r="B2768" s="1">
        <v>6.0</v>
      </c>
      <c r="K2768" s="4"/>
      <c r="P2768" s="5"/>
      <c r="Q2768" s="24"/>
    </row>
    <row r="2769" ht="14.25" customHeight="1">
      <c r="A2769" s="1">
        <v>91.0</v>
      </c>
      <c r="B2769" s="1">
        <v>6.0</v>
      </c>
      <c r="K2769" s="4"/>
      <c r="P2769" s="5"/>
      <c r="Q2769" s="24"/>
    </row>
    <row r="2770" ht="14.25" customHeight="1">
      <c r="A2770" s="1">
        <v>90.0</v>
      </c>
      <c r="B2770" s="1">
        <v>6.0</v>
      </c>
      <c r="K2770" s="4"/>
      <c r="P2770" s="5"/>
      <c r="Q2770" s="24"/>
    </row>
    <row r="2771" ht="14.25" customHeight="1">
      <c r="A2771" s="1">
        <v>90.0</v>
      </c>
      <c r="B2771" s="1">
        <v>6.0</v>
      </c>
      <c r="K2771" s="4"/>
      <c r="P2771" s="5"/>
      <c r="Q2771" s="24"/>
    </row>
    <row r="2772" ht="14.25" customHeight="1">
      <c r="A2772" s="1">
        <v>90.0</v>
      </c>
      <c r="B2772" s="1">
        <v>6.0</v>
      </c>
      <c r="K2772" s="4"/>
      <c r="P2772" s="5"/>
      <c r="Q2772" s="24"/>
    </row>
    <row r="2773" ht="14.25" customHeight="1">
      <c r="A2773" s="1">
        <v>89.0</v>
      </c>
      <c r="B2773" s="1">
        <v>6.0</v>
      </c>
      <c r="K2773" s="4"/>
      <c r="P2773" s="5"/>
      <c r="Q2773" s="24"/>
    </row>
    <row r="2774" ht="14.25" customHeight="1">
      <c r="A2774" s="1">
        <v>88.0</v>
      </c>
      <c r="B2774" s="1">
        <v>6.0</v>
      </c>
      <c r="K2774" s="4"/>
      <c r="P2774" s="5"/>
      <c r="Q2774" s="24"/>
    </row>
    <row r="2775" ht="14.25" customHeight="1">
      <c r="A2775" s="1">
        <v>88.0</v>
      </c>
      <c r="B2775" s="1">
        <v>6.0</v>
      </c>
      <c r="K2775" s="4"/>
      <c r="P2775" s="5"/>
      <c r="Q2775" s="24"/>
    </row>
    <row r="2776" ht="14.25" customHeight="1">
      <c r="A2776" s="1">
        <v>86.0</v>
      </c>
      <c r="B2776" s="1">
        <v>6.0</v>
      </c>
      <c r="K2776" s="4"/>
      <c r="P2776" s="5"/>
      <c r="Q2776" s="24"/>
    </row>
    <row r="2777" ht="14.25" customHeight="1">
      <c r="A2777" s="1">
        <v>85.0</v>
      </c>
      <c r="B2777" s="1">
        <v>6.0</v>
      </c>
      <c r="K2777" s="4"/>
      <c r="P2777" s="5"/>
      <c r="Q2777" s="24"/>
    </row>
    <row r="2778" ht="14.25" customHeight="1">
      <c r="A2778" s="1">
        <v>84.0</v>
      </c>
      <c r="B2778" s="1">
        <v>6.0</v>
      </c>
      <c r="K2778" s="4"/>
      <c r="P2778" s="5"/>
      <c r="Q2778" s="24"/>
    </row>
    <row r="2779" ht="14.25" customHeight="1">
      <c r="A2779" s="1">
        <v>82.0</v>
      </c>
      <c r="B2779" s="1">
        <v>6.0</v>
      </c>
      <c r="K2779" s="4"/>
      <c r="P2779" s="5"/>
      <c r="Q2779" s="24"/>
    </row>
    <row r="2780" ht="14.25" customHeight="1">
      <c r="A2780" s="1">
        <v>82.0</v>
      </c>
      <c r="B2780" s="1">
        <v>6.0</v>
      </c>
      <c r="K2780" s="4"/>
      <c r="P2780" s="5"/>
      <c r="Q2780" s="24"/>
    </row>
    <row r="2781" ht="14.25" customHeight="1">
      <c r="A2781" s="1">
        <v>79.0</v>
      </c>
      <c r="B2781" s="1">
        <v>6.0</v>
      </c>
      <c r="K2781" s="4"/>
      <c r="P2781" s="5"/>
      <c r="Q2781" s="24"/>
    </row>
    <row r="2782" ht="14.25" customHeight="1">
      <c r="A2782" s="1">
        <v>172.0</v>
      </c>
      <c r="B2782" s="1">
        <v>5.9</v>
      </c>
      <c r="K2782" s="4"/>
      <c r="P2782" s="5"/>
      <c r="Q2782" s="24"/>
    </row>
    <row r="2783" ht="14.25" customHeight="1">
      <c r="A2783" s="1">
        <v>136.0</v>
      </c>
      <c r="B2783" s="1">
        <v>5.9</v>
      </c>
      <c r="K2783" s="4"/>
      <c r="P2783" s="5"/>
      <c r="Q2783" s="24"/>
    </row>
    <row r="2784" ht="14.25" customHeight="1">
      <c r="A2784" s="1">
        <v>136.0</v>
      </c>
      <c r="B2784" s="1">
        <v>5.9</v>
      </c>
      <c r="K2784" s="4"/>
      <c r="P2784" s="5"/>
      <c r="Q2784" s="24"/>
    </row>
    <row r="2785" ht="14.25" customHeight="1">
      <c r="A2785" s="1">
        <v>134.0</v>
      </c>
      <c r="B2785" s="1">
        <v>5.9</v>
      </c>
      <c r="K2785" s="4"/>
      <c r="P2785" s="5"/>
      <c r="Q2785" s="24"/>
    </row>
    <row r="2786" ht="14.25" customHeight="1">
      <c r="A2786" s="1">
        <v>131.0</v>
      </c>
      <c r="B2786" s="1">
        <v>5.9</v>
      </c>
      <c r="K2786" s="4"/>
      <c r="P2786" s="5"/>
      <c r="Q2786" s="24"/>
    </row>
    <row r="2787" ht="14.25" customHeight="1">
      <c r="A2787" s="1">
        <v>131.0</v>
      </c>
      <c r="B2787" s="1">
        <v>5.9</v>
      </c>
      <c r="K2787" s="4"/>
      <c r="P2787" s="5"/>
      <c r="Q2787" s="24"/>
    </row>
    <row r="2788" ht="14.25" customHeight="1">
      <c r="A2788" s="1">
        <v>129.0</v>
      </c>
      <c r="B2788" s="1">
        <v>5.9</v>
      </c>
      <c r="K2788" s="4"/>
      <c r="P2788" s="5"/>
      <c r="Q2788" s="24"/>
    </row>
    <row r="2789" ht="14.25" customHeight="1">
      <c r="A2789" s="1">
        <v>128.0</v>
      </c>
      <c r="B2789" s="1">
        <v>5.9</v>
      </c>
      <c r="K2789" s="4"/>
      <c r="P2789" s="5"/>
      <c r="Q2789" s="24"/>
    </row>
    <row r="2790" ht="14.25" customHeight="1">
      <c r="A2790" s="1">
        <v>125.0</v>
      </c>
      <c r="B2790" s="1">
        <v>5.9</v>
      </c>
      <c r="K2790" s="4"/>
      <c r="P2790" s="5"/>
      <c r="Q2790" s="24"/>
    </row>
    <row r="2791" ht="14.25" customHeight="1">
      <c r="A2791" s="1">
        <v>125.0</v>
      </c>
      <c r="B2791" s="1">
        <v>5.9</v>
      </c>
      <c r="K2791" s="4"/>
      <c r="P2791" s="5"/>
      <c r="Q2791" s="24"/>
    </row>
    <row r="2792" ht="14.25" customHeight="1">
      <c r="A2792" s="1">
        <v>125.0</v>
      </c>
      <c r="B2792" s="1">
        <v>5.9</v>
      </c>
      <c r="K2792" s="4"/>
      <c r="P2792" s="5"/>
      <c r="Q2792" s="24"/>
    </row>
    <row r="2793" ht="14.25" customHeight="1">
      <c r="A2793" s="1">
        <v>124.0</v>
      </c>
      <c r="B2793" s="1">
        <v>5.9</v>
      </c>
      <c r="K2793" s="4"/>
      <c r="P2793" s="5"/>
      <c r="Q2793" s="24"/>
    </row>
    <row r="2794" ht="14.25" customHeight="1">
      <c r="A2794" s="1">
        <v>124.0</v>
      </c>
      <c r="B2794" s="1">
        <v>5.9</v>
      </c>
      <c r="K2794" s="4"/>
      <c r="P2794" s="5"/>
      <c r="Q2794" s="24"/>
    </row>
    <row r="2795" ht="14.25" customHeight="1">
      <c r="A2795" s="1">
        <v>124.0</v>
      </c>
      <c r="B2795" s="1">
        <v>5.9</v>
      </c>
      <c r="K2795" s="4"/>
      <c r="P2795" s="5"/>
      <c r="Q2795" s="24"/>
    </row>
    <row r="2796" ht="14.25" customHeight="1">
      <c r="A2796" s="1">
        <v>123.0</v>
      </c>
      <c r="B2796" s="1">
        <v>5.9</v>
      </c>
      <c r="K2796" s="4"/>
      <c r="P2796" s="5"/>
      <c r="Q2796" s="24"/>
    </row>
    <row r="2797" ht="14.25" customHeight="1">
      <c r="A2797" s="1">
        <v>123.0</v>
      </c>
      <c r="B2797" s="1">
        <v>5.9</v>
      </c>
      <c r="K2797" s="4"/>
      <c r="P2797" s="5"/>
      <c r="Q2797" s="24"/>
    </row>
    <row r="2798" ht="14.25" customHeight="1">
      <c r="A2798" s="1">
        <v>122.0</v>
      </c>
      <c r="B2798" s="1">
        <v>5.9</v>
      </c>
      <c r="K2798" s="4"/>
      <c r="P2798" s="5"/>
      <c r="Q2798" s="24"/>
    </row>
    <row r="2799" ht="14.25" customHeight="1">
      <c r="A2799" s="1">
        <v>120.0</v>
      </c>
      <c r="B2799" s="1">
        <v>5.9</v>
      </c>
      <c r="K2799" s="4"/>
      <c r="P2799" s="5"/>
      <c r="Q2799" s="24"/>
    </row>
    <row r="2800" ht="14.25" customHeight="1">
      <c r="A2800" s="1">
        <v>118.0</v>
      </c>
      <c r="B2800" s="1">
        <v>5.9</v>
      </c>
      <c r="K2800" s="4"/>
      <c r="P2800" s="5"/>
      <c r="Q2800" s="24"/>
    </row>
    <row r="2801" ht="14.25" customHeight="1">
      <c r="A2801" s="1">
        <v>118.0</v>
      </c>
      <c r="B2801" s="1">
        <v>5.9</v>
      </c>
      <c r="K2801" s="4"/>
      <c r="P2801" s="5"/>
      <c r="Q2801" s="24"/>
    </row>
    <row r="2802" ht="14.25" customHeight="1">
      <c r="A2802" s="1">
        <v>117.0</v>
      </c>
      <c r="B2802" s="1">
        <v>5.9</v>
      </c>
      <c r="K2802" s="4"/>
      <c r="P2802" s="5"/>
      <c r="Q2802" s="24"/>
    </row>
    <row r="2803" ht="14.25" customHeight="1">
      <c r="A2803" s="1">
        <v>116.0</v>
      </c>
      <c r="B2803" s="1">
        <v>5.9</v>
      </c>
      <c r="K2803" s="4"/>
      <c r="P2803" s="5"/>
      <c r="Q2803" s="24"/>
    </row>
    <row r="2804" ht="14.25" customHeight="1">
      <c r="A2804" s="1">
        <v>114.0</v>
      </c>
      <c r="B2804" s="1">
        <v>5.9</v>
      </c>
      <c r="K2804" s="4"/>
      <c r="P2804" s="5"/>
      <c r="Q2804" s="24"/>
    </row>
    <row r="2805" ht="14.25" customHeight="1">
      <c r="A2805" s="1">
        <v>114.0</v>
      </c>
      <c r="B2805" s="1">
        <v>5.9</v>
      </c>
      <c r="K2805" s="4"/>
      <c r="P2805" s="5"/>
      <c r="Q2805" s="24"/>
    </row>
    <row r="2806" ht="14.25" customHeight="1">
      <c r="A2806" s="1">
        <v>113.0</v>
      </c>
      <c r="B2806" s="1">
        <v>5.9</v>
      </c>
      <c r="K2806" s="4"/>
      <c r="P2806" s="5"/>
      <c r="Q2806" s="24"/>
    </row>
    <row r="2807" ht="14.25" customHeight="1">
      <c r="A2807" s="1">
        <v>112.0</v>
      </c>
      <c r="B2807" s="1">
        <v>5.9</v>
      </c>
      <c r="K2807" s="4"/>
      <c r="P2807" s="5"/>
      <c r="Q2807" s="24"/>
    </row>
    <row r="2808" ht="14.25" customHeight="1">
      <c r="A2808" s="1">
        <v>112.0</v>
      </c>
      <c r="B2808" s="1">
        <v>5.9</v>
      </c>
      <c r="K2808" s="4"/>
      <c r="P2808" s="5"/>
      <c r="Q2808" s="24"/>
    </row>
    <row r="2809" ht="14.25" customHeight="1">
      <c r="A2809" s="1">
        <v>112.0</v>
      </c>
      <c r="B2809" s="1">
        <v>5.9</v>
      </c>
      <c r="K2809" s="4"/>
      <c r="P2809" s="5"/>
      <c r="Q2809" s="24"/>
    </row>
    <row r="2810" ht="14.25" customHeight="1">
      <c r="A2810" s="1">
        <v>111.0</v>
      </c>
      <c r="B2810" s="1">
        <v>5.9</v>
      </c>
      <c r="K2810" s="4"/>
      <c r="P2810" s="5"/>
      <c r="Q2810" s="24"/>
    </row>
    <row r="2811" ht="14.25" customHeight="1">
      <c r="A2811" s="1">
        <v>109.0</v>
      </c>
      <c r="B2811" s="1">
        <v>5.9</v>
      </c>
      <c r="K2811" s="4"/>
      <c r="P2811" s="5"/>
      <c r="Q2811" s="24"/>
    </row>
    <row r="2812" ht="14.25" customHeight="1">
      <c r="A2812" s="1">
        <v>109.0</v>
      </c>
      <c r="B2812" s="1">
        <v>5.9</v>
      </c>
      <c r="K2812" s="4"/>
      <c r="P2812" s="5"/>
      <c r="Q2812" s="24"/>
    </row>
    <row r="2813" ht="14.25" customHeight="1">
      <c r="A2813" s="1">
        <v>108.0</v>
      </c>
      <c r="B2813" s="1">
        <v>5.9</v>
      </c>
      <c r="K2813" s="4"/>
      <c r="P2813" s="5"/>
      <c r="Q2813" s="24"/>
    </row>
    <row r="2814" ht="14.25" customHeight="1">
      <c r="A2814" s="1">
        <v>108.0</v>
      </c>
      <c r="B2814" s="1">
        <v>5.9</v>
      </c>
      <c r="K2814" s="4"/>
      <c r="P2814" s="5"/>
      <c r="Q2814" s="24"/>
    </row>
    <row r="2815" ht="14.25" customHeight="1">
      <c r="A2815" s="1">
        <v>108.0</v>
      </c>
      <c r="B2815" s="1">
        <v>5.9</v>
      </c>
      <c r="K2815" s="4"/>
      <c r="P2815" s="5"/>
      <c r="Q2815" s="24"/>
    </row>
    <row r="2816" ht="14.25" customHeight="1">
      <c r="A2816" s="1">
        <v>108.0</v>
      </c>
      <c r="B2816" s="1">
        <v>5.9</v>
      </c>
      <c r="K2816" s="4"/>
      <c r="P2816" s="5"/>
      <c r="Q2816" s="24"/>
    </row>
    <row r="2817" ht="14.25" customHeight="1">
      <c r="A2817" s="1">
        <v>108.0</v>
      </c>
      <c r="B2817" s="1">
        <v>5.9</v>
      </c>
      <c r="K2817" s="4"/>
      <c r="P2817" s="5"/>
      <c r="Q2817" s="24"/>
    </row>
    <row r="2818" ht="14.25" customHeight="1">
      <c r="A2818" s="1">
        <v>108.0</v>
      </c>
      <c r="B2818" s="1">
        <v>5.9</v>
      </c>
      <c r="K2818" s="4"/>
      <c r="P2818" s="5"/>
      <c r="Q2818" s="24"/>
    </row>
    <row r="2819" ht="14.25" customHeight="1">
      <c r="A2819" s="1">
        <v>107.0</v>
      </c>
      <c r="B2819" s="1">
        <v>5.9</v>
      </c>
      <c r="K2819" s="4"/>
      <c r="P2819" s="5"/>
      <c r="Q2819" s="24"/>
    </row>
    <row r="2820" ht="14.25" customHeight="1">
      <c r="A2820" s="1">
        <v>107.0</v>
      </c>
      <c r="B2820" s="1">
        <v>5.9</v>
      </c>
      <c r="K2820" s="4"/>
      <c r="P2820" s="5"/>
      <c r="Q2820" s="24"/>
    </row>
    <row r="2821" ht="14.25" customHeight="1">
      <c r="A2821" s="1">
        <v>106.0</v>
      </c>
      <c r="B2821" s="1">
        <v>5.9</v>
      </c>
      <c r="K2821" s="4"/>
      <c r="P2821" s="5"/>
      <c r="Q2821" s="24"/>
    </row>
    <row r="2822" ht="14.25" customHeight="1">
      <c r="A2822" s="1">
        <v>105.0</v>
      </c>
      <c r="B2822" s="1">
        <v>5.9</v>
      </c>
      <c r="K2822" s="4"/>
      <c r="P2822" s="5"/>
      <c r="Q2822" s="24"/>
    </row>
    <row r="2823" ht="14.25" customHeight="1">
      <c r="A2823" s="1">
        <v>105.0</v>
      </c>
      <c r="B2823" s="1">
        <v>5.9</v>
      </c>
      <c r="K2823" s="4"/>
      <c r="P2823" s="5"/>
      <c r="Q2823" s="24"/>
    </row>
    <row r="2824" ht="14.25" customHeight="1">
      <c r="A2824" s="1">
        <v>105.0</v>
      </c>
      <c r="B2824" s="1">
        <v>5.9</v>
      </c>
      <c r="K2824" s="4"/>
      <c r="P2824" s="5"/>
      <c r="Q2824" s="24"/>
    </row>
    <row r="2825" ht="14.25" customHeight="1">
      <c r="A2825" s="1">
        <v>104.0</v>
      </c>
      <c r="B2825" s="1">
        <v>5.9</v>
      </c>
      <c r="K2825" s="4"/>
      <c r="P2825" s="5"/>
      <c r="Q2825" s="24"/>
    </row>
    <row r="2826" ht="14.25" customHeight="1">
      <c r="A2826" s="1">
        <v>103.0</v>
      </c>
      <c r="B2826" s="1">
        <v>5.9</v>
      </c>
      <c r="K2826" s="4"/>
      <c r="P2826" s="5"/>
      <c r="Q2826" s="24"/>
    </row>
    <row r="2827" ht="14.25" customHeight="1">
      <c r="A2827" s="1">
        <v>102.0</v>
      </c>
      <c r="B2827" s="1">
        <v>5.9</v>
      </c>
      <c r="K2827" s="4"/>
      <c r="P2827" s="5"/>
      <c r="Q2827" s="24"/>
    </row>
    <row r="2828" ht="14.25" customHeight="1">
      <c r="A2828" s="1">
        <v>102.0</v>
      </c>
      <c r="B2828" s="1">
        <v>5.9</v>
      </c>
      <c r="K2828" s="4"/>
      <c r="P2828" s="5"/>
      <c r="Q2828" s="24"/>
    </row>
    <row r="2829" ht="14.25" customHeight="1">
      <c r="A2829" s="1">
        <v>102.0</v>
      </c>
      <c r="B2829" s="1">
        <v>5.9</v>
      </c>
      <c r="K2829" s="4"/>
      <c r="P2829" s="5"/>
      <c r="Q2829" s="24"/>
    </row>
    <row r="2830" ht="14.25" customHeight="1">
      <c r="A2830" s="1">
        <v>102.0</v>
      </c>
      <c r="B2830" s="1">
        <v>5.9</v>
      </c>
      <c r="K2830" s="4"/>
      <c r="P2830" s="5"/>
      <c r="Q2830" s="24"/>
    </row>
    <row r="2831" ht="14.25" customHeight="1">
      <c r="A2831" s="1">
        <v>101.0</v>
      </c>
      <c r="B2831" s="1">
        <v>5.9</v>
      </c>
      <c r="K2831" s="4"/>
      <c r="P2831" s="5"/>
      <c r="Q2831" s="24"/>
    </row>
    <row r="2832" ht="14.25" customHeight="1">
      <c r="A2832" s="1">
        <v>101.0</v>
      </c>
      <c r="B2832" s="1">
        <v>5.9</v>
      </c>
      <c r="K2832" s="4"/>
      <c r="P2832" s="5"/>
      <c r="Q2832" s="24"/>
    </row>
    <row r="2833" ht="14.25" customHeight="1">
      <c r="A2833" s="1">
        <v>101.0</v>
      </c>
      <c r="B2833" s="1">
        <v>5.9</v>
      </c>
      <c r="K2833" s="4"/>
      <c r="P2833" s="5"/>
      <c r="Q2833" s="24"/>
    </row>
    <row r="2834" ht="14.25" customHeight="1">
      <c r="A2834" s="1">
        <v>101.0</v>
      </c>
      <c r="B2834" s="1">
        <v>5.9</v>
      </c>
      <c r="K2834" s="4"/>
      <c r="P2834" s="5"/>
      <c r="Q2834" s="24"/>
    </row>
    <row r="2835" ht="14.25" customHeight="1">
      <c r="A2835" s="1">
        <v>101.0</v>
      </c>
      <c r="B2835" s="1">
        <v>5.9</v>
      </c>
      <c r="K2835" s="4"/>
      <c r="P2835" s="5"/>
      <c r="Q2835" s="24"/>
    </row>
    <row r="2836" ht="14.25" customHeight="1">
      <c r="A2836" s="1">
        <v>100.0</v>
      </c>
      <c r="B2836" s="1">
        <v>5.9</v>
      </c>
      <c r="K2836" s="4"/>
      <c r="P2836" s="5"/>
      <c r="Q2836" s="24"/>
    </row>
    <row r="2837" ht="14.25" customHeight="1">
      <c r="A2837" s="1">
        <v>100.0</v>
      </c>
      <c r="B2837" s="1">
        <v>5.9</v>
      </c>
      <c r="K2837" s="4"/>
      <c r="P2837" s="5"/>
      <c r="Q2837" s="24"/>
    </row>
    <row r="2838" ht="14.25" customHeight="1">
      <c r="A2838" s="1">
        <v>100.0</v>
      </c>
      <c r="B2838" s="1">
        <v>5.9</v>
      </c>
      <c r="K2838" s="4"/>
      <c r="P2838" s="5"/>
      <c r="Q2838" s="24"/>
    </row>
    <row r="2839" ht="14.25" customHeight="1">
      <c r="A2839" s="1">
        <v>100.0</v>
      </c>
      <c r="B2839" s="1">
        <v>5.9</v>
      </c>
      <c r="K2839" s="4"/>
      <c r="P2839" s="5"/>
      <c r="Q2839" s="24"/>
    </row>
    <row r="2840" ht="14.25" customHeight="1">
      <c r="A2840" s="1">
        <v>100.0</v>
      </c>
      <c r="B2840" s="1">
        <v>5.9</v>
      </c>
      <c r="K2840" s="4"/>
      <c r="P2840" s="5"/>
      <c r="Q2840" s="24"/>
    </row>
    <row r="2841" ht="14.25" customHeight="1">
      <c r="A2841" s="1">
        <v>100.0</v>
      </c>
      <c r="B2841" s="1">
        <v>5.9</v>
      </c>
      <c r="K2841" s="4"/>
      <c r="P2841" s="5"/>
      <c r="Q2841" s="24"/>
    </row>
    <row r="2842" ht="14.25" customHeight="1">
      <c r="A2842" s="1">
        <v>99.0</v>
      </c>
      <c r="B2842" s="1">
        <v>5.9</v>
      </c>
      <c r="K2842" s="4"/>
      <c r="P2842" s="5"/>
      <c r="Q2842" s="24"/>
    </row>
    <row r="2843" ht="14.25" customHeight="1">
      <c r="A2843" s="1">
        <v>99.0</v>
      </c>
      <c r="B2843" s="1">
        <v>5.9</v>
      </c>
      <c r="K2843" s="4"/>
      <c r="P2843" s="5"/>
      <c r="Q2843" s="24"/>
    </row>
    <row r="2844" ht="14.25" customHeight="1">
      <c r="A2844" s="1">
        <v>99.0</v>
      </c>
      <c r="B2844" s="1">
        <v>5.9</v>
      </c>
      <c r="K2844" s="4"/>
      <c r="P2844" s="5"/>
      <c r="Q2844" s="24"/>
    </row>
    <row r="2845" ht="14.25" customHeight="1">
      <c r="A2845" s="1">
        <v>99.0</v>
      </c>
      <c r="B2845" s="1">
        <v>5.9</v>
      </c>
      <c r="K2845" s="4"/>
      <c r="P2845" s="5"/>
      <c r="Q2845" s="24"/>
    </row>
    <row r="2846" ht="14.25" customHeight="1">
      <c r="A2846" s="1">
        <v>99.0</v>
      </c>
      <c r="B2846" s="1">
        <v>5.9</v>
      </c>
      <c r="K2846" s="4"/>
      <c r="P2846" s="5"/>
      <c r="Q2846" s="24"/>
    </row>
    <row r="2847" ht="14.25" customHeight="1">
      <c r="A2847" s="1">
        <v>99.0</v>
      </c>
      <c r="B2847" s="1">
        <v>5.9</v>
      </c>
      <c r="K2847" s="4"/>
      <c r="P2847" s="5"/>
      <c r="Q2847" s="24"/>
    </row>
    <row r="2848" ht="14.25" customHeight="1">
      <c r="A2848" s="1">
        <v>99.0</v>
      </c>
      <c r="B2848" s="1">
        <v>5.9</v>
      </c>
      <c r="K2848" s="4"/>
      <c r="P2848" s="5"/>
      <c r="Q2848" s="24"/>
    </row>
    <row r="2849" ht="14.25" customHeight="1">
      <c r="A2849" s="1">
        <v>98.0</v>
      </c>
      <c r="B2849" s="1">
        <v>5.9</v>
      </c>
      <c r="K2849" s="4"/>
      <c r="P2849" s="5"/>
      <c r="Q2849" s="24"/>
    </row>
    <row r="2850" ht="14.25" customHeight="1">
      <c r="A2850" s="1">
        <v>98.0</v>
      </c>
      <c r="B2850" s="1">
        <v>5.9</v>
      </c>
      <c r="K2850" s="4"/>
      <c r="P2850" s="5"/>
      <c r="Q2850" s="24"/>
    </row>
    <row r="2851" ht="14.25" customHeight="1">
      <c r="A2851" s="1">
        <v>98.0</v>
      </c>
      <c r="B2851" s="1">
        <v>5.9</v>
      </c>
      <c r="K2851" s="4"/>
      <c r="P2851" s="5"/>
      <c r="Q2851" s="24"/>
    </row>
    <row r="2852" ht="14.25" customHeight="1">
      <c r="A2852" s="1">
        <v>98.0</v>
      </c>
      <c r="B2852" s="1">
        <v>5.9</v>
      </c>
      <c r="K2852" s="4"/>
      <c r="P2852" s="5"/>
      <c r="Q2852" s="24"/>
    </row>
    <row r="2853" ht="14.25" customHeight="1">
      <c r="A2853" s="1">
        <v>98.0</v>
      </c>
      <c r="B2853" s="1">
        <v>5.9</v>
      </c>
      <c r="K2853" s="4"/>
      <c r="P2853" s="5"/>
      <c r="Q2853" s="24"/>
    </row>
    <row r="2854" ht="14.25" customHeight="1">
      <c r="A2854" s="1">
        <v>98.0</v>
      </c>
      <c r="B2854" s="1">
        <v>5.9</v>
      </c>
      <c r="K2854" s="4"/>
      <c r="P2854" s="5"/>
      <c r="Q2854" s="24"/>
    </row>
    <row r="2855" ht="14.25" customHeight="1">
      <c r="A2855" s="1">
        <v>97.0</v>
      </c>
      <c r="B2855" s="1">
        <v>5.9</v>
      </c>
      <c r="K2855" s="4"/>
      <c r="P2855" s="5"/>
      <c r="Q2855" s="24"/>
    </row>
    <row r="2856" ht="14.25" customHeight="1">
      <c r="A2856" s="1">
        <v>97.0</v>
      </c>
      <c r="B2856" s="1">
        <v>5.9</v>
      </c>
      <c r="K2856" s="4"/>
      <c r="P2856" s="5"/>
      <c r="Q2856" s="24"/>
    </row>
    <row r="2857" ht="14.25" customHeight="1">
      <c r="A2857" s="1">
        <v>97.0</v>
      </c>
      <c r="B2857" s="1">
        <v>5.9</v>
      </c>
      <c r="K2857" s="4"/>
      <c r="P2857" s="5"/>
      <c r="Q2857" s="24"/>
    </row>
    <row r="2858" ht="14.25" customHeight="1">
      <c r="A2858" s="1">
        <v>97.0</v>
      </c>
      <c r="B2858" s="1">
        <v>5.9</v>
      </c>
      <c r="K2858" s="4"/>
      <c r="P2858" s="5"/>
      <c r="Q2858" s="24"/>
    </row>
    <row r="2859" ht="14.25" customHeight="1">
      <c r="A2859" s="1">
        <v>96.0</v>
      </c>
      <c r="B2859" s="1">
        <v>5.9</v>
      </c>
      <c r="K2859" s="4"/>
      <c r="P2859" s="5"/>
      <c r="Q2859" s="24"/>
    </row>
    <row r="2860" ht="14.25" customHeight="1">
      <c r="A2860" s="1">
        <v>96.0</v>
      </c>
      <c r="B2860" s="1">
        <v>5.9</v>
      </c>
      <c r="K2860" s="4"/>
      <c r="P2860" s="5"/>
      <c r="Q2860" s="24"/>
    </row>
    <row r="2861" ht="14.25" customHeight="1">
      <c r="A2861" s="1">
        <v>96.0</v>
      </c>
      <c r="B2861" s="1">
        <v>5.9</v>
      </c>
      <c r="K2861" s="4"/>
      <c r="P2861" s="5"/>
      <c r="Q2861" s="24"/>
    </row>
    <row r="2862" ht="14.25" customHeight="1">
      <c r="A2862" s="1">
        <v>96.0</v>
      </c>
      <c r="B2862" s="1">
        <v>5.9</v>
      </c>
      <c r="K2862" s="4"/>
      <c r="P2862" s="5"/>
      <c r="Q2862" s="24"/>
    </row>
    <row r="2863" ht="14.25" customHeight="1">
      <c r="A2863" s="1">
        <v>96.0</v>
      </c>
      <c r="B2863" s="1">
        <v>5.9</v>
      </c>
      <c r="K2863" s="4"/>
      <c r="P2863" s="5"/>
      <c r="Q2863" s="24"/>
    </row>
    <row r="2864" ht="14.25" customHeight="1">
      <c r="A2864" s="1">
        <v>96.0</v>
      </c>
      <c r="B2864" s="1">
        <v>5.9</v>
      </c>
      <c r="K2864" s="4"/>
      <c r="P2864" s="5"/>
      <c r="Q2864" s="24"/>
    </row>
    <row r="2865" ht="14.25" customHeight="1">
      <c r="A2865" s="1">
        <v>96.0</v>
      </c>
      <c r="B2865" s="1">
        <v>5.9</v>
      </c>
      <c r="K2865" s="4"/>
      <c r="P2865" s="5"/>
      <c r="Q2865" s="24"/>
    </row>
    <row r="2866" ht="14.25" customHeight="1">
      <c r="A2866" s="1">
        <v>95.0</v>
      </c>
      <c r="B2866" s="1">
        <v>5.9</v>
      </c>
      <c r="K2866" s="4"/>
      <c r="P2866" s="5"/>
      <c r="Q2866" s="24"/>
    </row>
    <row r="2867" ht="14.25" customHeight="1">
      <c r="A2867" s="1">
        <v>95.0</v>
      </c>
      <c r="B2867" s="1">
        <v>5.9</v>
      </c>
      <c r="K2867" s="4"/>
      <c r="P2867" s="5"/>
      <c r="Q2867" s="24"/>
    </row>
    <row r="2868" ht="14.25" customHeight="1">
      <c r="A2868" s="1">
        <v>95.0</v>
      </c>
      <c r="B2868" s="1">
        <v>5.9</v>
      </c>
      <c r="K2868" s="4"/>
      <c r="P2868" s="5"/>
      <c r="Q2868" s="24"/>
    </row>
    <row r="2869" ht="14.25" customHeight="1">
      <c r="A2869" s="1">
        <v>95.0</v>
      </c>
      <c r="B2869" s="1">
        <v>5.9</v>
      </c>
      <c r="K2869" s="4"/>
      <c r="P2869" s="5"/>
      <c r="Q2869" s="24"/>
    </row>
    <row r="2870" ht="14.25" customHeight="1">
      <c r="A2870" s="1">
        <v>94.0</v>
      </c>
      <c r="B2870" s="1">
        <v>5.9</v>
      </c>
      <c r="K2870" s="4"/>
      <c r="P2870" s="5"/>
      <c r="Q2870" s="24"/>
    </row>
    <row r="2871" ht="14.25" customHeight="1">
      <c r="A2871" s="1">
        <v>93.0</v>
      </c>
      <c r="B2871" s="1">
        <v>5.9</v>
      </c>
      <c r="K2871" s="4"/>
      <c r="P2871" s="5"/>
      <c r="Q2871" s="24"/>
    </row>
    <row r="2872" ht="14.25" customHeight="1">
      <c r="A2872" s="1">
        <v>93.0</v>
      </c>
      <c r="B2872" s="1">
        <v>5.9</v>
      </c>
      <c r="K2872" s="4"/>
      <c r="P2872" s="5"/>
      <c r="Q2872" s="24"/>
    </row>
    <row r="2873" ht="14.25" customHeight="1">
      <c r="A2873" s="1">
        <v>93.0</v>
      </c>
      <c r="B2873" s="1">
        <v>5.9</v>
      </c>
      <c r="K2873" s="4"/>
      <c r="P2873" s="5"/>
      <c r="Q2873" s="24"/>
    </row>
    <row r="2874" ht="14.25" customHeight="1">
      <c r="A2874" s="1">
        <v>93.0</v>
      </c>
      <c r="B2874" s="1">
        <v>5.9</v>
      </c>
      <c r="K2874" s="4"/>
      <c r="P2874" s="5"/>
      <c r="Q2874" s="24"/>
    </row>
    <row r="2875" ht="14.25" customHeight="1">
      <c r="A2875" s="1">
        <v>93.0</v>
      </c>
      <c r="B2875" s="1">
        <v>5.9</v>
      </c>
      <c r="K2875" s="4"/>
      <c r="P2875" s="5"/>
      <c r="Q2875" s="24"/>
    </row>
    <row r="2876" ht="14.25" customHeight="1">
      <c r="A2876" s="1">
        <v>93.0</v>
      </c>
      <c r="B2876" s="1">
        <v>5.9</v>
      </c>
      <c r="K2876" s="4"/>
      <c r="P2876" s="5"/>
      <c r="Q2876" s="24"/>
    </row>
    <row r="2877" ht="14.25" customHeight="1">
      <c r="A2877" s="1">
        <v>93.0</v>
      </c>
      <c r="B2877" s="1">
        <v>5.9</v>
      </c>
      <c r="K2877" s="4"/>
      <c r="P2877" s="5"/>
      <c r="Q2877" s="24"/>
    </row>
    <row r="2878" ht="14.25" customHeight="1">
      <c r="A2878" s="1">
        <v>93.0</v>
      </c>
      <c r="B2878" s="1">
        <v>5.9</v>
      </c>
      <c r="K2878" s="4"/>
      <c r="P2878" s="5"/>
      <c r="Q2878" s="24"/>
    </row>
    <row r="2879" ht="14.25" customHeight="1">
      <c r="A2879" s="1">
        <v>92.0</v>
      </c>
      <c r="B2879" s="1">
        <v>5.9</v>
      </c>
      <c r="K2879" s="4"/>
      <c r="P2879" s="5"/>
      <c r="Q2879" s="24"/>
    </row>
    <row r="2880" ht="14.25" customHeight="1">
      <c r="A2880" s="1">
        <v>92.0</v>
      </c>
      <c r="B2880" s="1">
        <v>5.9</v>
      </c>
      <c r="K2880" s="4"/>
      <c r="P2880" s="5"/>
      <c r="Q2880" s="24"/>
    </row>
    <row r="2881" ht="14.25" customHeight="1">
      <c r="A2881" s="1">
        <v>92.0</v>
      </c>
      <c r="B2881" s="1">
        <v>5.9</v>
      </c>
      <c r="K2881" s="4"/>
      <c r="P2881" s="5"/>
      <c r="Q2881" s="24"/>
    </row>
    <row r="2882" ht="14.25" customHeight="1">
      <c r="A2882" s="1">
        <v>92.0</v>
      </c>
      <c r="B2882" s="1">
        <v>5.9</v>
      </c>
      <c r="K2882" s="4"/>
      <c r="P2882" s="5"/>
      <c r="Q2882" s="24"/>
    </row>
    <row r="2883" ht="14.25" customHeight="1">
      <c r="A2883" s="1">
        <v>92.0</v>
      </c>
      <c r="B2883" s="1">
        <v>5.9</v>
      </c>
      <c r="K2883" s="4"/>
      <c r="P2883" s="5"/>
      <c r="Q2883" s="24"/>
    </row>
    <row r="2884" ht="14.25" customHeight="1">
      <c r="A2884" s="1">
        <v>91.0</v>
      </c>
      <c r="B2884" s="1">
        <v>5.9</v>
      </c>
      <c r="K2884" s="4"/>
      <c r="P2884" s="5"/>
      <c r="Q2884" s="24"/>
    </row>
    <row r="2885" ht="14.25" customHeight="1">
      <c r="A2885" s="1">
        <v>91.0</v>
      </c>
      <c r="B2885" s="1">
        <v>5.9</v>
      </c>
      <c r="K2885" s="4"/>
      <c r="P2885" s="5"/>
      <c r="Q2885" s="24"/>
    </row>
    <row r="2886" ht="14.25" customHeight="1">
      <c r="A2886" s="1">
        <v>91.0</v>
      </c>
      <c r="B2886" s="1">
        <v>5.9</v>
      </c>
      <c r="K2886" s="4"/>
      <c r="P2886" s="5"/>
      <c r="Q2886" s="24"/>
    </row>
    <row r="2887" ht="14.25" customHeight="1">
      <c r="A2887" s="1">
        <v>91.0</v>
      </c>
      <c r="B2887" s="1">
        <v>5.9</v>
      </c>
      <c r="K2887" s="4"/>
      <c r="P2887" s="5"/>
      <c r="Q2887" s="24"/>
    </row>
    <row r="2888" ht="14.25" customHeight="1">
      <c r="A2888" s="1">
        <v>91.0</v>
      </c>
      <c r="B2888" s="1">
        <v>5.9</v>
      </c>
      <c r="K2888" s="4"/>
      <c r="P2888" s="5"/>
      <c r="Q2888" s="24"/>
    </row>
    <row r="2889" ht="14.25" customHeight="1">
      <c r="A2889" s="1">
        <v>90.0</v>
      </c>
      <c r="B2889" s="1">
        <v>5.9</v>
      </c>
      <c r="K2889" s="4"/>
      <c r="P2889" s="5"/>
      <c r="Q2889" s="24"/>
    </row>
    <row r="2890" ht="14.25" customHeight="1">
      <c r="A2890" s="1">
        <v>90.0</v>
      </c>
      <c r="B2890" s="1">
        <v>5.9</v>
      </c>
      <c r="K2890" s="4"/>
      <c r="P2890" s="5"/>
      <c r="Q2890" s="24"/>
    </row>
    <row r="2891" ht="14.25" customHeight="1">
      <c r="A2891" s="1">
        <v>90.0</v>
      </c>
      <c r="B2891" s="1">
        <v>5.9</v>
      </c>
      <c r="K2891" s="4"/>
      <c r="P2891" s="5"/>
      <c r="Q2891" s="24"/>
    </row>
    <row r="2892" ht="14.25" customHeight="1">
      <c r="A2892" s="1">
        <v>90.0</v>
      </c>
      <c r="B2892" s="1">
        <v>5.9</v>
      </c>
      <c r="K2892" s="4"/>
      <c r="P2892" s="5"/>
      <c r="Q2892" s="24"/>
    </row>
    <row r="2893" ht="14.25" customHeight="1">
      <c r="A2893" s="1">
        <v>90.0</v>
      </c>
      <c r="B2893" s="1">
        <v>5.9</v>
      </c>
      <c r="K2893" s="4"/>
      <c r="P2893" s="5"/>
      <c r="Q2893" s="24"/>
    </row>
    <row r="2894" ht="14.25" customHeight="1">
      <c r="A2894" s="1">
        <v>90.0</v>
      </c>
      <c r="B2894" s="1">
        <v>5.9</v>
      </c>
      <c r="K2894" s="4"/>
      <c r="P2894" s="5"/>
      <c r="Q2894" s="24"/>
    </row>
    <row r="2895" ht="14.25" customHeight="1">
      <c r="A2895" s="1">
        <v>89.0</v>
      </c>
      <c r="B2895" s="1">
        <v>5.9</v>
      </c>
      <c r="K2895" s="4"/>
      <c r="P2895" s="5"/>
      <c r="Q2895" s="24"/>
    </row>
    <row r="2896" ht="14.25" customHeight="1">
      <c r="A2896" s="1">
        <v>88.0</v>
      </c>
      <c r="B2896" s="1">
        <v>5.9</v>
      </c>
      <c r="K2896" s="4"/>
      <c r="P2896" s="5"/>
      <c r="Q2896" s="24"/>
    </row>
    <row r="2897" ht="14.25" customHeight="1">
      <c r="A2897" s="1">
        <v>88.0</v>
      </c>
      <c r="B2897" s="1">
        <v>5.9</v>
      </c>
      <c r="K2897" s="4"/>
      <c r="P2897" s="5"/>
      <c r="Q2897" s="24"/>
    </row>
    <row r="2898" ht="14.25" customHeight="1">
      <c r="A2898" s="1">
        <v>88.0</v>
      </c>
      <c r="B2898" s="1">
        <v>5.9</v>
      </c>
      <c r="K2898" s="4"/>
      <c r="P2898" s="5"/>
      <c r="Q2898" s="24"/>
    </row>
    <row r="2899" ht="14.25" customHeight="1">
      <c r="A2899" s="1">
        <v>88.0</v>
      </c>
      <c r="B2899" s="1">
        <v>5.9</v>
      </c>
      <c r="K2899" s="4"/>
      <c r="P2899" s="5"/>
      <c r="Q2899" s="24"/>
    </row>
    <row r="2900" ht="14.25" customHeight="1">
      <c r="A2900" s="1">
        <v>86.0</v>
      </c>
      <c r="B2900" s="1">
        <v>5.9</v>
      </c>
      <c r="K2900" s="4"/>
      <c r="P2900" s="5"/>
      <c r="Q2900" s="24"/>
    </row>
    <row r="2901" ht="14.25" customHeight="1">
      <c r="A2901" s="1">
        <v>85.0</v>
      </c>
      <c r="B2901" s="1">
        <v>5.9</v>
      </c>
      <c r="K2901" s="4"/>
      <c r="P2901" s="5"/>
      <c r="Q2901" s="24"/>
    </row>
    <row r="2902" ht="14.25" customHeight="1">
      <c r="A2902" s="1">
        <v>84.0</v>
      </c>
      <c r="B2902" s="1">
        <v>5.9</v>
      </c>
      <c r="K2902" s="4"/>
      <c r="P2902" s="5"/>
      <c r="Q2902" s="24"/>
    </row>
    <row r="2903" ht="14.25" customHeight="1">
      <c r="A2903" s="1">
        <v>84.0</v>
      </c>
      <c r="B2903" s="1">
        <v>5.9</v>
      </c>
      <c r="K2903" s="4"/>
      <c r="P2903" s="5"/>
      <c r="Q2903" s="24"/>
    </row>
    <row r="2904" ht="14.25" customHeight="1">
      <c r="A2904" s="1">
        <v>84.0</v>
      </c>
      <c r="B2904" s="1">
        <v>5.9</v>
      </c>
      <c r="K2904" s="4"/>
      <c r="P2904" s="5"/>
      <c r="Q2904" s="24"/>
    </row>
    <row r="2905" ht="14.25" customHeight="1">
      <c r="A2905" s="1">
        <v>83.0</v>
      </c>
      <c r="B2905" s="1">
        <v>5.9</v>
      </c>
      <c r="K2905" s="4"/>
      <c r="P2905" s="5"/>
      <c r="Q2905" s="24"/>
    </row>
    <row r="2906" ht="14.25" customHeight="1">
      <c r="A2906" s="1">
        <v>83.0</v>
      </c>
      <c r="B2906" s="1">
        <v>5.9</v>
      </c>
      <c r="K2906" s="4"/>
      <c r="P2906" s="5"/>
      <c r="Q2906" s="24"/>
    </row>
    <row r="2907" ht="14.25" customHeight="1">
      <c r="A2907" s="1">
        <v>82.0</v>
      </c>
      <c r="B2907" s="1">
        <v>5.9</v>
      </c>
      <c r="K2907" s="4"/>
      <c r="P2907" s="5"/>
      <c r="Q2907" s="24"/>
    </row>
    <row r="2908" ht="14.25" customHeight="1">
      <c r="A2908" s="1">
        <v>81.0</v>
      </c>
      <c r="B2908" s="1">
        <v>5.9</v>
      </c>
      <c r="K2908" s="4"/>
      <c r="P2908" s="5"/>
      <c r="Q2908" s="24"/>
    </row>
    <row r="2909" ht="14.25" customHeight="1">
      <c r="A2909" s="1">
        <v>76.0</v>
      </c>
      <c r="B2909" s="1">
        <v>5.9</v>
      </c>
      <c r="K2909" s="4"/>
      <c r="P2909" s="5"/>
      <c r="Q2909" s="24"/>
    </row>
    <row r="2910" ht="14.25" customHeight="1">
      <c r="A2910" s="1">
        <v>220.0</v>
      </c>
      <c r="B2910" s="1">
        <v>5.8</v>
      </c>
      <c r="K2910" s="4"/>
      <c r="P2910" s="5"/>
      <c r="Q2910" s="24"/>
    </row>
    <row r="2911" ht="14.25" customHeight="1">
      <c r="A2911" s="1">
        <v>158.0</v>
      </c>
      <c r="B2911" s="1">
        <v>5.8</v>
      </c>
      <c r="K2911" s="4"/>
      <c r="P2911" s="5"/>
      <c r="Q2911" s="24"/>
    </row>
    <row r="2912" ht="14.25" customHeight="1">
      <c r="A2912" s="1">
        <v>138.0</v>
      </c>
      <c r="B2912" s="1">
        <v>5.8</v>
      </c>
      <c r="K2912" s="4"/>
      <c r="P2912" s="5"/>
      <c r="Q2912" s="24"/>
    </row>
    <row r="2913" ht="14.25" customHeight="1">
      <c r="A2913" s="1">
        <v>132.0</v>
      </c>
      <c r="B2913" s="1">
        <v>5.8</v>
      </c>
      <c r="K2913" s="4"/>
      <c r="P2913" s="5"/>
      <c r="Q2913" s="24"/>
    </row>
    <row r="2914" ht="14.25" customHeight="1">
      <c r="A2914" s="1">
        <v>125.0</v>
      </c>
      <c r="B2914" s="1">
        <v>5.8</v>
      </c>
      <c r="K2914" s="4"/>
      <c r="P2914" s="5"/>
      <c r="Q2914" s="24"/>
    </row>
    <row r="2915" ht="14.25" customHeight="1">
      <c r="A2915" s="1">
        <v>124.0</v>
      </c>
      <c r="B2915" s="1">
        <v>5.8</v>
      </c>
      <c r="K2915" s="4"/>
      <c r="P2915" s="5"/>
      <c r="Q2915" s="24"/>
    </row>
    <row r="2916" ht="14.25" customHeight="1">
      <c r="A2916" s="1">
        <v>122.0</v>
      </c>
      <c r="B2916" s="1">
        <v>5.8</v>
      </c>
      <c r="K2916" s="4"/>
      <c r="P2916" s="5"/>
      <c r="Q2916" s="24"/>
    </row>
    <row r="2917" ht="14.25" customHeight="1">
      <c r="A2917" s="1">
        <v>122.0</v>
      </c>
      <c r="B2917" s="1">
        <v>5.8</v>
      </c>
      <c r="K2917" s="4"/>
      <c r="P2917" s="5"/>
      <c r="Q2917" s="24"/>
    </row>
    <row r="2918" ht="14.25" customHeight="1">
      <c r="A2918" s="1">
        <v>121.0</v>
      </c>
      <c r="B2918" s="1">
        <v>5.8</v>
      </c>
      <c r="K2918" s="4"/>
      <c r="P2918" s="5"/>
      <c r="Q2918" s="24"/>
    </row>
    <row r="2919" ht="14.25" customHeight="1">
      <c r="A2919" s="1">
        <v>121.0</v>
      </c>
      <c r="B2919" s="1">
        <v>5.8</v>
      </c>
      <c r="K2919" s="4"/>
      <c r="P2919" s="5"/>
      <c r="Q2919" s="24"/>
    </row>
    <row r="2920" ht="14.25" customHeight="1">
      <c r="A2920" s="1">
        <v>120.0</v>
      </c>
      <c r="B2920" s="1">
        <v>5.8</v>
      </c>
      <c r="K2920" s="4"/>
      <c r="P2920" s="5"/>
      <c r="Q2920" s="24"/>
    </row>
    <row r="2921" ht="14.25" customHeight="1">
      <c r="A2921" s="1">
        <v>120.0</v>
      </c>
      <c r="B2921" s="1">
        <v>5.8</v>
      </c>
      <c r="K2921" s="4"/>
      <c r="P2921" s="5"/>
      <c r="Q2921" s="24"/>
    </row>
    <row r="2922" ht="14.25" customHeight="1">
      <c r="A2922" s="1">
        <v>120.0</v>
      </c>
      <c r="B2922" s="1">
        <v>5.8</v>
      </c>
      <c r="K2922" s="4"/>
      <c r="P2922" s="5"/>
      <c r="Q2922" s="24"/>
    </row>
    <row r="2923" ht="14.25" customHeight="1">
      <c r="A2923" s="1">
        <v>119.0</v>
      </c>
      <c r="B2923" s="1">
        <v>5.8</v>
      </c>
      <c r="K2923" s="4"/>
      <c r="P2923" s="5"/>
      <c r="Q2923" s="24"/>
    </row>
    <row r="2924" ht="14.25" customHeight="1">
      <c r="A2924" s="1">
        <v>119.0</v>
      </c>
      <c r="B2924" s="1">
        <v>5.8</v>
      </c>
      <c r="K2924" s="4"/>
      <c r="P2924" s="5"/>
      <c r="Q2924" s="24"/>
    </row>
    <row r="2925" ht="14.25" customHeight="1">
      <c r="A2925" s="1">
        <v>118.0</v>
      </c>
      <c r="B2925" s="1">
        <v>5.8</v>
      </c>
      <c r="K2925" s="4"/>
      <c r="P2925" s="5"/>
      <c r="Q2925" s="24"/>
    </row>
    <row r="2926" ht="14.25" customHeight="1">
      <c r="A2926" s="1">
        <v>118.0</v>
      </c>
      <c r="B2926" s="1">
        <v>5.8</v>
      </c>
      <c r="K2926" s="4"/>
      <c r="P2926" s="5"/>
      <c r="Q2926" s="24"/>
    </row>
    <row r="2927" ht="14.25" customHeight="1">
      <c r="A2927" s="1">
        <v>118.0</v>
      </c>
      <c r="B2927" s="1">
        <v>5.8</v>
      </c>
      <c r="K2927" s="4"/>
      <c r="P2927" s="5"/>
      <c r="Q2927" s="24"/>
    </row>
    <row r="2928" ht="14.25" customHeight="1">
      <c r="A2928" s="1">
        <v>116.0</v>
      </c>
      <c r="B2928" s="1">
        <v>5.8</v>
      </c>
      <c r="K2928" s="4"/>
      <c r="P2928" s="5"/>
      <c r="Q2928" s="24"/>
    </row>
    <row r="2929" ht="14.25" customHeight="1">
      <c r="A2929" s="1">
        <v>116.0</v>
      </c>
      <c r="B2929" s="1">
        <v>5.8</v>
      </c>
      <c r="K2929" s="4"/>
      <c r="P2929" s="5"/>
      <c r="Q2929" s="24"/>
    </row>
    <row r="2930" ht="14.25" customHeight="1">
      <c r="A2930" s="1">
        <v>115.0</v>
      </c>
      <c r="B2930" s="1">
        <v>5.8</v>
      </c>
      <c r="K2930" s="4"/>
      <c r="P2930" s="5"/>
      <c r="Q2930" s="24"/>
    </row>
    <row r="2931" ht="14.25" customHeight="1">
      <c r="A2931" s="1">
        <v>114.0</v>
      </c>
      <c r="B2931" s="1">
        <v>5.8</v>
      </c>
      <c r="K2931" s="4"/>
      <c r="P2931" s="5"/>
      <c r="Q2931" s="24"/>
    </row>
    <row r="2932" ht="14.25" customHeight="1">
      <c r="A2932" s="1">
        <v>114.0</v>
      </c>
      <c r="B2932" s="1">
        <v>5.8</v>
      </c>
      <c r="K2932" s="4"/>
      <c r="P2932" s="5"/>
      <c r="Q2932" s="24"/>
    </row>
    <row r="2933" ht="14.25" customHeight="1">
      <c r="A2933" s="1">
        <v>114.0</v>
      </c>
      <c r="B2933" s="1">
        <v>5.8</v>
      </c>
      <c r="K2933" s="4"/>
      <c r="P2933" s="5"/>
      <c r="Q2933" s="24"/>
    </row>
    <row r="2934" ht="14.25" customHeight="1">
      <c r="A2934" s="1">
        <v>111.0</v>
      </c>
      <c r="B2934" s="1">
        <v>5.8</v>
      </c>
      <c r="K2934" s="4"/>
      <c r="P2934" s="5"/>
      <c r="Q2934" s="24"/>
    </row>
    <row r="2935" ht="14.25" customHeight="1">
      <c r="A2935" s="1">
        <v>111.0</v>
      </c>
      <c r="B2935" s="1">
        <v>5.8</v>
      </c>
      <c r="K2935" s="4"/>
      <c r="P2935" s="5"/>
      <c r="Q2935" s="24"/>
    </row>
    <row r="2936" ht="14.25" customHeight="1">
      <c r="A2936" s="1">
        <v>110.0</v>
      </c>
      <c r="B2936" s="1">
        <v>5.8</v>
      </c>
      <c r="K2936" s="4"/>
      <c r="P2936" s="5"/>
      <c r="Q2936" s="24"/>
    </row>
    <row r="2937" ht="14.25" customHeight="1">
      <c r="A2937" s="1">
        <v>110.0</v>
      </c>
      <c r="B2937" s="1">
        <v>5.8</v>
      </c>
      <c r="K2937" s="4"/>
      <c r="P2937" s="5"/>
      <c r="Q2937" s="24"/>
    </row>
    <row r="2938" ht="14.25" customHeight="1">
      <c r="A2938" s="1">
        <v>110.0</v>
      </c>
      <c r="B2938" s="1">
        <v>5.8</v>
      </c>
      <c r="K2938" s="4"/>
      <c r="P2938" s="5"/>
      <c r="Q2938" s="24"/>
    </row>
    <row r="2939" ht="14.25" customHeight="1">
      <c r="A2939" s="1">
        <v>110.0</v>
      </c>
      <c r="B2939" s="1">
        <v>5.8</v>
      </c>
      <c r="K2939" s="4"/>
      <c r="P2939" s="5"/>
      <c r="Q2939" s="24"/>
    </row>
    <row r="2940" ht="14.25" customHeight="1">
      <c r="A2940" s="1">
        <v>109.0</v>
      </c>
      <c r="B2940" s="1">
        <v>5.8</v>
      </c>
      <c r="K2940" s="4"/>
      <c r="P2940" s="5"/>
      <c r="Q2940" s="24"/>
    </row>
    <row r="2941" ht="14.25" customHeight="1">
      <c r="A2941" s="1">
        <v>108.0</v>
      </c>
      <c r="B2941" s="1">
        <v>5.8</v>
      </c>
      <c r="K2941" s="4"/>
      <c r="P2941" s="5"/>
      <c r="Q2941" s="24"/>
    </row>
    <row r="2942" ht="14.25" customHeight="1">
      <c r="A2942" s="1">
        <v>108.0</v>
      </c>
      <c r="B2942" s="1">
        <v>5.8</v>
      </c>
      <c r="K2942" s="4"/>
      <c r="P2942" s="5"/>
      <c r="Q2942" s="24"/>
    </row>
    <row r="2943" ht="14.25" customHeight="1">
      <c r="A2943" s="1">
        <v>108.0</v>
      </c>
      <c r="B2943" s="1">
        <v>5.8</v>
      </c>
      <c r="K2943" s="4"/>
      <c r="P2943" s="5"/>
      <c r="Q2943" s="24"/>
    </row>
    <row r="2944" ht="14.25" customHeight="1">
      <c r="A2944" s="1">
        <v>108.0</v>
      </c>
      <c r="B2944" s="1">
        <v>5.8</v>
      </c>
      <c r="K2944" s="4"/>
      <c r="P2944" s="5"/>
      <c r="Q2944" s="24"/>
    </row>
    <row r="2945" ht="14.25" customHeight="1">
      <c r="A2945" s="1">
        <v>107.0</v>
      </c>
      <c r="B2945" s="1">
        <v>5.8</v>
      </c>
      <c r="K2945" s="4"/>
      <c r="P2945" s="5"/>
      <c r="Q2945" s="24"/>
    </row>
    <row r="2946" ht="14.25" customHeight="1">
      <c r="A2946" s="1">
        <v>106.0</v>
      </c>
      <c r="B2946" s="1">
        <v>5.8</v>
      </c>
      <c r="K2946" s="4"/>
      <c r="P2946" s="5"/>
      <c r="Q2946" s="24"/>
    </row>
    <row r="2947" ht="14.25" customHeight="1">
      <c r="A2947" s="1">
        <v>106.0</v>
      </c>
      <c r="B2947" s="1">
        <v>5.8</v>
      </c>
      <c r="K2947" s="4"/>
      <c r="P2947" s="5"/>
      <c r="Q2947" s="24"/>
    </row>
    <row r="2948" ht="14.25" customHeight="1">
      <c r="A2948" s="1">
        <v>106.0</v>
      </c>
      <c r="B2948" s="1">
        <v>5.8</v>
      </c>
      <c r="K2948" s="4"/>
      <c r="P2948" s="5"/>
      <c r="Q2948" s="24"/>
    </row>
    <row r="2949" ht="14.25" customHeight="1">
      <c r="A2949" s="1">
        <v>106.0</v>
      </c>
      <c r="B2949" s="1">
        <v>5.8</v>
      </c>
      <c r="K2949" s="4"/>
      <c r="P2949" s="5"/>
      <c r="Q2949" s="24"/>
    </row>
    <row r="2950" ht="14.25" customHeight="1">
      <c r="A2950" s="1">
        <v>105.0</v>
      </c>
      <c r="B2950" s="1">
        <v>5.8</v>
      </c>
      <c r="K2950" s="4"/>
      <c r="P2950" s="5"/>
      <c r="Q2950" s="24"/>
    </row>
    <row r="2951" ht="14.25" customHeight="1">
      <c r="A2951" s="1">
        <v>105.0</v>
      </c>
      <c r="B2951" s="1">
        <v>5.8</v>
      </c>
      <c r="K2951" s="4"/>
      <c r="P2951" s="5"/>
      <c r="Q2951" s="24"/>
    </row>
    <row r="2952" ht="14.25" customHeight="1">
      <c r="A2952" s="1">
        <v>105.0</v>
      </c>
      <c r="B2952" s="1">
        <v>5.8</v>
      </c>
      <c r="K2952" s="4"/>
      <c r="P2952" s="5"/>
      <c r="Q2952" s="24"/>
    </row>
    <row r="2953" ht="14.25" customHeight="1">
      <c r="A2953" s="1">
        <v>105.0</v>
      </c>
      <c r="B2953" s="1">
        <v>5.8</v>
      </c>
      <c r="K2953" s="4"/>
      <c r="P2953" s="5"/>
      <c r="Q2953" s="24"/>
    </row>
    <row r="2954" ht="14.25" customHeight="1">
      <c r="A2954" s="1">
        <v>104.0</v>
      </c>
      <c r="B2954" s="1">
        <v>5.8</v>
      </c>
      <c r="K2954" s="4"/>
      <c r="P2954" s="5"/>
      <c r="Q2954" s="24"/>
    </row>
    <row r="2955" ht="14.25" customHeight="1">
      <c r="A2955" s="1">
        <v>104.0</v>
      </c>
      <c r="B2955" s="1">
        <v>5.8</v>
      </c>
      <c r="K2955" s="4"/>
      <c r="P2955" s="5"/>
      <c r="Q2955" s="24"/>
    </row>
    <row r="2956" ht="14.25" customHeight="1">
      <c r="A2956" s="1">
        <v>104.0</v>
      </c>
      <c r="B2956" s="1">
        <v>5.8</v>
      </c>
      <c r="K2956" s="4"/>
      <c r="P2956" s="5"/>
      <c r="Q2956" s="24"/>
    </row>
    <row r="2957" ht="14.25" customHeight="1">
      <c r="A2957" s="1">
        <v>103.0</v>
      </c>
      <c r="B2957" s="1">
        <v>5.8</v>
      </c>
      <c r="K2957" s="4"/>
      <c r="P2957" s="5"/>
      <c r="Q2957" s="24"/>
    </row>
    <row r="2958" ht="14.25" customHeight="1">
      <c r="A2958" s="1">
        <v>103.0</v>
      </c>
      <c r="B2958" s="1">
        <v>5.8</v>
      </c>
      <c r="K2958" s="4"/>
      <c r="P2958" s="5"/>
      <c r="Q2958" s="24"/>
    </row>
    <row r="2959" ht="14.25" customHeight="1">
      <c r="A2959" s="1">
        <v>103.0</v>
      </c>
      <c r="B2959" s="1">
        <v>5.8</v>
      </c>
      <c r="K2959" s="4"/>
      <c r="P2959" s="5"/>
      <c r="Q2959" s="24"/>
    </row>
    <row r="2960" ht="14.25" customHeight="1">
      <c r="A2960" s="1">
        <v>102.0</v>
      </c>
      <c r="B2960" s="1">
        <v>5.8</v>
      </c>
      <c r="K2960" s="4"/>
      <c r="P2960" s="5"/>
      <c r="Q2960" s="24"/>
    </row>
    <row r="2961" ht="14.25" customHeight="1">
      <c r="A2961" s="1">
        <v>102.0</v>
      </c>
      <c r="B2961" s="1">
        <v>5.8</v>
      </c>
      <c r="K2961" s="4"/>
      <c r="P2961" s="5"/>
      <c r="Q2961" s="24"/>
    </row>
    <row r="2962" ht="14.25" customHeight="1">
      <c r="A2962" s="1">
        <v>101.0</v>
      </c>
      <c r="B2962" s="1">
        <v>5.8</v>
      </c>
      <c r="K2962" s="4"/>
      <c r="P2962" s="5"/>
      <c r="Q2962" s="24"/>
    </row>
    <row r="2963" ht="14.25" customHeight="1">
      <c r="A2963" s="1">
        <v>101.0</v>
      </c>
      <c r="B2963" s="1">
        <v>5.8</v>
      </c>
      <c r="K2963" s="4"/>
      <c r="P2963" s="5"/>
      <c r="Q2963" s="24"/>
    </row>
    <row r="2964" ht="14.25" customHeight="1">
      <c r="A2964" s="1">
        <v>101.0</v>
      </c>
      <c r="B2964" s="1">
        <v>5.8</v>
      </c>
      <c r="K2964" s="4"/>
      <c r="P2964" s="5"/>
      <c r="Q2964" s="24"/>
    </row>
    <row r="2965" ht="14.25" customHeight="1">
      <c r="A2965" s="1">
        <v>100.0</v>
      </c>
      <c r="B2965" s="1">
        <v>5.8</v>
      </c>
      <c r="K2965" s="4"/>
      <c r="P2965" s="5"/>
      <c r="Q2965" s="24"/>
    </row>
    <row r="2966" ht="14.25" customHeight="1">
      <c r="A2966" s="1">
        <v>99.0</v>
      </c>
      <c r="B2966" s="1">
        <v>5.8</v>
      </c>
      <c r="K2966" s="4"/>
      <c r="P2966" s="5"/>
      <c r="Q2966" s="24"/>
    </row>
    <row r="2967" ht="14.25" customHeight="1">
      <c r="A2967" s="1">
        <v>99.0</v>
      </c>
      <c r="B2967" s="1">
        <v>5.8</v>
      </c>
      <c r="K2967" s="4"/>
      <c r="P2967" s="5"/>
      <c r="Q2967" s="24"/>
    </row>
    <row r="2968" ht="14.25" customHeight="1">
      <c r="A2968" s="1">
        <v>99.0</v>
      </c>
      <c r="B2968" s="1">
        <v>5.8</v>
      </c>
      <c r="K2968" s="4"/>
      <c r="P2968" s="5"/>
      <c r="Q2968" s="24"/>
    </row>
    <row r="2969" ht="14.25" customHeight="1">
      <c r="A2969" s="1">
        <v>99.0</v>
      </c>
      <c r="B2969" s="1">
        <v>5.8</v>
      </c>
      <c r="K2969" s="4"/>
      <c r="P2969" s="5"/>
      <c r="Q2969" s="24"/>
    </row>
    <row r="2970" ht="14.25" customHeight="1">
      <c r="A2970" s="1">
        <v>98.0</v>
      </c>
      <c r="B2970" s="1">
        <v>5.8</v>
      </c>
      <c r="K2970" s="4"/>
      <c r="P2970" s="5"/>
      <c r="Q2970" s="24"/>
    </row>
    <row r="2971" ht="14.25" customHeight="1">
      <c r="A2971" s="1">
        <v>98.0</v>
      </c>
      <c r="B2971" s="1">
        <v>5.8</v>
      </c>
      <c r="K2971" s="4"/>
      <c r="P2971" s="5"/>
      <c r="Q2971" s="24"/>
    </row>
    <row r="2972" ht="14.25" customHeight="1">
      <c r="A2972" s="1">
        <v>97.0</v>
      </c>
      <c r="B2972" s="1">
        <v>5.8</v>
      </c>
      <c r="K2972" s="4"/>
      <c r="P2972" s="5"/>
      <c r="Q2972" s="24"/>
    </row>
    <row r="2973" ht="14.25" customHeight="1">
      <c r="A2973" s="1">
        <v>97.0</v>
      </c>
      <c r="B2973" s="1">
        <v>5.8</v>
      </c>
      <c r="K2973" s="4"/>
      <c r="P2973" s="5"/>
      <c r="Q2973" s="24"/>
    </row>
    <row r="2974" ht="14.25" customHeight="1">
      <c r="A2974" s="1">
        <v>97.0</v>
      </c>
      <c r="B2974" s="1">
        <v>5.8</v>
      </c>
      <c r="K2974" s="4"/>
      <c r="P2974" s="5"/>
      <c r="Q2974" s="24"/>
    </row>
    <row r="2975" ht="14.25" customHeight="1">
      <c r="A2975" s="1">
        <v>96.0</v>
      </c>
      <c r="B2975" s="1">
        <v>5.8</v>
      </c>
      <c r="K2975" s="4"/>
      <c r="P2975" s="5"/>
      <c r="Q2975" s="24"/>
    </row>
    <row r="2976" ht="14.25" customHeight="1">
      <c r="A2976" s="1">
        <v>95.0</v>
      </c>
      <c r="B2976" s="1">
        <v>5.8</v>
      </c>
      <c r="K2976" s="4"/>
      <c r="P2976" s="5"/>
      <c r="Q2976" s="24"/>
    </row>
    <row r="2977" ht="14.25" customHeight="1">
      <c r="A2977" s="1">
        <v>95.0</v>
      </c>
      <c r="B2977" s="1">
        <v>5.8</v>
      </c>
      <c r="K2977" s="4"/>
      <c r="P2977" s="5"/>
      <c r="Q2977" s="24"/>
    </row>
    <row r="2978" ht="14.25" customHeight="1">
      <c r="A2978" s="1">
        <v>95.0</v>
      </c>
      <c r="B2978" s="1">
        <v>5.8</v>
      </c>
      <c r="K2978" s="4"/>
      <c r="P2978" s="5"/>
      <c r="Q2978" s="24"/>
    </row>
    <row r="2979" ht="14.25" customHeight="1">
      <c r="A2979" s="1">
        <v>95.0</v>
      </c>
      <c r="B2979" s="1">
        <v>5.8</v>
      </c>
      <c r="K2979" s="4"/>
      <c r="P2979" s="5"/>
      <c r="Q2979" s="24"/>
    </row>
    <row r="2980" ht="14.25" customHeight="1">
      <c r="A2980" s="1">
        <v>95.0</v>
      </c>
      <c r="B2980" s="1">
        <v>5.8</v>
      </c>
      <c r="K2980" s="4"/>
      <c r="P2980" s="5"/>
      <c r="Q2980" s="24"/>
    </row>
    <row r="2981" ht="14.25" customHeight="1">
      <c r="A2981" s="1">
        <v>95.0</v>
      </c>
      <c r="B2981" s="1">
        <v>5.8</v>
      </c>
      <c r="K2981" s="4"/>
      <c r="P2981" s="5"/>
      <c r="Q2981" s="24"/>
    </row>
    <row r="2982" ht="14.25" customHeight="1">
      <c r="A2982" s="1">
        <v>94.0</v>
      </c>
      <c r="B2982" s="1">
        <v>5.8</v>
      </c>
      <c r="K2982" s="4"/>
      <c r="P2982" s="5"/>
      <c r="Q2982" s="24"/>
    </row>
    <row r="2983" ht="14.25" customHeight="1">
      <c r="A2983" s="1">
        <v>94.0</v>
      </c>
      <c r="B2983" s="1">
        <v>5.8</v>
      </c>
      <c r="K2983" s="4"/>
      <c r="P2983" s="5"/>
      <c r="Q2983" s="24"/>
    </row>
    <row r="2984" ht="14.25" customHeight="1">
      <c r="A2984" s="1">
        <v>94.0</v>
      </c>
      <c r="B2984" s="1">
        <v>5.8</v>
      </c>
      <c r="K2984" s="4"/>
      <c r="P2984" s="5"/>
      <c r="Q2984" s="24"/>
    </row>
    <row r="2985" ht="14.25" customHeight="1">
      <c r="A2985" s="1">
        <v>94.0</v>
      </c>
      <c r="B2985" s="1">
        <v>5.8</v>
      </c>
      <c r="K2985" s="4"/>
      <c r="P2985" s="5"/>
      <c r="Q2985" s="24"/>
    </row>
    <row r="2986" ht="14.25" customHeight="1">
      <c r="A2986" s="1">
        <v>93.0</v>
      </c>
      <c r="B2986" s="1">
        <v>5.8</v>
      </c>
      <c r="K2986" s="4"/>
      <c r="P2986" s="5"/>
      <c r="Q2986" s="24"/>
    </row>
    <row r="2987" ht="14.25" customHeight="1">
      <c r="A2987" s="1">
        <v>93.0</v>
      </c>
      <c r="B2987" s="1">
        <v>5.8</v>
      </c>
      <c r="K2987" s="4"/>
      <c r="P2987" s="5"/>
      <c r="Q2987" s="24"/>
    </row>
    <row r="2988" ht="14.25" customHeight="1">
      <c r="A2988" s="1">
        <v>92.0</v>
      </c>
      <c r="B2988" s="1">
        <v>5.8</v>
      </c>
      <c r="K2988" s="4"/>
      <c r="P2988" s="5"/>
      <c r="Q2988" s="24"/>
    </row>
    <row r="2989" ht="14.25" customHeight="1">
      <c r="A2989" s="1">
        <v>91.0</v>
      </c>
      <c r="B2989" s="1">
        <v>5.8</v>
      </c>
      <c r="K2989" s="4"/>
      <c r="P2989" s="5"/>
      <c r="Q2989" s="24"/>
    </row>
    <row r="2990" ht="14.25" customHeight="1">
      <c r="A2990" s="1">
        <v>89.0</v>
      </c>
      <c r="B2990" s="1">
        <v>5.8</v>
      </c>
      <c r="K2990" s="4"/>
      <c r="P2990" s="5"/>
      <c r="Q2990" s="24"/>
    </row>
    <row r="2991" ht="14.25" customHeight="1">
      <c r="A2991" s="1">
        <v>89.0</v>
      </c>
      <c r="B2991" s="1">
        <v>5.8</v>
      </c>
      <c r="K2991" s="4"/>
      <c r="P2991" s="5"/>
      <c r="Q2991" s="24"/>
    </row>
    <row r="2992" ht="14.25" customHeight="1">
      <c r="A2992" s="1">
        <v>89.0</v>
      </c>
      <c r="B2992" s="1">
        <v>5.8</v>
      </c>
      <c r="K2992" s="4"/>
      <c r="P2992" s="5"/>
      <c r="Q2992" s="24"/>
    </row>
    <row r="2993" ht="14.25" customHeight="1">
      <c r="A2993" s="1">
        <v>87.0</v>
      </c>
      <c r="B2993" s="1">
        <v>5.8</v>
      </c>
      <c r="K2993" s="4"/>
      <c r="P2993" s="5"/>
      <c r="Q2993" s="24"/>
    </row>
    <row r="2994" ht="14.25" customHeight="1">
      <c r="A2994" s="1">
        <v>86.0</v>
      </c>
      <c r="B2994" s="1">
        <v>5.8</v>
      </c>
      <c r="K2994" s="4"/>
      <c r="P2994" s="5"/>
      <c r="Q2994" s="24"/>
    </row>
    <row r="2995" ht="14.25" customHeight="1">
      <c r="A2995" s="1">
        <v>86.0</v>
      </c>
      <c r="B2995" s="1">
        <v>5.8</v>
      </c>
      <c r="K2995" s="4"/>
      <c r="P2995" s="5"/>
      <c r="Q2995" s="24"/>
    </row>
    <row r="2996" ht="14.25" customHeight="1">
      <c r="A2996" s="1">
        <v>86.0</v>
      </c>
      <c r="B2996" s="1">
        <v>5.8</v>
      </c>
      <c r="K2996" s="4"/>
      <c r="P2996" s="5"/>
      <c r="Q2996" s="24"/>
    </row>
    <row r="2997" ht="14.25" customHeight="1">
      <c r="A2997" s="1">
        <v>86.0</v>
      </c>
      <c r="B2997" s="1">
        <v>5.8</v>
      </c>
      <c r="K2997" s="4"/>
      <c r="P2997" s="5"/>
      <c r="Q2997" s="24"/>
    </row>
    <row r="2998" ht="14.25" customHeight="1">
      <c r="A2998" s="1">
        <v>85.0</v>
      </c>
      <c r="B2998" s="1">
        <v>5.8</v>
      </c>
      <c r="K2998" s="4"/>
      <c r="P2998" s="5"/>
      <c r="Q2998" s="24"/>
    </row>
    <row r="2999" ht="14.25" customHeight="1">
      <c r="A2999" s="1">
        <v>85.0</v>
      </c>
      <c r="B2999" s="1">
        <v>5.8</v>
      </c>
      <c r="K2999" s="4"/>
      <c r="P2999" s="5"/>
      <c r="Q2999" s="24"/>
    </row>
    <row r="3000" ht="14.25" customHeight="1">
      <c r="A3000" s="1">
        <v>85.0</v>
      </c>
      <c r="B3000" s="1">
        <v>5.8</v>
      </c>
      <c r="K3000" s="4"/>
      <c r="P3000" s="5"/>
      <c r="Q3000" s="24"/>
    </row>
    <row r="3001" ht="14.25" customHeight="1">
      <c r="A3001" s="1">
        <v>84.0</v>
      </c>
      <c r="B3001" s="1">
        <v>5.8</v>
      </c>
      <c r="K3001" s="4"/>
      <c r="P3001" s="5"/>
      <c r="Q3001" s="24"/>
    </row>
    <row r="3002" ht="14.25" customHeight="1">
      <c r="A3002" s="1">
        <v>84.0</v>
      </c>
      <c r="B3002" s="1">
        <v>5.8</v>
      </c>
      <c r="K3002" s="4"/>
      <c r="P3002" s="5"/>
      <c r="Q3002" s="24"/>
    </row>
    <row r="3003" ht="14.25" customHeight="1">
      <c r="A3003" s="1">
        <v>82.0</v>
      </c>
      <c r="B3003" s="1">
        <v>5.8</v>
      </c>
      <c r="K3003" s="4"/>
      <c r="P3003" s="5"/>
      <c r="Q3003" s="24"/>
    </row>
    <row r="3004" ht="14.25" customHeight="1">
      <c r="A3004" s="1">
        <v>81.0</v>
      </c>
      <c r="B3004" s="1">
        <v>5.8</v>
      </c>
      <c r="K3004" s="4"/>
      <c r="P3004" s="5"/>
      <c r="Q3004" s="24"/>
    </row>
    <row r="3005" ht="14.25" customHeight="1">
      <c r="A3005" s="1">
        <v>81.0</v>
      </c>
      <c r="B3005" s="1">
        <v>5.8</v>
      </c>
      <c r="K3005" s="4"/>
      <c r="P3005" s="5"/>
      <c r="Q3005" s="24"/>
    </row>
    <row r="3006" ht="14.25" customHeight="1">
      <c r="A3006" s="1">
        <v>74.0</v>
      </c>
      <c r="B3006" s="1">
        <v>5.8</v>
      </c>
      <c r="K3006" s="4"/>
      <c r="P3006" s="5"/>
      <c r="Q3006" s="24"/>
    </row>
    <row r="3007" ht="14.25" customHeight="1">
      <c r="A3007" s="1">
        <v>73.0</v>
      </c>
      <c r="B3007" s="1">
        <v>5.8</v>
      </c>
      <c r="K3007" s="4"/>
      <c r="P3007" s="5"/>
      <c r="Q3007" s="24"/>
    </row>
    <row r="3008" ht="14.25" customHeight="1">
      <c r="A3008" s="1">
        <v>72.0</v>
      </c>
      <c r="B3008" s="1">
        <v>5.8</v>
      </c>
      <c r="K3008" s="4"/>
      <c r="P3008" s="5"/>
      <c r="Q3008" s="24"/>
    </row>
    <row r="3009" ht="14.25" customHeight="1">
      <c r="A3009" s="1">
        <v>165.0</v>
      </c>
      <c r="B3009" s="1">
        <v>5.7</v>
      </c>
      <c r="K3009" s="4"/>
      <c r="P3009" s="5"/>
      <c r="Q3009" s="24"/>
    </row>
    <row r="3010" ht="14.25" customHeight="1">
      <c r="A3010" s="1">
        <v>140.0</v>
      </c>
      <c r="B3010" s="1">
        <v>5.7</v>
      </c>
      <c r="K3010" s="4"/>
      <c r="P3010" s="5"/>
      <c r="Q3010" s="24"/>
    </row>
    <row r="3011" ht="14.25" customHeight="1">
      <c r="A3011" s="1">
        <v>139.0</v>
      </c>
      <c r="B3011" s="1">
        <v>5.7</v>
      </c>
      <c r="K3011" s="4"/>
      <c r="P3011" s="5"/>
      <c r="Q3011" s="24"/>
    </row>
    <row r="3012" ht="14.25" customHeight="1">
      <c r="A3012" s="1">
        <v>138.0</v>
      </c>
      <c r="B3012" s="1">
        <v>5.7</v>
      </c>
      <c r="K3012" s="4"/>
      <c r="P3012" s="5"/>
      <c r="Q3012" s="24"/>
    </row>
    <row r="3013" ht="14.25" customHeight="1">
      <c r="A3013" s="1">
        <v>131.0</v>
      </c>
      <c r="B3013" s="1">
        <v>5.7</v>
      </c>
      <c r="K3013" s="4"/>
      <c r="P3013" s="5"/>
      <c r="Q3013" s="24"/>
    </row>
    <row r="3014" ht="14.25" customHeight="1">
      <c r="A3014" s="1">
        <v>125.0</v>
      </c>
      <c r="B3014" s="1">
        <v>5.7</v>
      </c>
      <c r="K3014" s="4"/>
      <c r="P3014" s="5"/>
      <c r="Q3014" s="24"/>
    </row>
    <row r="3015" ht="14.25" customHeight="1">
      <c r="A3015" s="1">
        <v>124.0</v>
      </c>
      <c r="B3015" s="1">
        <v>5.7</v>
      </c>
      <c r="K3015" s="4"/>
      <c r="P3015" s="5"/>
      <c r="Q3015" s="24"/>
    </row>
    <row r="3016" ht="14.25" customHeight="1">
      <c r="A3016" s="1">
        <v>121.0</v>
      </c>
      <c r="B3016" s="1">
        <v>5.7</v>
      </c>
      <c r="K3016" s="4"/>
      <c r="P3016" s="5"/>
      <c r="Q3016" s="24"/>
    </row>
    <row r="3017" ht="14.25" customHeight="1">
      <c r="A3017" s="1">
        <v>120.0</v>
      </c>
      <c r="B3017" s="1">
        <v>5.7</v>
      </c>
      <c r="K3017" s="4"/>
      <c r="P3017" s="5"/>
      <c r="Q3017" s="24"/>
    </row>
    <row r="3018" ht="14.25" customHeight="1">
      <c r="A3018" s="1">
        <v>119.0</v>
      </c>
      <c r="B3018" s="1">
        <v>5.7</v>
      </c>
      <c r="K3018" s="4"/>
      <c r="P3018" s="5"/>
      <c r="Q3018" s="24"/>
    </row>
    <row r="3019" ht="14.25" customHeight="1">
      <c r="A3019" s="1">
        <v>119.0</v>
      </c>
      <c r="B3019" s="1">
        <v>5.7</v>
      </c>
      <c r="K3019" s="4"/>
      <c r="P3019" s="5"/>
      <c r="Q3019" s="24"/>
    </row>
    <row r="3020" ht="14.25" customHeight="1">
      <c r="A3020" s="1">
        <v>119.0</v>
      </c>
      <c r="B3020" s="1">
        <v>5.7</v>
      </c>
      <c r="K3020" s="4"/>
      <c r="P3020" s="5"/>
      <c r="Q3020" s="24"/>
    </row>
    <row r="3021" ht="14.25" customHeight="1">
      <c r="A3021" s="1">
        <v>118.0</v>
      </c>
      <c r="B3021" s="1">
        <v>5.7</v>
      </c>
      <c r="K3021" s="4"/>
      <c r="P3021" s="5"/>
      <c r="Q3021" s="24"/>
    </row>
    <row r="3022" ht="14.25" customHeight="1">
      <c r="A3022" s="1">
        <v>118.0</v>
      </c>
      <c r="B3022" s="1">
        <v>5.7</v>
      </c>
      <c r="K3022" s="4"/>
      <c r="P3022" s="5"/>
      <c r="Q3022" s="24"/>
    </row>
    <row r="3023" ht="14.25" customHeight="1">
      <c r="A3023" s="1">
        <v>118.0</v>
      </c>
      <c r="B3023" s="1">
        <v>5.7</v>
      </c>
      <c r="K3023" s="4"/>
      <c r="P3023" s="5"/>
      <c r="Q3023" s="24"/>
    </row>
    <row r="3024" ht="14.25" customHeight="1">
      <c r="A3024" s="1">
        <v>117.0</v>
      </c>
      <c r="B3024" s="1">
        <v>5.7</v>
      </c>
      <c r="K3024" s="4"/>
      <c r="P3024" s="5"/>
      <c r="Q3024" s="24"/>
    </row>
    <row r="3025" ht="14.25" customHeight="1">
      <c r="A3025" s="1">
        <v>116.0</v>
      </c>
      <c r="B3025" s="1">
        <v>5.7</v>
      </c>
      <c r="K3025" s="4"/>
      <c r="P3025" s="5"/>
      <c r="Q3025" s="24"/>
    </row>
    <row r="3026" ht="14.25" customHeight="1">
      <c r="A3026" s="1">
        <v>116.0</v>
      </c>
      <c r="B3026" s="1">
        <v>5.7</v>
      </c>
      <c r="K3026" s="4"/>
      <c r="P3026" s="5"/>
      <c r="Q3026" s="24"/>
    </row>
    <row r="3027" ht="14.25" customHeight="1">
      <c r="A3027" s="1">
        <v>115.0</v>
      </c>
      <c r="B3027" s="1">
        <v>5.7</v>
      </c>
      <c r="K3027" s="4"/>
      <c r="P3027" s="5"/>
      <c r="Q3027" s="24"/>
    </row>
    <row r="3028" ht="14.25" customHeight="1">
      <c r="A3028" s="1">
        <v>115.0</v>
      </c>
      <c r="B3028" s="1">
        <v>5.7</v>
      </c>
      <c r="K3028" s="4"/>
      <c r="P3028" s="5"/>
      <c r="Q3028" s="24"/>
    </row>
    <row r="3029" ht="14.25" customHeight="1">
      <c r="A3029" s="1">
        <v>113.0</v>
      </c>
      <c r="B3029" s="1">
        <v>5.7</v>
      </c>
      <c r="K3029" s="4"/>
      <c r="P3029" s="5"/>
      <c r="Q3029" s="24"/>
    </row>
    <row r="3030" ht="14.25" customHeight="1">
      <c r="A3030" s="1">
        <v>113.0</v>
      </c>
      <c r="B3030" s="1">
        <v>5.7</v>
      </c>
      <c r="K3030" s="4"/>
      <c r="P3030" s="5"/>
      <c r="Q3030" s="24"/>
    </row>
    <row r="3031" ht="14.25" customHeight="1">
      <c r="A3031" s="1">
        <v>112.0</v>
      </c>
      <c r="B3031" s="1">
        <v>5.7</v>
      </c>
      <c r="K3031" s="4"/>
      <c r="P3031" s="5"/>
      <c r="Q3031" s="24"/>
    </row>
    <row r="3032" ht="14.25" customHeight="1">
      <c r="A3032" s="1">
        <v>110.0</v>
      </c>
      <c r="B3032" s="1">
        <v>5.7</v>
      </c>
      <c r="K3032" s="4"/>
      <c r="P3032" s="5"/>
      <c r="Q3032" s="24"/>
    </row>
    <row r="3033" ht="14.25" customHeight="1">
      <c r="A3033" s="1">
        <v>110.0</v>
      </c>
      <c r="B3033" s="1">
        <v>5.7</v>
      </c>
      <c r="K3033" s="4"/>
      <c r="P3033" s="5"/>
      <c r="Q3033" s="24"/>
    </row>
    <row r="3034" ht="14.25" customHeight="1">
      <c r="A3034" s="1">
        <v>109.0</v>
      </c>
      <c r="B3034" s="1">
        <v>5.7</v>
      </c>
      <c r="K3034" s="4"/>
      <c r="P3034" s="5"/>
      <c r="Q3034" s="24"/>
    </row>
    <row r="3035" ht="14.25" customHeight="1">
      <c r="A3035" s="1">
        <v>109.0</v>
      </c>
      <c r="B3035" s="1">
        <v>5.7</v>
      </c>
      <c r="K3035" s="4"/>
      <c r="P3035" s="5"/>
      <c r="Q3035" s="24"/>
    </row>
    <row r="3036" ht="14.25" customHeight="1">
      <c r="A3036" s="1">
        <v>109.0</v>
      </c>
      <c r="B3036" s="1">
        <v>5.7</v>
      </c>
      <c r="K3036" s="4"/>
      <c r="P3036" s="5"/>
      <c r="Q3036" s="24"/>
    </row>
    <row r="3037" ht="14.25" customHeight="1">
      <c r="A3037" s="1">
        <v>107.0</v>
      </c>
      <c r="B3037" s="1">
        <v>5.7</v>
      </c>
      <c r="K3037" s="4"/>
      <c r="P3037" s="5"/>
      <c r="Q3037" s="24"/>
    </row>
    <row r="3038" ht="14.25" customHeight="1">
      <c r="A3038" s="1">
        <v>107.0</v>
      </c>
      <c r="B3038" s="1">
        <v>5.7</v>
      </c>
      <c r="K3038" s="4"/>
      <c r="P3038" s="5"/>
      <c r="Q3038" s="24"/>
    </row>
    <row r="3039" ht="14.25" customHeight="1">
      <c r="A3039" s="1">
        <v>107.0</v>
      </c>
      <c r="B3039" s="1">
        <v>5.7</v>
      </c>
      <c r="K3039" s="4"/>
      <c r="P3039" s="5"/>
      <c r="Q3039" s="24"/>
    </row>
    <row r="3040" ht="14.25" customHeight="1">
      <c r="A3040" s="1">
        <v>106.0</v>
      </c>
      <c r="B3040" s="1">
        <v>5.7</v>
      </c>
      <c r="K3040" s="4"/>
      <c r="P3040" s="5"/>
      <c r="Q3040" s="24"/>
    </row>
    <row r="3041" ht="14.25" customHeight="1">
      <c r="A3041" s="1">
        <v>106.0</v>
      </c>
      <c r="B3041" s="1">
        <v>5.7</v>
      </c>
      <c r="K3041" s="4"/>
      <c r="P3041" s="5"/>
      <c r="Q3041" s="24"/>
    </row>
    <row r="3042" ht="14.25" customHeight="1">
      <c r="A3042" s="1">
        <v>106.0</v>
      </c>
      <c r="B3042" s="1">
        <v>5.7</v>
      </c>
      <c r="K3042" s="4"/>
      <c r="P3042" s="5"/>
      <c r="Q3042" s="24"/>
    </row>
    <row r="3043" ht="14.25" customHeight="1">
      <c r="A3043" s="1">
        <v>106.0</v>
      </c>
      <c r="B3043" s="1">
        <v>5.7</v>
      </c>
      <c r="K3043" s="4"/>
      <c r="P3043" s="5"/>
      <c r="Q3043" s="24"/>
    </row>
    <row r="3044" ht="14.25" customHeight="1">
      <c r="A3044" s="1">
        <v>105.0</v>
      </c>
      <c r="B3044" s="1">
        <v>5.7</v>
      </c>
      <c r="K3044" s="4"/>
      <c r="P3044" s="5"/>
      <c r="Q3044" s="24"/>
    </row>
    <row r="3045" ht="14.25" customHeight="1">
      <c r="A3045" s="1">
        <v>104.0</v>
      </c>
      <c r="B3045" s="1">
        <v>5.7</v>
      </c>
      <c r="K3045" s="4"/>
      <c r="P3045" s="5"/>
      <c r="Q3045" s="24"/>
    </row>
    <row r="3046" ht="14.25" customHeight="1">
      <c r="A3046" s="1">
        <v>103.0</v>
      </c>
      <c r="B3046" s="1">
        <v>5.7</v>
      </c>
      <c r="K3046" s="4"/>
      <c r="P3046" s="5"/>
      <c r="Q3046" s="24"/>
    </row>
    <row r="3047" ht="14.25" customHeight="1">
      <c r="A3047" s="1">
        <v>102.0</v>
      </c>
      <c r="B3047" s="1">
        <v>5.7</v>
      </c>
      <c r="K3047" s="4"/>
      <c r="P3047" s="5"/>
      <c r="Q3047" s="24"/>
    </row>
    <row r="3048" ht="14.25" customHeight="1">
      <c r="A3048" s="1">
        <v>102.0</v>
      </c>
      <c r="B3048" s="1">
        <v>5.7</v>
      </c>
      <c r="K3048" s="4"/>
      <c r="P3048" s="5"/>
      <c r="Q3048" s="24"/>
    </row>
    <row r="3049" ht="14.25" customHeight="1">
      <c r="A3049" s="1">
        <v>102.0</v>
      </c>
      <c r="B3049" s="1">
        <v>5.7</v>
      </c>
      <c r="K3049" s="4"/>
      <c r="P3049" s="5"/>
      <c r="Q3049" s="24"/>
    </row>
    <row r="3050" ht="14.25" customHeight="1">
      <c r="A3050" s="1">
        <v>102.0</v>
      </c>
      <c r="B3050" s="1">
        <v>5.7</v>
      </c>
      <c r="K3050" s="4"/>
      <c r="P3050" s="5"/>
      <c r="Q3050" s="24"/>
    </row>
    <row r="3051" ht="14.25" customHeight="1">
      <c r="A3051" s="1">
        <v>101.0</v>
      </c>
      <c r="B3051" s="1">
        <v>5.7</v>
      </c>
      <c r="K3051" s="4"/>
      <c r="P3051" s="5"/>
      <c r="Q3051" s="24"/>
    </row>
    <row r="3052" ht="14.25" customHeight="1">
      <c r="A3052" s="1">
        <v>101.0</v>
      </c>
      <c r="B3052" s="1">
        <v>5.7</v>
      </c>
      <c r="K3052" s="4"/>
      <c r="P3052" s="5"/>
      <c r="Q3052" s="24"/>
    </row>
    <row r="3053" ht="14.25" customHeight="1">
      <c r="A3053" s="1">
        <v>101.0</v>
      </c>
      <c r="B3053" s="1">
        <v>5.7</v>
      </c>
      <c r="K3053" s="4"/>
      <c r="P3053" s="5"/>
      <c r="Q3053" s="24"/>
    </row>
    <row r="3054" ht="14.25" customHeight="1">
      <c r="A3054" s="1">
        <v>100.0</v>
      </c>
      <c r="B3054" s="1">
        <v>5.7</v>
      </c>
      <c r="K3054" s="4"/>
      <c r="P3054" s="5"/>
      <c r="Q3054" s="24"/>
    </row>
    <row r="3055" ht="14.25" customHeight="1">
      <c r="A3055" s="1">
        <v>100.0</v>
      </c>
      <c r="B3055" s="1">
        <v>5.7</v>
      </c>
      <c r="K3055" s="4"/>
      <c r="P3055" s="5"/>
      <c r="Q3055" s="24"/>
    </row>
    <row r="3056" ht="14.25" customHeight="1">
      <c r="A3056" s="1">
        <v>100.0</v>
      </c>
      <c r="B3056" s="1">
        <v>5.7</v>
      </c>
      <c r="K3056" s="4"/>
      <c r="P3056" s="5"/>
      <c r="Q3056" s="24"/>
    </row>
    <row r="3057" ht="14.25" customHeight="1">
      <c r="A3057" s="1">
        <v>100.0</v>
      </c>
      <c r="B3057" s="1">
        <v>5.7</v>
      </c>
      <c r="K3057" s="4"/>
      <c r="P3057" s="5"/>
      <c r="Q3057" s="24"/>
    </row>
    <row r="3058" ht="14.25" customHeight="1">
      <c r="A3058" s="1">
        <v>100.0</v>
      </c>
      <c r="B3058" s="1">
        <v>5.7</v>
      </c>
      <c r="K3058" s="4"/>
      <c r="P3058" s="5"/>
      <c r="Q3058" s="24"/>
    </row>
    <row r="3059" ht="14.25" customHeight="1">
      <c r="A3059" s="1">
        <v>100.0</v>
      </c>
      <c r="B3059" s="1">
        <v>5.7</v>
      </c>
      <c r="K3059" s="4"/>
      <c r="P3059" s="5"/>
      <c r="Q3059" s="24"/>
    </row>
    <row r="3060" ht="14.25" customHeight="1">
      <c r="A3060" s="1">
        <v>99.0</v>
      </c>
      <c r="B3060" s="1">
        <v>5.7</v>
      </c>
      <c r="K3060" s="4"/>
      <c r="P3060" s="5"/>
      <c r="Q3060" s="24"/>
    </row>
    <row r="3061" ht="14.25" customHeight="1">
      <c r="A3061" s="1">
        <v>99.0</v>
      </c>
      <c r="B3061" s="1">
        <v>5.7</v>
      </c>
      <c r="K3061" s="4"/>
      <c r="P3061" s="5"/>
      <c r="Q3061" s="24"/>
    </row>
    <row r="3062" ht="14.25" customHeight="1">
      <c r="A3062" s="1">
        <v>99.0</v>
      </c>
      <c r="B3062" s="1">
        <v>5.7</v>
      </c>
      <c r="K3062" s="4"/>
      <c r="P3062" s="5"/>
      <c r="Q3062" s="24"/>
    </row>
    <row r="3063" ht="14.25" customHeight="1">
      <c r="A3063" s="1">
        <v>98.0</v>
      </c>
      <c r="B3063" s="1">
        <v>5.7</v>
      </c>
      <c r="K3063" s="4"/>
      <c r="P3063" s="5"/>
      <c r="Q3063" s="24"/>
    </row>
    <row r="3064" ht="14.25" customHeight="1">
      <c r="A3064" s="1">
        <v>98.0</v>
      </c>
      <c r="B3064" s="1">
        <v>5.7</v>
      </c>
      <c r="K3064" s="4"/>
      <c r="P3064" s="5"/>
      <c r="Q3064" s="24"/>
    </row>
    <row r="3065" ht="14.25" customHeight="1">
      <c r="A3065" s="1">
        <v>98.0</v>
      </c>
      <c r="B3065" s="1">
        <v>5.7</v>
      </c>
      <c r="K3065" s="4"/>
      <c r="P3065" s="5"/>
      <c r="Q3065" s="24"/>
    </row>
    <row r="3066" ht="14.25" customHeight="1">
      <c r="A3066" s="1">
        <v>98.0</v>
      </c>
      <c r="B3066" s="1">
        <v>5.7</v>
      </c>
      <c r="K3066" s="4"/>
      <c r="P3066" s="5"/>
      <c r="Q3066" s="24"/>
    </row>
    <row r="3067" ht="14.25" customHeight="1">
      <c r="A3067" s="1">
        <v>97.0</v>
      </c>
      <c r="B3067" s="1">
        <v>5.7</v>
      </c>
      <c r="K3067" s="4"/>
      <c r="P3067" s="5"/>
      <c r="Q3067" s="24"/>
    </row>
    <row r="3068" ht="14.25" customHeight="1">
      <c r="A3068" s="1">
        <v>96.0</v>
      </c>
      <c r="B3068" s="1">
        <v>5.7</v>
      </c>
      <c r="K3068" s="4"/>
      <c r="P3068" s="5"/>
      <c r="Q3068" s="24"/>
    </row>
    <row r="3069" ht="14.25" customHeight="1">
      <c r="A3069" s="1">
        <v>95.0</v>
      </c>
      <c r="B3069" s="1">
        <v>5.7</v>
      </c>
      <c r="K3069" s="4"/>
      <c r="P3069" s="5"/>
      <c r="Q3069" s="24"/>
    </row>
    <row r="3070" ht="14.25" customHeight="1">
      <c r="A3070" s="1">
        <v>95.0</v>
      </c>
      <c r="B3070" s="1">
        <v>5.7</v>
      </c>
      <c r="K3070" s="4"/>
      <c r="P3070" s="5"/>
      <c r="Q3070" s="24"/>
    </row>
    <row r="3071" ht="14.25" customHeight="1">
      <c r="A3071" s="1">
        <v>95.0</v>
      </c>
      <c r="B3071" s="1">
        <v>5.7</v>
      </c>
      <c r="K3071" s="4"/>
      <c r="P3071" s="5"/>
      <c r="Q3071" s="24"/>
    </row>
    <row r="3072" ht="14.25" customHeight="1">
      <c r="A3072" s="1">
        <v>94.0</v>
      </c>
      <c r="B3072" s="1">
        <v>5.7</v>
      </c>
      <c r="K3072" s="4"/>
      <c r="P3072" s="5"/>
      <c r="Q3072" s="24"/>
    </row>
    <row r="3073" ht="14.25" customHeight="1">
      <c r="A3073" s="1">
        <v>93.0</v>
      </c>
      <c r="B3073" s="1">
        <v>5.7</v>
      </c>
      <c r="K3073" s="4"/>
      <c r="P3073" s="5"/>
      <c r="Q3073" s="24"/>
    </row>
    <row r="3074" ht="14.25" customHeight="1">
      <c r="A3074" s="1">
        <v>93.0</v>
      </c>
      <c r="B3074" s="1">
        <v>5.7</v>
      </c>
      <c r="K3074" s="4"/>
      <c r="P3074" s="5"/>
      <c r="Q3074" s="24"/>
    </row>
    <row r="3075" ht="14.25" customHeight="1">
      <c r="A3075" s="1">
        <v>92.0</v>
      </c>
      <c r="B3075" s="1">
        <v>5.7</v>
      </c>
      <c r="K3075" s="4"/>
      <c r="P3075" s="5"/>
      <c r="Q3075" s="24"/>
    </row>
    <row r="3076" ht="14.25" customHeight="1">
      <c r="A3076" s="1">
        <v>92.0</v>
      </c>
      <c r="B3076" s="1">
        <v>5.7</v>
      </c>
      <c r="K3076" s="4"/>
      <c r="P3076" s="5"/>
      <c r="Q3076" s="24"/>
    </row>
    <row r="3077" ht="14.25" customHeight="1">
      <c r="A3077" s="1">
        <v>92.0</v>
      </c>
      <c r="B3077" s="1">
        <v>5.7</v>
      </c>
      <c r="K3077" s="4"/>
      <c r="P3077" s="5"/>
      <c r="Q3077" s="24"/>
    </row>
    <row r="3078" ht="14.25" customHeight="1">
      <c r="A3078" s="1">
        <v>91.0</v>
      </c>
      <c r="B3078" s="1">
        <v>5.7</v>
      </c>
      <c r="K3078" s="4"/>
      <c r="P3078" s="5"/>
      <c r="Q3078" s="24"/>
    </row>
    <row r="3079" ht="14.25" customHeight="1">
      <c r="A3079" s="1">
        <v>91.0</v>
      </c>
      <c r="B3079" s="1">
        <v>5.7</v>
      </c>
      <c r="K3079" s="4"/>
      <c r="P3079" s="5"/>
      <c r="Q3079" s="24"/>
    </row>
    <row r="3080" ht="14.25" customHeight="1">
      <c r="A3080" s="1">
        <v>91.0</v>
      </c>
      <c r="B3080" s="1">
        <v>5.7</v>
      </c>
      <c r="K3080" s="4"/>
      <c r="P3080" s="5"/>
      <c r="Q3080" s="24"/>
    </row>
    <row r="3081" ht="14.25" customHeight="1">
      <c r="A3081" s="1">
        <v>90.0</v>
      </c>
      <c r="B3081" s="1">
        <v>5.7</v>
      </c>
      <c r="K3081" s="4"/>
      <c r="P3081" s="5"/>
      <c r="Q3081" s="24"/>
    </row>
    <row r="3082" ht="14.25" customHeight="1">
      <c r="A3082" s="1">
        <v>90.0</v>
      </c>
      <c r="B3082" s="1">
        <v>5.7</v>
      </c>
      <c r="K3082" s="4"/>
      <c r="P3082" s="5"/>
      <c r="Q3082" s="24"/>
    </row>
    <row r="3083" ht="14.25" customHeight="1">
      <c r="A3083" s="1">
        <v>88.0</v>
      </c>
      <c r="B3083" s="1">
        <v>5.7</v>
      </c>
      <c r="K3083" s="4"/>
      <c r="P3083" s="5"/>
      <c r="Q3083" s="24"/>
    </row>
    <row r="3084" ht="14.25" customHeight="1">
      <c r="A3084" s="1">
        <v>88.0</v>
      </c>
      <c r="B3084" s="1">
        <v>5.7</v>
      </c>
      <c r="K3084" s="4"/>
      <c r="P3084" s="5"/>
      <c r="Q3084" s="24"/>
    </row>
    <row r="3085" ht="14.25" customHeight="1">
      <c r="A3085" s="1">
        <v>87.0</v>
      </c>
      <c r="B3085" s="1">
        <v>5.7</v>
      </c>
      <c r="K3085" s="4"/>
      <c r="P3085" s="5"/>
      <c r="Q3085" s="24"/>
    </row>
    <row r="3086" ht="14.25" customHeight="1">
      <c r="A3086" s="1">
        <v>87.0</v>
      </c>
      <c r="B3086" s="1">
        <v>5.7</v>
      </c>
      <c r="K3086" s="4"/>
      <c r="P3086" s="5"/>
      <c r="Q3086" s="24"/>
    </row>
    <row r="3087" ht="14.25" customHeight="1">
      <c r="A3087" s="1">
        <v>85.0</v>
      </c>
      <c r="B3087" s="1">
        <v>5.7</v>
      </c>
      <c r="K3087" s="4"/>
      <c r="P3087" s="5"/>
      <c r="Q3087" s="24"/>
    </row>
    <row r="3088" ht="14.25" customHeight="1">
      <c r="A3088" s="1">
        <v>85.0</v>
      </c>
      <c r="B3088" s="1">
        <v>5.7</v>
      </c>
      <c r="K3088" s="4"/>
      <c r="P3088" s="5"/>
      <c r="Q3088" s="24"/>
    </row>
    <row r="3089" ht="14.25" customHeight="1">
      <c r="A3089" s="1">
        <v>83.0</v>
      </c>
      <c r="B3089" s="1">
        <v>5.7</v>
      </c>
      <c r="K3089" s="4"/>
      <c r="P3089" s="5"/>
      <c r="Q3089" s="24"/>
    </row>
    <row r="3090" ht="14.25" customHeight="1">
      <c r="A3090" s="1">
        <v>83.0</v>
      </c>
      <c r="B3090" s="1">
        <v>5.7</v>
      </c>
      <c r="K3090" s="4"/>
      <c r="P3090" s="5"/>
      <c r="Q3090" s="24"/>
    </row>
    <row r="3091" ht="14.25" customHeight="1">
      <c r="A3091" s="1">
        <v>81.0</v>
      </c>
      <c r="B3091" s="1">
        <v>5.7</v>
      </c>
      <c r="K3091" s="4"/>
      <c r="P3091" s="5"/>
      <c r="Q3091" s="24"/>
    </row>
    <row r="3092" ht="14.25" customHeight="1">
      <c r="A3092" s="1">
        <v>80.0</v>
      </c>
      <c r="B3092" s="1">
        <v>5.7</v>
      </c>
      <c r="K3092" s="4"/>
      <c r="P3092" s="5"/>
      <c r="Q3092" s="24"/>
    </row>
    <row r="3093" ht="14.25" customHeight="1">
      <c r="A3093" s="1">
        <v>79.0</v>
      </c>
      <c r="B3093" s="1">
        <v>5.7</v>
      </c>
      <c r="K3093" s="4"/>
      <c r="P3093" s="5"/>
      <c r="Q3093" s="24"/>
    </row>
    <row r="3094" ht="14.25" customHeight="1">
      <c r="A3094" s="1">
        <v>72.0</v>
      </c>
      <c r="B3094" s="1">
        <v>5.7</v>
      </c>
      <c r="K3094" s="4"/>
      <c r="P3094" s="5"/>
      <c r="Q3094" s="24"/>
    </row>
    <row r="3095" ht="14.25" customHeight="1">
      <c r="A3095" s="1">
        <v>170.0</v>
      </c>
      <c r="B3095" s="1">
        <v>5.6</v>
      </c>
      <c r="K3095" s="4"/>
      <c r="P3095" s="5"/>
      <c r="Q3095" s="24"/>
    </row>
    <row r="3096" ht="14.25" customHeight="1">
      <c r="A3096" s="1">
        <v>124.0</v>
      </c>
      <c r="B3096" s="1">
        <v>5.6</v>
      </c>
      <c r="K3096" s="4"/>
      <c r="P3096" s="5"/>
      <c r="Q3096" s="24"/>
    </row>
    <row r="3097" ht="14.25" customHeight="1">
      <c r="A3097" s="1">
        <v>123.0</v>
      </c>
      <c r="B3097" s="1">
        <v>5.6</v>
      </c>
      <c r="K3097" s="4"/>
      <c r="P3097" s="5"/>
      <c r="Q3097" s="24"/>
    </row>
    <row r="3098" ht="14.25" customHeight="1">
      <c r="A3098" s="1">
        <v>121.0</v>
      </c>
      <c r="B3098" s="1">
        <v>5.6</v>
      </c>
      <c r="K3098" s="4"/>
      <c r="P3098" s="5"/>
      <c r="Q3098" s="24"/>
    </row>
    <row r="3099" ht="14.25" customHeight="1">
      <c r="A3099" s="1">
        <v>119.0</v>
      </c>
      <c r="B3099" s="1">
        <v>5.6</v>
      </c>
      <c r="K3099" s="4"/>
      <c r="P3099" s="5"/>
      <c r="Q3099" s="24"/>
    </row>
    <row r="3100" ht="14.25" customHeight="1">
      <c r="A3100" s="1">
        <v>118.0</v>
      </c>
      <c r="B3100" s="1">
        <v>5.6</v>
      </c>
      <c r="K3100" s="4"/>
      <c r="P3100" s="5"/>
      <c r="Q3100" s="24"/>
    </row>
    <row r="3101" ht="14.25" customHeight="1">
      <c r="A3101" s="1">
        <v>116.0</v>
      </c>
      <c r="B3101" s="1">
        <v>5.6</v>
      </c>
      <c r="K3101" s="4"/>
      <c r="P3101" s="5"/>
      <c r="Q3101" s="24"/>
    </row>
    <row r="3102" ht="14.25" customHeight="1">
      <c r="A3102" s="1">
        <v>116.0</v>
      </c>
      <c r="B3102" s="1">
        <v>5.6</v>
      </c>
      <c r="K3102" s="4"/>
      <c r="P3102" s="5"/>
      <c r="Q3102" s="24"/>
    </row>
    <row r="3103" ht="14.25" customHeight="1">
      <c r="A3103" s="1">
        <v>116.0</v>
      </c>
      <c r="B3103" s="1">
        <v>5.6</v>
      </c>
      <c r="K3103" s="4"/>
      <c r="P3103" s="5"/>
      <c r="Q3103" s="24"/>
    </row>
    <row r="3104" ht="14.25" customHeight="1">
      <c r="A3104" s="1">
        <v>116.0</v>
      </c>
      <c r="B3104" s="1">
        <v>5.6</v>
      </c>
      <c r="K3104" s="4"/>
      <c r="P3104" s="5"/>
      <c r="Q3104" s="24"/>
    </row>
    <row r="3105" ht="14.25" customHeight="1">
      <c r="A3105" s="1">
        <v>115.0</v>
      </c>
      <c r="B3105" s="1">
        <v>5.6</v>
      </c>
      <c r="K3105" s="4"/>
      <c r="P3105" s="5"/>
      <c r="Q3105" s="24"/>
    </row>
    <row r="3106" ht="14.25" customHeight="1">
      <c r="A3106" s="1">
        <v>115.0</v>
      </c>
      <c r="B3106" s="1">
        <v>5.6</v>
      </c>
      <c r="K3106" s="4"/>
      <c r="P3106" s="5"/>
      <c r="Q3106" s="24"/>
    </row>
    <row r="3107" ht="14.25" customHeight="1">
      <c r="A3107" s="1">
        <v>114.0</v>
      </c>
      <c r="B3107" s="1">
        <v>5.6</v>
      </c>
      <c r="K3107" s="4"/>
      <c r="P3107" s="5"/>
      <c r="Q3107" s="24"/>
    </row>
    <row r="3108" ht="14.25" customHeight="1">
      <c r="A3108" s="1">
        <v>114.0</v>
      </c>
      <c r="B3108" s="1">
        <v>5.6</v>
      </c>
      <c r="K3108" s="4"/>
      <c r="P3108" s="5"/>
      <c r="Q3108" s="24"/>
    </row>
    <row r="3109" ht="14.25" customHeight="1">
      <c r="A3109" s="1">
        <v>114.0</v>
      </c>
      <c r="B3109" s="1">
        <v>5.6</v>
      </c>
      <c r="K3109" s="4"/>
      <c r="P3109" s="5"/>
      <c r="Q3109" s="24"/>
    </row>
    <row r="3110" ht="14.25" customHeight="1">
      <c r="A3110" s="1">
        <v>113.0</v>
      </c>
      <c r="B3110" s="1">
        <v>5.6</v>
      </c>
      <c r="K3110" s="4"/>
      <c r="P3110" s="5"/>
      <c r="Q3110" s="24"/>
    </row>
    <row r="3111" ht="14.25" customHeight="1">
      <c r="A3111" s="1">
        <v>113.0</v>
      </c>
      <c r="B3111" s="1">
        <v>5.6</v>
      </c>
      <c r="K3111" s="4"/>
      <c r="P3111" s="5"/>
      <c r="Q3111" s="24"/>
    </row>
    <row r="3112" ht="14.25" customHeight="1">
      <c r="A3112" s="1">
        <v>112.0</v>
      </c>
      <c r="B3112" s="1">
        <v>5.6</v>
      </c>
      <c r="K3112" s="4"/>
      <c r="P3112" s="5"/>
      <c r="Q3112" s="24"/>
    </row>
    <row r="3113" ht="14.25" customHeight="1">
      <c r="A3113" s="1">
        <v>112.0</v>
      </c>
      <c r="B3113" s="1">
        <v>5.6</v>
      </c>
      <c r="K3113" s="4"/>
      <c r="P3113" s="5"/>
      <c r="Q3113" s="24"/>
    </row>
    <row r="3114" ht="14.25" customHeight="1">
      <c r="A3114" s="1">
        <v>110.0</v>
      </c>
      <c r="B3114" s="1">
        <v>5.6</v>
      </c>
      <c r="K3114" s="4"/>
      <c r="P3114" s="5"/>
      <c r="Q3114" s="24"/>
    </row>
    <row r="3115" ht="14.25" customHeight="1">
      <c r="A3115" s="1">
        <v>110.0</v>
      </c>
      <c r="B3115" s="1">
        <v>5.6</v>
      </c>
      <c r="K3115" s="4"/>
      <c r="P3115" s="5"/>
      <c r="Q3115" s="24"/>
    </row>
    <row r="3116" ht="14.25" customHeight="1">
      <c r="A3116" s="1">
        <v>109.0</v>
      </c>
      <c r="B3116" s="1">
        <v>5.6</v>
      </c>
      <c r="K3116" s="4"/>
      <c r="P3116" s="5"/>
      <c r="Q3116" s="24"/>
    </row>
    <row r="3117" ht="14.25" customHeight="1">
      <c r="A3117" s="1">
        <v>109.0</v>
      </c>
      <c r="B3117" s="1">
        <v>5.6</v>
      </c>
      <c r="K3117" s="4"/>
      <c r="P3117" s="5"/>
      <c r="Q3117" s="24"/>
    </row>
    <row r="3118" ht="14.25" customHeight="1">
      <c r="A3118" s="1">
        <v>109.0</v>
      </c>
      <c r="B3118" s="1">
        <v>5.6</v>
      </c>
      <c r="K3118" s="4"/>
      <c r="P3118" s="5"/>
      <c r="Q3118" s="24"/>
    </row>
    <row r="3119" ht="14.25" customHeight="1">
      <c r="A3119" s="1">
        <v>108.0</v>
      </c>
      <c r="B3119" s="1">
        <v>5.6</v>
      </c>
      <c r="K3119" s="4"/>
      <c r="P3119" s="5"/>
      <c r="Q3119" s="24"/>
    </row>
    <row r="3120" ht="14.25" customHeight="1">
      <c r="A3120" s="1">
        <v>108.0</v>
      </c>
      <c r="B3120" s="1">
        <v>5.6</v>
      </c>
      <c r="K3120" s="4"/>
      <c r="P3120" s="5"/>
      <c r="Q3120" s="24"/>
    </row>
    <row r="3121" ht="14.25" customHeight="1">
      <c r="A3121" s="1">
        <v>107.0</v>
      </c>
      <c r="B3121" s="1">
        <v>5.6</v>
      </c>
      <c r="K3121" s="4"/>
      <c r="P3121" s="5"/>
      <c r="Q3121" s="24"/>
    </row>
    <row r="3122" ht="14.25" customHeight="1">
      <c r="A3122" s="1">
        <v>107.0</v>
      </c>
      <c r="B3122" s="1">
        <v>5.6</v>
      </c>
      <c r="K3122" s="4"/>
      <c r="P3122" s="5"/>
      <c r="Q3122" s="24"/>
    </row>
    <row r="3123" ht="14.25" customHeight="1">
      <c r="A3123" s="1">
        <v>107.0</v>
      </c>
      <c r="B3123" s="1">
        <v>5.6</v>
      </c>
      <c r="K3123" s="4"/>
      <c r="P3123" s="5"/>
      <c r="Q3123" s="24"/>
    </row>
    <row r="3124" ht="14.25" customHeight="1">
      <c r="A3124" s="1">
        <v>107.0</v>
      </c>
      <c r="B3124" s="1">
        <v>5.6</v>
      </c>
      <c r="K3124" s="4"/>
      <c r="P3124" s="5"/>
      <c r="Q3124" s="24"/>
    </row>
    <row r="3125" ht="14.25" customHeight="1">
      <c r="A3125" s="1">
        <v>107.0</v>
      </c>
      <c r="B3125" s="1">
        <v>5.6</v>
      </c>
      <c r="K3125" s="4"/>
      <c r="P3125" s="5"/>
      <c r="Q3125" s="24"/>
    </row>
    <row r="3126" ht="14.25" customHeight="1">
      <c r="A3126" s="1">
        <v>107.0</v>
      </c>
      <c r="B3126" s="1">
        <v>5.6</v>
      </c>
      <c r="K3126" s="4"/>
      <c r="P3126" s="5"/>
      <c r="Q3126" s="24"/>
    </row>
    <row r="3127" ht="14.25" customHeight="1">
      <c r="A3127" s="1">
        <v>106.0</v>
      </c>
      <c r="B3127" s="1">
        <v>5.6</v>
      </c>
      <c r="K3127" s="4"/>
      <c r="P3127" s="5"/>
      <c r="Q3127" s="24"/>
    </row>
    <row r="3128" ht="14.25" customHeight="1">
      <c r="A3128" s="1">
        <v>106.0</v>
      </c>
      <c r="B3128" s="1">
        <v>5.6</v>
      </c>
      <c r="K3128" s="4"/>
      <c r="P3128" s="5"/>
      <c r="Q3128" s="24"/>
    </row>
    <row r="3129" ht="14.25" customHeight="1">
      <c r="A3129" s="1">
        <v>106.0</v>
      </c>
      <c r="B3129" s="1">
        <v>5.6</v>
      </c>
      <c r="K3129" s="4"/>
      <c r="P3129" s="5"/>
      <c r="Q3129" s="24"/>
    </row>
    <row r="3130" ht="14.25" customHeight="1">
      <c r="A3130" s="1">
        <v>106.0</v>
      </c>
      <c r="B3130" s="1">
        <v>5.6</v>
      </c>
      <c r="K3130" s="4"/>
      <c r="P3130" s="5"/>
      <c r="Q3130" s="24"/>
    </row>
    <row r="3131" ht="14.25" customHeight="1">
      <c r="A3131" s="1">
        <v>105.0</v>
      </c>
      <c r="B3131" s="1">
        <v>5.6</v>
      </c>
      <c r="K3131" s="4"/>
      <c r="P3131" s="5"/>
      <c r="Q3131" s="24"/>
    </row>
    <row r="3132" ht="14.25" customHeight="1">
      <c r="A3132" s="1">
        <v>105.0</v>
      </c>
      <c r="B3132" s="1">
        <v>5.6</v>
      </c>
      <c r="K3132" s="4"/>
      <c r="P3132" s="5"/>
      <c r="Q3132" s="24"/>
    </row>
    <row r="3133" ht="14.25" customHeight="1">
      <c r="A3133" s="1">
        <v>105.0</v>
      </c>
      <c r="B3133" s="1">
        <v>5.6</v>
      </c>
      <c r="K3133" s="4"/>
      <c r="P3133" s="5"/>
      <c r="Q3133" s="24"/>
    </row>
    <row r="3134" ht="14.25" customHeight="1">
      <c r="A3134" s="1">
        <v>105.0</v>
      </c>
      <c r="B3134" s="1">
        <v>5.6</v>
      </c>
      <c r="K3134" s="4"/>
      <c r="P3134" s="5"/>
      <c r="Q3134" s="24"/>
    </row>
    <row r="3135" ht="14.25" customHeight="1">
      <c r="A3135" s="1">
        <v>104.0</v>
      </c>
      <c r="B3135" s="1">
        <v>5.6</v>
      </c>
      <c r="K3135" s="4"/>
      <c r="P3135" s="5"/>
      <c r="Q3135" s="24"/>
    </row>
    <row r="3136" ht="14.25" customHeight="1">
      <c r="A3136" s="1">
        <v>104.0</v>
      </c>
      <c r="B3136" s="1">
        <v>5.6</v>
      </c>
      <c r="K3136" s="4"/>
      <c r="P3136" s="5"/>
      <c r="Q3136" s="24"/>
    </row>
    <row r="3137" ht="14.25" customHeight="1">
      <c r="A3137" s="1">
        <v>104.0</v>
      </c>
      <c r="B3137" s="1">
        <v>5.6</v>
      </c>
      <c r="K3137" s="4"/>
      <c r="P3137" s="5"/>
      <c r="Q3137" s="24"/>
    </row>
    <row r="3138" ht="14.25" customHeight="1">
      <c r="A3138" s="1">
        <v>103.0</v>
      </c>
      <c r="B3138" s="1">
        <v>5.6</v>
      </c>
      <c r="K3138" s="4"/>
      <c r="P3138" s="5"/>
      <c r="Q3138" s="24"/>
    </row>
    <row r="3139" ht="14.25" customHeight="1">
      <c r="A3139" s="1">
        <v>103.0</v>
      </c>
      <c r="B3139" s="1">
        <v>5.6</v>
      </c>
      <c r="K3139" s="4"/>
      <c r="P3139" s="5"/>
      <c r="Q3139" s="24"/>
    </row>
    <row r="3140" ht="14.25" customHeight="1">
      <c r="A3140" s="1">
        <v>102.0</v>
      </c>
      <c r="B3140" s="1">
        <v>5.6</v>
      </c>
      <c r="K3140" s="4"/>
      <c r="P3140" s="5"/>
      <c r="Q3140" s="24"/>
    </row>
    <row r="3141" ht="14.25" customHeight="1">
      <c r="A3141" s="1">
        <v>102.0</v>
      </c>
      <c r="B3141" s="1">
        <v>5.6</v>
      </c>
      <c r="K3141" s="4"/>
      <c r="P3141" s="5"/>
      <c r="Q3141" s="24"/>
    </row>
    <row r="3142" ht="14.25" customHeight="1">
      <c r="A3142" s="1">
        <v>101.0</v>
      </c>
      <c r="B3142" s="1">
        <v>5.6</v>
      </c>
      <c r="K3142" s="4"/>
      <c r="P3142" s="5"/>
      <c r="Q3142" s="24"/>
    </row>
    <row r="3143" ht="14.25" customHeight="1">
      <c r="A3143" s="1">
        <v>101.0</v>
      </c>
      <c r="B3143" s="1">
        <v>5.6</v>
      </c>
      <c r="K3143" s="4"/>
      <c r="P3143" s="5"/>
      <c r="Q3143" s="24"/>
    </row>
    <row r="3144" ht="14.25" customHeight="1">
      <c r="A3144" s="1">
        <v>101.0</v>
      </c>
      <c r="B3144" s="1">
        <v>5.6</v>
      </c>
      <c r="K3144" s="4"/>
      <c r="P3144" s="5"/>
      <c r="Q3144" s="24"/>
    </row>
    <row r="3145" ht="14.25" customHeight="1">
      <c r="A3145" s="1">
        <v>101.0</v>
      </c>
      <c r="B3145" s="1">
        <v>5.6</v>
      </c>
      <c r="K3145" s="4"/>
      <c r="P3145" s="5"/>
      <c r="Q3145" s="24"/>
    </row>
    <row r="3146" ht="14.25" customHeight="1">
      <c r="A3146" s="1">
        <v>99.0</v>
      </c>
      <c r="B3146" s="1">
        <v>5.6</v>
      </c>
      <c r="K3146" s="4"/>
      <c r="P3146" s="5"/>
      <c r="Q3146" s="24"/>
    </row>
    <row r="3147" ht="14.25" customHeight="1">
      <c r="A3147" s="1">
        <v>99.0</v>
      </c>
      <c r="B3147" s="1">
        <v>5.6</v>
      </c>
      <c r="K3147" s="4"/>
      <c r="P3147" s="5"/>
      <c r="Q3147" s="24"/>
    </row>
    <row r="3148" ht="14.25" customHeight="1">
      <c r="A3148" s="1">
        <v>98.0</v>
      </c>
      <c r="B3148" s="1">
        <v>5.6</v>
      </c>
      <c r="K3148" s="4"/>
      <c r="P3148" s="5"/>
      <c r="Q3148" s="24"/>
    </row>
    <row r="3149" ht="14.25" customHeight="1">
      <c r="A3149" s="1">
        <v>98.0</v>
      </c>
      <c r="B3149" s="1">
        <v>5.6</v>
      </c>
      <c r="K3149" s="4"/>
      <c r="P3149" s="5"/>
      <c r="Q3149" s="24"/>
    </row>
    <row r="3150" ht="14.25" customHeight="1">
      <c r="A3150" s="1">
        <v>98.0</v>
      </c>
      <c r="B3150" s="1">
        <v>5.6</v>
      </c>
      <c r="K3150" s="4"/>
      <c r="P3150" s="5"/>
      <c r="Q3150" s="24"/>
    </row>
    <row r="3151" ht="14.25" customHeight="1">
      <c r="A3151" s="1">
        <v>97.0</v>
      </c>
      <c r="B3151" s="1">
        <v>5.6</v>
      </c>
      <c r="K3151" s="4"/>
      <c r="P3151" s="5"/>
      <c r="Q3151" s="24"/>
    </row>
    <row r="3152" ht="14.25" customHeight="1">
      <c r="A3152" s="1">
        <v>97.0</v>
      </c>
      <c r="B3152" s="1">
        <v>5.6</v>
      </c>
      <c r="K3152" s="4"/>
      <c r="P3152" s="5"/>
      <c r="Q3152" s="24"/>
    </row>
    <row r="3153" ht="14.25" customHeight="1">
      <c r="A3153" s="1">
        <v>96.0</v>
      </c>
      <c r="B3153" s="1">
        <v>5.6</v>
      </c>
      <c r="K3153" s="4"/>
      <c r="P3153" s="5"/>
      <c r="Q3153" s="24"/>
    </row>
    <row r="3154" ht="14.25" customHeight="1">
      <c r="A3154" s="1">
        <v>96.0</v>
      </c>
      <c r="B3154" s="1">
        <v>5.6</v>
      </c>
      <c r="K3154" s="4"/>
      <c r="P3154" s="5"/>
      <c r="Q3154" s="24"/>
    </row>
    <row r="3155" ht="14.25" customHeight="1">
      <c r="A3155" s="1">
        <v>96.0</v>
      </c>
      <c r="B3155" s="1">
        <v>5.6</v>
      </c>
      <c r="K3155" s="4"/>
      <c r="P3155" s="5"/>
      <c r="Q3155" s="24"/>
    </row>
    <row r="3156" ht="14.25" customHeight="1">
      <c r="A3156" s="1">
        <v>96.0</v>
      </c>
      <c r="B3156" s="1">
        <v>5.6</v>
      </c>
      <c r="K3156" s="4"/>
      <c r="P3156" s="5"/>
      <c r="Q3156" s="24"/>
    </row>
    <row r="3157" ht="14.25" customHeight="1">
      <c r="A3157" s="1">
        <v>96.0</v>
      </c>
      <c r="B3157" s="1">
        <v>5.6</v>
      </c>
      <c r="K3157" s="4"/>
      <c r="P3157" s="5"/>
      <c r="Q3157" s="24"/>
    </row>
    <row r="3158" ht="14.25" customHeight="1">
      <c r="A3158" s="1">
        <v>95.0</v>
      </c>
      <c r="B3158" s="1">
        <v>5.6</v>
      </c>
      <c r="K3158" s="4"/>
      <c r="P3158" s="5"/>
      <c r="Q3158" s="24"/>
    </row>
    <row r="3159" ht="14.25" customHeight="1">
      <c r="A3159" s="1">
        <v>95.0</v>
      </c>
      <c r="B3159" s="1">
        <v>5.6</v>
      </c>
      <c r="K3159" s="4"/>
      <c r="P3159" s="5"/>
      <c r="Q3159" s="24"/>
    </row>
    <row r="3160" ht="14.25" customHeight="1">
      <c r="A3160" s="1">
        <v>95.0</v>
      </c>
      <c r="B3160" s="1">
        <v>5.6</v>
      </c>
      <c r="K3160" s="4"/>
      <c r="P3160" s="5"/>
      <c r="Q3160" s="24"/>
    </row>
    <row r="3161" ht="14.25" customHeight="1">
      <c r="A3161" s="1">
        <v>95.0</v>
      </c>
      <c r="B3161" s="1">
        <v>5.6</v>
      </c>
      <c r="K3161" s="4"/>
      <c r="P3161" s="5"/>
      <c r="Q3161" s="24"/>
    </row>
    <row r="3162" ht="14.25" customHeight="1">
      <c r="A3162" s="1">
        <v>95.0</v>
      </c>
      <c r="B3162" s="1">
        <v>5.6</v>
      </c>
      <c r="K3162" s="4"/>
      <c r="P3162" s="5"/>
      <c r="Q3162" s="24"/>
    </row>
    <row r="3163" ht="14.25" customHeight="1">
      <c r="A3163" s="1">
        <v>95.0</v>
      </c>
      <c r="B3163" s="1">
        <v>5.6</v>
      </c>
      <c r="K3163" s="4"/>
      <c r="P3163" s="5"/>
      <c r="Q3163" s="24"/>
    </row>
    <row r="3164" ht="14.25" customHeight="1">
      <c r="A3164" s="1">
        <v>93.0</v>
      </c>
      <c r="B3164" s="1">
        <v>5.6</v>
      </c>
      <c r="K3164" s="4"/>
      <c r="P3164" s="5"/>
      <c r="Q3164" s="24"/>
    </row>
    <row r="3165" ht="14.25" customHeight="1">
      <c r="A3165" s="1">
        <v>93.0</v>
      </c>
      <c r="B3165" s="1">
        <v>5.6</v>
      </c>
      <c r="K3165" s="4"/>
      <c r="P3165" s="5"/>
      <c r="Q3165" s="24"/>
    </row>
    <row r="3166" ht="14.25" customHeight="1">
      <c r="A3166" s="1">
        <v>92.0</v>
      </c>
      <c r="B3166" s="1">
        <v>5.6</v>
      </c>
      <c r="K3166" s="4"/>
      <c r="P3166" s="5"/>
      <c r="Q3166" s="24"/>
    </row>
    <row r="3167" ht="14.25" customHeight="1">
      <c r="A3167" s="1">
        <v>92.0</v>
      </c>
      <c r="B3167" s="1">
        <v>5.6</v>
      </c>
      <c r="K3167" s="4"/>
      <c r="P3167" s="5"/>
      <c r="Q3167" s="24"/>
    </row>
    <row r="3168" ht="14.25" customHeight="1">
      <c r="A3168" s="1">
        <v>91.0</v>
      </c>
      <c r="B3168" s="1">
        <v>5.6</v>
      </c>
      <c r="K3168" s="4"/>
      <c r="P3168" s="5"/>
      <c r="Q3168" s="24"/>
    </row>
    <row r="3169" ht="14.25" customHeight="1">
      <c r="A3169" s="1">
        <v>90.0</v>
      </c>
      <c r="B3169" s="1">
        <v>5.6</v>
      </c>
      <c r="K3169" s="4"/>
      <c r="P3169" s="5"/>
      <c r="Q3169" s="24"/>
    </row>
    <row r="3170" ht="14.25" customHeight="1">
      <c r="A3170" s="1">
        <v>90.0</v>
      </c>
      <c r="B3170" s="1">
        <v>5.6</v>
      </c>
      <c r="K3170" s="4"/>
      <c r="P3170" s="5"/>
      <c r="Q3170" s="24"/>
    </row>
    <row r="3171" ht="14.25" customHeight="1">
      <c r="A3171" s="1">
        <v>89.0</v>
      </c>
      <c r="B3171" s="1">
        <v>5.6</v>
      </c>
      <c r="K3171" s="4"/>
      <c r="P3171" s="5"/>
      <c r="Q3171" s="24"/>
    </row>
    <row r="3172" ht="14.25" customHeight="1">
      <c r="A3172" s="1">
        <v>88.0</v>
      </c>
      <c r="B3172" s="1">
        <v>5.6</v>
      </c>
      <c r="K3172" s="4"/>
      <c r="P3172" s="5"/>
      <c r="Q3172" s="24"/>
    </row>
    <row r="3173" ht="14.25" customHeight="1">
      <c r="A3173" s="1">
        <v>88.0</v>
      </c>
      <c r="B3173" s="1">
        <v>5.6</v>
      </c>
      <c r="K3173" s="4"/>
      <c r="P3173" s="5"/>
      <c r="Q3173" s="24"/>
    </row>
    <row r="3174" ht="14.25" customHeight="1">
      <c r="A3174" s="1">
        <v>88.0</v>
      </c>
      <c r="B3174" s="1">
        <v>5.6</v>
      </c>
      <c r="K3174" s="4"/>
      <c r="P3174" s="5"/>
      <c r="Q3174" s="24"/>
    </row>
    <row r="3175" ht="14.25" customHeight="1">
      <c r="A3175" s="1">
        <v>88.0</v>
      </c>
      <c r="B3175" s="1">
        <v>5.6</v>
      </c>
      <c r="K3175" s="4"/>
      <c r="P3175" s="5"/>
      <c r="Q3175" s="24"/>
    </row>
    <row r="3176" ht="14.25" customHeight="1">
      <c r="A3176" s="1">
        <v>87.0</v>
      </c>
      <c r="B3176" s="1">
        <v>5.6</v>
      </c>
      <c r="K3176" s="4"/>
      <c r="P3176" s="5"/>
      <c r="Q3176" s="24"/>
    </row>
    <row r="3177" ht="14.25" customHeight="1">
      <c r="A3177" s="1">
        <v>87.0</v>
      </c>
      <c r="B3177" s="1">
        <v>5.6</v>
      </c>
      <c r="K3177" s="4"/>
      <c r="P3177" s="5"/>
      <c r="Q3177" s="24"/>
    </row>
    <row r="3178" ht="14.25" customHeight="1">
      <c r="A3178" s="1">
        <v>86.0</v>
      </c>
      <c r="B3178" s="1">
        <v>5.6</v>
      </c>
      <c r="K3178" s="4"/>
      <c r="P3178" s="5"/>
      <c r="Q3178" s="24"/>
    </row>
    <row r="3179" ht="14.25" customHeight="1">
      <c r="A3179" s="1">
        <v>84.0</v>
      </c>
      <c r="B3179" s="1">
        <v>5.6</v>
      </c>
      <c r="K3179" s="4"/>
      <c r="P3179" s="5"/>
      <c r="Q3179" s="24"/>
    </row>
    <row r="3180" ht="14.25" customHeight="1">
      <c r="A3180" s="1">
        <v>84.0</v>
      </c>
      <c r="B3180" s="1">
        <v>5.6</v>
      </c>
      <c r="K3180" s="4"/>
      <c r="P3180" s="5"/>
      <c r="Q3180" s="24"/>
    </row>
    <row r="3181" ht="14.25" customHeight="1">
      <c r="A3181" s="1">
        <v>84.0</v>
      </c>
      <c r="B3181" s="1">
        <v>5.6</v>
      </c>
      <c r="K3181" s="4"/>
      <c r="P3181" s="5"/>
      <c r="Q3181" s="24"/>
    </row>
    <row r="3182" ht="14.25" customHeight="1">
      <c r="A3182" s="1">
        <v>82.0</v>
      </c>
      <c r="B3182" s="1">
        <v>5.6</v>
      </c>
      <c r="K3182" s="4"/>
      <c r="P3182" s="5"/>
      <c r="Q3182" s="24"/>
    </row>
    <row r="3183" ht="14.25" customHeight="1">
      <c r="A3183" s="1">
        <v>82.0</v>
      </c>
      <c r="B3183" s="1">
        <v>5.6</v>
      </c>
      <c r="K3183" s="4"/>
      <c r="P3183" s="5"/>
      <c r="Q3183" s="24"/>
    </row>
    <row r="3184" ht="14.25" customHeight="1">
      <c r="A3184" s="1">
        <v>82.0</v>
      </c>
      <c r="B3184" s="1">
        <v>5.6</v>
      </c>
      <c r="K3184" s="4"/>
      <c r="P3184" s="5"/>
      <c r="Q3184" s="24"/>
    </row>
    <row r="3185" ht="14.25" customHeight="1">
      <c r="A3185" s="1">
        <v>80.0</v>
      </c>
      <c r="B3185" s="1">
        <v>5.6</v>
      </c>
      <c r="K3185" s="4"/>
      <c r="P3185" s="5"/>
      <c r="Q3185" s="24"/>
    </row>
    <row r="3186" ht="14.25" customHeight="1">
      <c r="A3186" s="1">
        <v>76.0</v>
      </c>
      <c r="B3186" s="1">
        <v>5.6</v>
      </c>
      <c r="K3186" s="4"/>
      <c r="P3186" s="5"/>
      <c r="Q3186" s="24"/>
    </row>
    <row r="3187" ht="14.25" customHeight="1">
      <c r="A3187" s="1">
        <v>75.0</v>
      </c>
      <c r="B3187" s="1">
        <v>5.6</v>
      </c>
      <c r="K3187" s="4"/>
      <c r="P3187" s="5"/>
      <c r="Q3187" s="24"/>
    </row>
    <row r="3188" ht="14.25" customHeight="1">
      <c r="A3188" s="1">
        <v>206.0</v>
      </c>
      <c r="B3188" s="1">
        <v>5.5</v>
      </c>
      <c r="K3188" s="4"/>
      <c r="P3188" s="5"/>
      <c r="Q3188" s="24"/>
    </row>
    <row r="3189" ht="14.25" customHeight="1">
      <c r="A3189" s="1">
        <v>160.0</v>
      </c>
      <c r="B3189" s="1">
        <v>5.5</v>
      </c>
      <c r="K3189" s="4"/>
      <c r="P3189" s="5"/>
      <c r="Q3189" s="24"/>
    </row>
    <row r="3190" ht="14.25" customHeight="1">
      <c r="A3190" s="1">
        <v>136.0</v>
      </c>
      <c r="B3190" s="1">
        <v>5.5</v>
      </c>
      <c r="K3190" s="4"/>
      <c r="P3190" s="5"/>
      <c r="Q3190" s="24"/>
    </row>
    <row r="3191" ht="14.25" customHeight="1">
      <c r="A3191" s="1">
        <v>126.0</v>
      </c>
      <c r="B3191" s="1">
        <v>5.5</v>
      </c>
      <c r="K3191" s="4"/>
      <c r="P3191" s="5"/>
      <c r="Q3191" s="24"/>
    </row>
    <row r="3192" ht="14.25" customHeight="1">
      <c r="A3192" s="1">
        <v>124.0</v>
      </c>
      <c r="B3192" s="1">
        <v>5.5</v>
      </c>
      <c r="K3192" s="4"/>
      <c r="P3192" s="5"/>
      <c r="Q3192" s="24"/>
    </row>
    <row r="3193" ht="14.25" customHeight="1">
      <c r="A3193" s="1">
        <v>120.0</v>
      </c>
      <c r="B3193" s="1">
        <v>5.5</v>
      </c>
      <c r="K3193" s="4"/>
      <c r="P3193" s="5"/>
      <c r="Q3193" s="24"/>
    </row>
    <row r="3194" ht="14.25" customHeight="1">
      <c r="A3194" s="1">
        <v>117.0</v>
      </c>
      <c r="B3194" s="1">
        <v>5.5</v>
      </c>
      <c r="K3194" s="4"/>
      <c r="P3194" s="5"/>
      <c r="Q3194" s="24"/>
    </row>
    <row r="3195" ht="14.25" customHeight="1">
      <c r="A3195" s="1">
        <v>116.0</v>
      </c>
      <c r="B3195" s="1">
        <v>5.5</v>
      </c>
      <c r="K3195" s="4"/>
      <c r="P3195" s="5"/>
      <c r="Q3195" s="24"/>
    </row>
    <row r="3196" ht="14.25" customHeight="1">
      <c r="A3196" s="1">
        <v>116.0</v>
      </c>
      <c r="B3196" s="1">
        <v>5.5</v>
      </c>
      <c r="K3196" s="4"/>
      <c r="P3196" s="5"/>
      <c r="Q3196" s="24"/>
    </row>
    <row r="3197" ht="14.25" customHeight="1">
      <c r="A3197" s="1">
        <v>116.0</v>
      </c>
      <c r="B3197" s="1">
        <v>5.5</v>
      </c>
      <c r="K3197" s="4"/>
      <c r="P3197" s="5"/>
      <c r="Q3197" s="24"/>
    </row>
    <row r="3198" ht="14.25" customHeight="1">
      <c r="A3198" s="1">
        <v>116.0</v>
      </c>
      <c r="B3198" s="1">
        <v>5.5</v>
      </c>
      <c r="K3198" s="4"/>
      <c r="P3198" s="5"/>
      <c r="Q3198" s="24"/>
    </row>
    <row r="3199" ht="14.25" customHeight="1">
      <c r="A3199" s="1">
        <v>115.0</v>
      </c>
      <c r="B3199" s="1">
        <v>5.5</v>
      </c>
      <c r="K3199" s="4"/>
      <c r="P3199" s="5"/>
      <c r="Q3199" s="24"/>
    </row>
    <row r="3200" ht="14.25" customHeight="1">
      <c r="A3200" s="1">
        <v>113.0</v>
      </c>
      <c r="B3200" s="1">
        <v>5.5</v>
      </c>
      <c r="K3200" s="4"/>
      <c r="P3200" s="5"/>
      <c r="Q3200" s="24"/>
    </row>
    <row r="3201" ht="14.25" customHeight="1">
      <c r="A3201" s="1">
        <v>113.0</v>
      </c>
      <c r="B3201" s="1">
        <v>5.5</v>
      </c>
      <c r="K3201" s="4"/>
      <c r="P3201" s="5"/>
      <c r="Q3201" s="24"/>
    </row>
    <row r="3202" ht="14.25" customHeight="1">
      <c r="A3202" s="1">
        <v>111.0</v>
      </c>
      <c r="B3202" s="1">
        <v>5.5</v>
      </c>
      <c r="K3202" s="4"/>
      <c r="P3202" s="5"/>
      <c r="Q3202" s="24"/>
    </row>
    <row r="3203" ht="14.25" customHeight="1">
      <c r="A3203" s="1">
        <v>110.0</v>
      </c>
      <c r="B3203" s="1">
        <v>5.5</v>
      </c>
      <c r="K3203" s="4"/>
      <c r="P3203" s="5"/>
      <c r="Q3203" s="24"/>
    </row>
    <row r="3204" ht="14.25" customHeight="1">
      <c r="A3204" s="1">
        <v>110.0</v>
      </c>
      <c r="B3204" s="1">
        <v>5.5</v>
      </c>
      <c r="K3204" s="4"/>
      <c r="P3204" s="5"/>
      <c r="Q3204" s="24"/>
    </row>
    <row r="3205" ht="14.25" customHeight="1">
      <c r="A3205" s="1">
        <v>108.0</v>
      </c>
      <c r="B3205" s="1">
        <v>5.5</v>
      </c>
      <c r="K3205" s="4"/>
      <c r="P3205" s="5"/>
      <c r="Q3205" s="24"/>
    </row>
    <row r="3206" ht="14.25" customHeight="1">
      <c r="A3206" s="1">
        <v>108.0</v>
      </c>
      <c r="B3206" s="1">
        <v>5.5</v>
      </c>
      <c r="K3206" s="4"/>
      <c r="P3206" s="5"/>
      <c r="Q3206" s="24"/>
    </row>
    <row r="3207" ht="14.25" customHeight="1">
      <c r="A3207" s="1">
        <v>107.0</v>
      </c>
      <c r="B3207" s="1">
        <v>5.5</v>
      </c>
      <c r="K3207" s="4"/>
      <c r="P3207" s="5"/>
      <c r="Q3207" s="24"/>
    </row>
    <row r="3208" ht="14.25" customHeight="1">
      <c r="A3208" s="1">
        <v>107.0</v>
      </c>
      <c r="B3208" s="1">
        <v>5.5</v>
      </c>
      <c r="K3208" s="4"/>
      <c r="P3208" s="5"/>
      <c r="Q3208" s="24"/>
    </row>
    <row r="3209" ht="14.25" customHeight="1">
      <c r="A3209" s="1">
        <v>106.0</v>
      </c>
      <c r="B3209" s="1">
        <v>5.5</v>
      </c>
      <c r="K3209" s="4"/>
      <c r="P3209" s="5"/>
      <c r="Q3209" s="24"/>
    </row>
    <row r="3210" ht="14.25" customHeight="1">
      <c r="A3210" s="1">
        <v>105.0</v>
      </c>
      <c r="B3210" s="1">
        <v>5.5</v>
      </c>
      <c r="K3210" s="4"/>
      <c r="P3210" s="5"/>
      <c r="Q3210" s="24"/>
    </row>
    <row r="3211" ht="14.25" customHeight="1">
      <c r="A3211" s="1">
        <v>105.0</v>
      </c>
      <c r="B3211" s="1">
        <v>5.5</v>
      </c>
      <c r="K3211" s="4"/>
      <c r="P3211" s="5"/>
      <c r="Q3211" s="24"/>
    </row>
    <row r="3212" ht="14.25" customHeight="1">
      <c r="A3212" s="1">
        <v>104.0</v>
      </c>
      <c r="B3212" s="1">
        <v>5.5</v>
      </c>
      <c r="K3212" s="4"/>
      <c r="P3212" s="5"/>
      <c r="Q3212" s="24"/>
    </row>
    <row r="3213" ht="14.25" customHeight="1">
      <c r="A3213" s="1">
        <v>104.0</v>
      </c>
      <c r="B3213" s="1">
        <v>5.5</v>
      </c>
      <c r="K3213" s="4"/>
      <c r="P3213" s="5"/>
      <c r="Q3213" s="24"/>
    </row>
    <row r="3214" ht="14.25" customHeight="1">
      <c r="A3214" s="1">
        <v>104.0</v>
      </c>
      <c r="B3214" s="1">
        <v>5.5</v>
      </c>
      <c r="K3214" s="4"/>
      <c r="P3214" s="5"/>
      <c r="Q3214" s="24"/>
    </row>
    <row r="3215" ht="14.25" customHeight="1">
      <c r="A3215" s="1">
        <v>104.0</v>
      </c>
      <c r="B3215" s="1">
        <v>5.5</v>
      </c>
      <c r="K3215" s="4"/>
      <c r="P3215" s="5"/>
      <c r="Q3215" s="24"/>
    </row>
    <row r="3216" ht="14.25" customHeight="1">
      <c r="A3216" s="1">
        <v>104.0</v>
      </c>
      <c r="B3216" s="1">
        <v>5.5</v>
      </c>
      <c r="K3216" s="4"/>
      <c r="P3216" s="5"/>
      <c r="Q3216" s="24"/>
    </row>
    <row r="3217" ht="14.25" customHeight="1">
      <c r="A3217" s="1">
        <v>104.0</v>
      </c>
      <c r="B3217" s="1">
        <v>5.5</v>
      </c>
      <c r="K3217" s="4"/>
      <c r="P3217" s="5"/>
      <c r="Q3217" s="24"/>
    </row>
    <row r="3218" ht="14.25" customHeight="1">
      <c r="A3218" s="1">
        <v>104.0</v>
      </c>
      <c r="B3218" s="1">
        <v>5.5</v>
      </c>
      <c r="K3218" s="4"/>
      <c r="P3218" s="5"/>
      <c r="Q3218" s="24"/>
    </row>
    <row r="3219" ht="14.25" customHeight="1">
      <c r="A3219" s="1">
        <v>103.0</v>
      </c>
      <c r="B3219" s="1">
        <v>5.5</v>
      </c>
      <c r="K3219" s="4"/>
      <c r="P3219" s="5"/>
      <c r="Q3219" s="24"/>
    </row>
    <row r="3220" ht="14.25" customHeight="1">
      <c r="A3220" s="1">
        <v>103.0</v>
      </c>
      <c r="B3220" s="1">
        <v>5.5</v>
      </c>
      <c r="K3220" s="4"/>
      <c r="P3220" s="5"/>
      <c r="Q3220" s="24"/>
    </row>
    <row r="3221" ht="14.25" customHeight="1">
      <c r="A3221" s="1">
        <v>103.0</v>
      </c>
      <c r="B3221" s="1">
        <v>5.5</v>
      </c>
      <c r="K3221" s="4"/>
      <c r="P3221" s="5"/>
      <c r="Q3221" s="24"/>
    </row>
    <row r="3222" ht="14.25" customHeight="1">
      <c r="A3222" s="1">
        <v>102.0</v>
      </c>
      <c r="B3222" s="1">
        <v>5.5</v>
      </c>
      <c r="K3222" s="4"/>
      <c r="P3222" s="5"/>
      <c r="Q3222" s="24"/>
    </row>
    <row r="3223" ht="14.25" customHeight="1">
      <c r="A3223" s="1">
        <v>101.0</v>
      </c>
      <c r="B3223" s="1">
        <v>5.5</v>
      </c>
      <c r="K3223" s="4"/>
      <c r="P3223" s="5"/>
      <c r="Q3223" s="24"/>
    </row>
    <row r="3224" ht="14.25" customHeight="1">
      <c r="A3224" s="1">
        <v>101.0</v>
      </c>
      <c r="B3224" s="1">
        <v>5.5</v>
      </c>
      <c r="K3224" s="4"/>
      <c r="P3224" s="5"/>
      <c r="Q3224" s="24"/>
    </row>
    <row r="3225" ht="14.25" customHeight="1">
      <c r="A3225" s="1">
        <v>101.0</v>
      </c>
      <c r="B3225" s="1">
        <v>5.5</v>
      </c>
      <c r="K3225" s="4"/>
      <c r="P3225" s="5"/>
      <c r="Q3225" s="24"/>
    </row>
    <row r="3226" ht="14.25" customHeight="1">
      <c r="A3226" s="1">
        <v>101.0</v>
      </c>
      <c r="B3226" s="1">
        <v>5.5</v>
      </c>
      <c r="K3226" s="4"/>
      <c r="P3226" s="5"/>
      <c r="Q3226" s="24"/>
    </row>
    <row r="3227" ht="14.25" customHeight="1">
      <c r="A3227" s="1">
        <v>101.0</v>
      </c>
      <c r="B3227" s="1">
        <v>5.5</v>
      </c>
      <c r="K3227" s="4"/>
      <c r="P3227" s="5"/>
      <c r="Q3227" s="24"/>
    </row>
    <row r="3228" ht="14.25" customHeight="1">
      <c r="A3228" s="1">
        <v>101.0</v>
      </c>
      <c r="B3228" s="1">
        <v>5.5</v>
      </c>
      <c r="K3228" s="4"/>
      <c r="P3228" s="5"/>
      <c r="Q3228" s="24"/>
    </row>
    <row r="3229" ht="14.25" customHeight="1">
      <c r="A3229" s="1">
        <v>101.0</v>
      </c>
      <c r="B3229" s="1">
        <v>5.5</v>
      </c>
      <c r="K3229" s="4"/>
      <c r="P3229" s="5"/>
      <c r="Q3229" s="24"/>
    </row>
    <row r="3230" ht="14.25" customHeight="1">
      <c r="A3230" s="1">
        <v>100.0</v>
      </c>
      <c r="B3230" s="1">
        <v>5.5</v>
      </c>
      <c r="K3230" s="4"/>
      <c r="P3230" s="5"/>
      <c r="Q3230" s="24"/>
    </row>
    <row r="3231" ht="14.25" customHeight="1">
      <c r="A3231" s="1">
        <v>100.0</v>
      </c>
      <c r="B3231" s="1">
        <v>5.5</v>
      </c>
      <c r="K3231" s="4"/>
      <c r="P3231" s="5"/>
      <c r="Q3231" s="24"/>
    </row>
    <row r="3232" ht="14.25" customHeight="1">
      <c r="A3232" s="1">
        <v>100.0</v>
      </c>
      <c r="B3232" s="1">
        <v>5.5</v>
      </c>
      <c r="K3232" s="4"/>
      <c r="P3232" s="5"/>
      <c r="Q3232" s="24"/>
    </row>
    <row r="3233" ht="14.25" customHeight="1">
      <c r="A3233" s="1">
        <v>100.0</v>
      </c>
      <c r="B3233" s="1">
        <v>5.5</v>
      </c>
      <c r="K3233" s="4"/>
      <c r="P3233" s="5"/>
      <c r="Q3233" s="24"/>
    </row>
    <row r="3234" ht="14.25" customHeight="1">
      <c r="A3234" s="1">
        <v>100.0</v>
      </c>
      <c r="B3234" s="1">
        <v>5.5</v>
      </c>
      <c r="K3234" s="4"/>
      <c r="P3234" s="5"/>
      <c r="Q3234" s="24"/>
    </row>
    <row r="3235" ht="14.25" customHeight="1">
      <c r="A3235" s="1">
        <v>99.0</v>
      </c>
      <c r="B3235" s="1">
        <v>5.5</v>
      </c>
      <c r="K3235" s="4"/>
      <c r="P3235" s="5"/>
      <c r="Q3235" s="24"/>
    </row>
    <row r="3236" ht="14.25" customHeight="1">
      <c r="A3236" s="1">
        <v>99.0</v>
      </c>
      <c r="B3236" s="1">
        <v>5.5</v>
      </c>
      <c r="K3236" s="4"/>
      <c r="P3236" s="5"/>
      <c r="Q3236" s="24"/>
    </row>
    <row r="3237" ht="14.25" customHeight="1">
      <c r="A3237" s="1">
        <v>98.0</v>
      </c>
      <c r="B3237" s="1">
        <v>5.5</v>
      </c>
      <c r="K3237" s="4"/>
      <c r="P3237" s="5"/>
      <c r="Q3237" s="24"/>
    </row>
    <row r="3238" ht="14.25" customHeight="1">
      <c r="A3238" s="1">
        <v>98.0</v>
      </c>
      <c r="B3238" s="1">
        <v>5.5</v>
      </c>
      <c r="K3238" s="4"/>
      <c r="P3238" s="5"/>
      <c r="Q3238" s="24"/>
    </row>
    <row r="3239" ht="14.25" customHeight="1">
      <c r="A3239" s="1">
        <v>98.0</v>
      </c>
      <c r="B3239" s="1">
        <v>5.5</v>
      </c>
      <c r="K3239" s="4"/>
      <c r="P3239" s="5"/>
      <c r="Q3239" s="24"/>
    </row>
    <row r="3240" ht="14.25" customHeight="1">
      <c r="A3240" s="1">
        <v>98.0</v>
      </c>
      <c r="B3240" s="1">
        <v>5.5</v>
      </c>
      <c r="K3240" s="4"/>
      <c r="P3240" s="5"/>
      <c r="Q3240" s="24"/>
    </row>
    <row r="3241" ht="14.25" customHeight="1">
      <c r="A3241" s="1">
        <v>97.0</v>
      </c>
      <c r="B3241" s="1">
        <v>5.5</v>
      </c>
      <c r="K3241" s="4"/>
      <c r="P3241" s="5"/>
      <c r="Q3241" s="24"/>
    </row>
    <row r="3242" ht="14.25" customHeight="1">
      <c r="A3242" s="1">
        <v>97.0</v>
      </c>
      <c r="B3242" s="1">
        <v>5.5</v>
      </c>
      <c r="K3242" s="4"/>
      <c r="P3242" s="5"/>
      <c r="Q3242" s="24"/>
    </row>
    <row r="3243" ht="14.25" customHeight="1">
      <c r="A3243" s="1">
        <v>97.0</v>
      </c>
      <c r="B3243" s="1">
        <v>5.5</v>
      </c>
      <c r="K3243" s="4"/>
      <c r="P3243" s="5"/>
      <c r="Q3243" s="24"/>
    </row>
    <row r="3244" ht="14.25" customHeight="1">
      <c r="A3244" s="1">
        <v>96.0</v>
      </c>
      <c r="B3244" s="1">
        <v>5.5</v>
      </c>
      <c r="K3244" s="4"/>
      <c r="P3244" s="5"/>
      <c r="Q3244" s="24"/>
    </row>
    <row r="3245" ht="14.25" customHeight="1">
      <c r="A3245" s="1">
        <v>95.0</v>
      </c>
      <c r="B3245" s="1">
        <v>5.5</v>
      </c>
      <c r="K3245" s="4"/>
      <c r="P3245" s="5"/>
      <c r="Q3245" s="24"/>
    </row>
    <row r="3246" ht="14.25" customHeight="1">
      <c r="A3246" s="1">
        <v>95.0</v>
      </c>
      <c r="B3246" s="1">
        <v>5.5</v>
      </c>
      <c r="K3246" s="4"/>
      <c r="P3246" s="5"/>
      <c r="Q3246" s="24"/>
    </row>
    <row r="3247" ht="14.25" customHeight="1">
      <c r="A3247" s="1">
        <v>95.0</v>
      </c>
      <c r="B3247" s="1">
        <v>5.5</v>
      </c>
      <c r="K3247" s="4"/>
      <c r="P3247" s="5"/>
      <c r="Q3247" s="24"/>
    </row>
    <row r="3248" ht="14.25" customHeight="1">
      <c r="A3248" s="1">
        <v>94.0</v>
      </c>
      <c r="B3248" s="1">
        <v>5.5</v>
      </c>
      <c r="K3248" s="4"/>
      <c r="P3248" s="5"/>
      <c r="Q3248" s="24"/>
    </row>
    <row r="3249" ht="14.25" customHeight="1">
      <c r="A3249" s="1">
        <v>94.0</v>
      </c>
      <c r="B3249" s="1">
        <v>5.5</v>
      </c>
      <c r="K3249" s="4"/>
      <c r="P3249" s="5"/>
      <c r="Q3249" s="24"/>
    </row>
    <row r="3250" ht="14.25" customHeight="1">
      <c r="A3250" s="1">
        <v>94.0</v>
      </c>
      <c r="B3250" s="1">
        <v>5.5</v>
      </c>
      <c r="K3250" s="4"/>
      <c r="P3250" s="5"/>
      <c r="Q3250" s="24"/>
    </row>
    <row r="3251" ht="14.25" customHeight="1">
      <c r="A3251" s="1">
        <v>94.0</v>
      </c>
      <c r="B3251" s="1">
        <v>5.5</v>
      </c>
      <c r="K3251" s="4"/>
      <c r="P3251" s="5"/>
      <c r="Q3251" s="24"/>
    </row>
    <row r="3252" ht="14.25" customHeight="1">
      <c r="A3252" s="1">
        <v>94.0</v>
      </c>
      <c r="B3252" s="1">
        <v>5.5</v>
      </c>
      <c r="K3252" s="4"/>
      <c r="P3252" s="5"/>
      <c r="Q3252" s="24"/>
    </row>
    <row r="3253" ht="14.25" customHeight="1">
      <c r="A3253" s="1">
        <v>93.0</v>
      </c>
      <c r="B3253" s="1">
        <v>5.5</v>
      </c>
      <c r="K3253" s="4"/>
      <c r="P3253" s="5"/>
      <c r="Q3253" s="24"/>
    </row>
    <row r="3254" ht="14.25" customHeight="1">
      <c r="A3254" s="1">
        <v>92.0</v>
      </c>
      <c r="B3254" s="1">
        <v>5.5</v>
      </c>
      <c r="K3254" s="4"/>
      <c r="P3254" s="5"/>
      <c r="Q3254" s="24"/>
    </row>
    <row r="3255" ht="14.25" customHeight="1">
      <c r="A3255" s="1">
        <v>91.0</v>
      </c>
      <c r="B3255" s="1">
        <v>5.5</v>
      </c>
      <c r="K3255" s="4"/>
      <c r="P3255" s="5"/>
      <c r="Q3255" s="24"/>
    </row>
    <row r="3256" ht="14.25" customHeight="1">
      <c r="A3256" s="1">
        <v>91.0</v>
      </c>
      <c r="B3256" s="1">
        <v>5.5</v>
      </c>
      <c r="K3256" s="4"/>
      <c r="P3256" s="5"/>
      <c r="Q3256" s="24"/>
    </row>
    <row r="3257" ht="14.25" customHeight="1">
      <c r="A3257" s="1">
        <v>91.0</v>
      </c>
      <c r="B3257" s="1">
        <v>5.5</v>
      </c>
      <c r="K3257" s="4"/>
      <c r="P3257" s="5"/>
      <c r="Q3257" s="24"/>
    </row>
    <row r="3258" ht="14.25" customHeight="1">
      <c r="A3258" s="1">
        <v>89.0</v>
      </c>
      <c r="B3258" s="1">
        <v>5.5</v>
      </c>
      <c r="K3258" s="4"/>
      <c r="P3258" s="5"/>
      <c r="Q3258" s="24"/>
    </row>
    <row r="3259" ht="14.25" customHeight="1">
      <c r="A3259" s="1">
        <v>88.0</v>
      </c>
      <c r="B3259" s="1">
        <v>5.5</v>
      </c>
      <c r="K3259" s="4"/>
      <c r="P3259" s="5"/>
      <c r="Q3259" s="24"/>
    </row>
    <row r="3260" ht="14.25" customHeight="1">
      <c r="A3260" s="1">
        <v>84.0</v>
      </c>
      <c r="B3260" s="1">
        <v>5.5</v>
      </c>
      <c r="K3260" s="4"/>
      <c r="P3260" s="5"/>
      <c r="Q3260" s="24"/>
    </row>
    <row r="3261" ht="14.25" customHeight="1">
      <c r="A3261" s="1">
        <v>84.0</v>
      </c>
      <c r="B3261" s="1">
        <v>5.5</v>
      </c>
      <c r="K3261" s="4"/>
      <c r="P3261" s="5"/>
      <c r="Q3261" s="24"/>
    </row>
    <row r="3262" ht="14.25" customHeight="1">
      <c r="A3262" s="1">
        <v>84.0</v>
      </c>
      <c r="B3262" s="1">
        <v>5.5</v>
      </c>
      <c r="K3262" s="4"/>
      <c r="P3262" s="5"/>
      <c r="Q3262" s="24"/>
    </row>
    <row r="3263" ht="14.25" customHeight="1">
      <c r="A3263" s="1">
        <v>83.0</v>
      </c>
      <c r="B3263" s="1">
        <v>5.5</v>
      </c>
      <c r="K3263" s="4"/>
      <c r="P3263" s="5"/>
      <c r="Q3263" s="24"/>
    </row>
    <row r="3264" ht="14.25" customHeight="1">
      <c r="A3264" s="1">
        <v>83.0</v>
      </c>
      <c r="B3264" s="1">
        <v>5.5</v>
      </c>
      <c r="K3264" s="4"/>
      <c r="P3264" s="5"/>
      <c r="Q3264" s="24"/>
    </row>
    <row r="3265" ht="14.25" customHeight="1">
      <c r="A3265" s="1">
        <v>78.0</v>
      </c>
      <c r="B3265" s="1">
        <v>5.5</v>
      </c>
      <c r="K3265" s="4"/>
      <c r="P3265" s="5"/>
      <c r="Q3265" s="24"/>
    </row>
    <row r="3266" ht="14.25" customHeight="1">
      <c r="A3266" s="1">
        <v>153.0</v>
      </c>
      <c r="B3266" s="1">
        <v>5.4</v>
      </c>
      <c r="K3266" s="4"/>
      <c r="P3266" s="5"/>
      <c r="Q3266" s="24"/>
    </row>
    <row r="3267" ht="14.25" customHeight="1">
      <c r="A3267" s="1">
        <v>140.0</v>
      </c>
      <c r="B3267" s="1">
        <v>5.4</v>
      </c>
      <c r="K3267" s="4"/>
      <c r="P3267" s="5"/>
      <c r="Q3267" s="24"/>
    </row>
    <row r="3268" ht="14.25" customHeight="1">
      <c r="A3268" s="1">
        <v>135.0</v>
      </c>
      <c r="B3268" s="1">
        <v>5.4</v>
      </c>
      <c r="K3268" s="4"/>
      <c r="P3268" s="5"/>
      <c r="Q3268" s="24"/>
    </row>
    <row r="3269" ht="14.25" customHeight="1">
      <c r="A3269" s="1">
        <v>133.0</v>
      </c>
      <c r="B3269" s="1">
        <v>5.4</v>
      </c>
      <c r="K3269" s="4"/>
      <c r="P3269" s="5"/>
      <c r="Q3269" s="24"/>
    </row>
    <row r="3270" ht="14.25" customHeight="1">
      <c r="A3270" s="1">
        <v>127.0</v>
      </c>
      <c r="B3270" s="1">
        <v>5.4</v>
      </c>
      <c r="K3270" s="4"/>
      <c r="P3270" s="5"/>
      <c r="Q3270" s="24"/>
    </row>
    <row r="3271" ht="14.25" customHeight="1">
      <c r="A3271" s="1">
        <v>124.0</v>
      </c>
      <c r="B3271" s="1">
        <v>5.4</v>
      </c>
      <c r="K3271" s="4"/>
      <c r="P3271" s="5"/>
      <c r="Q3271" s="24"/>
    </row>
    <row r="3272" ht="14.25" customHeight="1">
      <c r="A3272" s="1">
        <v>121.0</v>
      </c>
      <c r="B3272" s="1">
        <v>5.4</v>
      </c>
      <c r="K3272" s="4"/>
      <c r="P3272" s="5"/>
      <c r="Q3272" s="24"/>
    </row>
    <row r="3273" ht="14.25" customHeight="1">
      <c r="A3273" s="1">
        <v>117.0</v>
      </c>
      <c r="B3273" s="1">
        <v>5.4</v>
      </c>
      <c r="K3273" s="4"/>
      <c r="P3273" s="5"/>
      <c r="Q3273" s="24"/>
    </row>
    <row r="3274" ht="14.25" customHeight="1">
      <c r="A3274" s="1">
        <v>113.0</v>
      </c>
      <c r="B3274" s="1">
        <v>5.4</v>
      </c>
      <c r="K3274" s="4"/>
      <c r="P3274" s="5"/>
      <c r="Q3274" s="24"/>
    </row>
    <row r="3275" ht="14.25" customHeight="1">
      <c r="A3275" s="1">
        <v>111.0</v>
      </c>
      <c r="B3275" s="1">
        <v>5.4</v>
      </c>
      <c r="K3275" s="4"/>
      <c r="P3275" s="5"/>
      <c r="Q3275" s="24"/>
    </row>
    <row r="3276" ht="14.25" customHeight="1">
      <c r="A3276" s="1">
        <v>111.0</v>
      </c>
      <c r="B3276" s="1">
        <v>5.4</v>
      </c>
      <c r="K3276" s="4"/>
      <c r="P3276" s="5"/>
      <c r="Q3276" s="24"/>
    </row>
    <row r="3277" ht="14.25" customHeight="1">
      <c r="A3277" s="1">
        <v>110.0</v>
      </c>
      <c r="B3277" s="1">
        <v>5.4</v>
      </c>
      <c r="K3277" s="4"/>
      <c r="P3277" s="5"/>
      <c r="Q3277" s="24"/>
    </row>
    <row r="3278" ht="14.25" customHeight="1">
      <c r="A3278" s="1">
        <v>110.0</v>
      </c>
      <c r="B3278" s="1">
        <v>5.4</v>
      </c>
      <c r="K3278" s="4"/>
      <c r="P3278" s="5"/>
      <c r="Q3278" s="24"/>
    </row>
    <row r="3279" ht="14.25" customHeight="1">
      <c r="A3279" s="1">
        <v>109.0</v>
      </c>
      <c r="B3279" s="1">
        <v>5.4</v>
      </c>
      <c r="K3279" s="4"/>
      <c r="P3279" s="5"/>
      <c r="Q3279" s="24"/>
    </row>
    <row r="3280" ht="14.25" customHeight="1">
      <c r="A3280" s="1">
        <v>107.0</v>
      </c>
      <c r="B3280" s="1">
        <v>5.4</v>
      </c>
      <c r="K3280" s="4"/>
      <c r="P3280" s="5"/>
      <c r="Q3280" s="24"/>
    </row>
    <row r="3281" ht="14.25" customHeight="1">
      <c r="A3281" s="1">
        <v>107.0</v>
      </c>
      <c r="B3281" s="1">
        <v>5.4</v>
      </c>
      <c r="K3281" s="4"/>
      <c r="P3281" s="5"/>
      <c r="Q3281" s="24"/>
    </row>
    <row r="3282" ht="14.25" customHeight="1">
      <c r="A3282" s="1">
        <v>106.0</v>
      </c>
      <c r="B3282" s="1">
        <v>5.4</v>
      </c>
      <c r="K3282" s="4"/>
      <c r="P3282" s="5"/>
      <c r="Q3282" s="24"/>
    </row>
    <row r="3283" ht="14.25" customHeight="1">
      <c r="A3283" s="1">
        <v>105.0</v>
      </c>
      <c r="B3283" s="1">
        <v>5.4</v>
      </c>
      <c r="K3283" s="4"/>
      <c r="P3283" s="5"/>
      <c r="Q3283" s="24"/>
    </row>
    <row r="3284" ht="14.25" customHeight="1">
      <c r="A3284" s="1">
        <v>105.0</v>
      </c>
      <c r="B3284" s="1">
        <v>5.4</v>
      </c>
      <c r="K3284" s="4"/>
      <c r="P3284" s="5"/>
      <c r="Q3284" s="24"/>
    </row>
    <row r="3285" ht="14.25" customHeight="1">
      <c r="A3285" s="1">
        <v>105.0</v>
      </c>
      <c r="B3285" s="1">
        <v>5.4</v>
      </c>
      <c r="K3285" s="4"/>
      <c r="P3285" s="5"/>
      <c r="Q3285" s="24"/>
    </row>
    <row r="3286" ht="14.25" customHeight="1">
      <c r="A3286" s="1">
        <v>105.0</v>
      </c>
      <c r="B3286" s="1">
        <v>5.4</v>
      </c>
      <c r="K3286" s="4"/>
      <c r="P3286" s="5"/>
      <c r="Q3286" s="24"/>
    </row>
    <row r="3287" ht="14.25" customHeight="1">
      <c r="A3287" s="1">
        <v>104.0</v>
      </c>
      <c r="B3287" s="1">
        <v>5.4</v>
      </c>
      <c r="K3287" s="4"/>
      <c r="P3287" s="5"/>
      <c r="Q3287" s="24"/>
    </row>
    <row r="3288" ht="14.25" customHeight="1">
      <c r="A3288" s="1">
        <v>104.0</v>
      </c>
      <c r="B3288" s="1">
        <v>5.4</v>
      </c>
      <c r="K3288" s="4"/>
      <c r="P3288" s="5"/>
      <c r="Q3288" s="24"/>
    </row>
    <row r="3289" ht="14.25" customHeight="1">
      <c r="A3289" s="1">
        <v>103.0</v>
      </c>
      <c r="B3289" s="1">
        <v>5.4</v>
      </c>
      <c r="K3289" s="4"/>
      <c r="P3289" s="5"/>
      <c r="Q3289" s="24"/>
    </row>
    <row r="3290" ht="14.25" customHeight="1">
      <c r="A3290" s="1">
        <v>103.0</v>
      </c>
      <c r="B3290" s="1">
        <v>5.4</v>
      </c>
      <c r="K3290" s="4"/>
      <c r="P3290" s="5"/>
      <c r="Q3290" s="24"/>
    </row>
    <row r="3291" ht="14.25" customHeight="1">
      <c r="A3291" s="1">
        <v>102.0</v>
      </c>
      <c r="B3291" s="1">
        <v>5.4</v>
      </c>
      <c r="K3291" s="4"/>
      <c r="P3291" s="5"/>
      <c r="Q3291" s="24"/>
    </row>
    <row r="3292" ht="14.25" customHeight="1">
      <c r="A3292" s="1">
        <v>102.0</v>
      </c>
      <c r="B3292" s="1">
        <v>5.4</v>
      </c>
      <c r="K3292" s="4"/>
      <c r="P3292" s="5"/>
      <c r="Q3292" s="24"/>
    </row>
    <row r="3293" ht="14.25" customHeight="1">
      <c r="A3293" s="1">
        <v>102.0</v>
      </c>
      <c r="B3293" s="1">
        <v>5.4</v>
      </c>
      <c r="K3293" s="4"/>
      <c r="P3293" s="5"/>
      <c r="Q3293" s="24"/>
    </row>
    <row r="3294" ht="14.25" customHeight="1">
      <c r="A3294" s="1">
        <v>101.0</v>
      </c>
      <c r="B3294" s="1">
        <v>5.4</v>
      </c>
      <c r="K3294" s="4"/>
      <c r="P3294" s="5"/>
      <c r="Q3294" s="24"/>
    </row>
    <row r="3295" ht="14.25" customHeight="1">
      <c r="A3295" s="1">
        <v>101.0</v>
      </c>
      <c r="B3295" s="1">
        <v>5.4</v>
      </c>
      <c r="K3295" s="4"/>
      <c r="P3295" s="5"/>
      <c r="Q3295" s="24"/>
    </row>
    <row r="3296" ht="14.25" customHeight="1">
      <c r="A3296" s="1">
        <v>100.0</v>
      </c>
      <c r="B3296" s="1">
        <v>5.4</v>
      </c>
      <c r="K3296" s="4"/>
      <c r="P3296" s="5"/>
      <c r="Q3296" s="24"/>
    </row>
    <row r="3297" ht="14.25" customHeight="1">
      <c r="A3297" s="1">
        <v>100.0</v>
      </c>
      <c r="B3297" s="1">
        <v>5.4</v>
      </c>
      <c r="K3297" s="4"/>
      <c r="P3297" s="5"/>
      <c r="Q3297" s="24"/>
    </row>
    <row r="3298" ht="14.25" customHeight="1">
      <c r="A3298" s="1">
        <v>100.0</v>
      </c>
      <c r="B3298" s="1">
        <v>5.4</v>
      </c>
      <c r="K3298" s="4"/>
      <c r="P3298" s="5"/>
      <c r="Q3298" s="24"/>
    </row>
    <row r="3299" ht="14.25" customHeight="1">
      <c r="A3299" s="1">
        <v>100.0</v>
      </c>
      <c r="B3299" s="1">
        <v>5.4</v>
      </c>
      <c r="K3299" s="4"/>
      <c r="P3299" s="5"/>
      <c r="Q3299" s="24"/>
    </row>
    <row r="3300" ht="14.25" customHeight="1">
      <c r="A3300" s="1">
        <v>100.0</v>
      </c>
      <c r="B3300" s="1">
        <v>5.4</v>
      </c>
      <c r="K3300" s="4"/>
      <c r="P3300" s="5"/>
      <c r="Q3300" s="24"/>
    </row>
    <row r="3301" ht="14.25" customHeight="1">
      <c r="A3301" s="1">
        <v>100.0</v>
      </c>
      <c r="B3301" s="1">
        <v>5.4</v>
      </c>
      <c r="K3301" s="4"/>
      <c r="P3301" s="5"/>
      <c r="Q3301" s="24"/>
    </row>
    <row r="3302" ht="14.25" customHeight="1">
      <c r="A3302" s="1">
        <v>99.0</v>
      </c>
      <c r="B3302" s="1">
        <v>5.4</v>
      </c>
      <c r="K3302" s="4"/>
      <c r="P3302" s="5"/>
      <c r="Q3302" s="24"/>
    </row>
    <row r="3303" ht="14.25" customHeight="1">
      <c r="A3303" s="1">
        <v>99.0</v>
      </c>
      <c r="B3303" s="1">
        <v>5.4</v>
      </c>
      <c r="K3303" s="4"/>
      <c r="P3303" s="5"/>
      <c r="Q3303" s="24"/>
    </row>
    <row r="3304" ht="14.25" customHeight="1">
      <c r="A3304" s="1">
        <v>99.0</v>
      </c>
      <c r="B3304" s="1">
        <v>5.4</v>
      </c>
      <c r="K3304" s="4"/>
      <c r="P3304" s="5"/>
      <c r="Q3304" s="24"/>
    </row>
    <row r="3305" ht="14.25" customHeight="1">
      <c r="A3305" s="1">
        <v>98.0</v>
      </c>
      <c r="B3305" s="1">
        <v>5.4</v>
      </c>
      <c r="K3305" s="4"/>
      <c r="P3305" s="5"/>
      <c r="Q3305" s="24"/>
    </row>
    <row r="3306" ht="14.25" customHeight="1">
      <c r="A3306" s="1">
        <v>98.0</v>
      </c>
      <c r="B3306" s="1">
        <v>5.4</v>
      </c>
      <c r="K3306" s="4"/>
      <c r="P3306" s="5"/>
      <c r="Q3306" s="24"/>
    </row>
    <row r="3307" ht="14.25" customHeight="1">
      <c r="A3307" s="1">
        <v>97.0</v>
      </c>
      <c r="B3307" s="1">
        <v>5.4</v>
      </c>
      <c r="K3307" s="4"/>
      <c r="P3307" s="5"/>
      <c r="Q3307" s="24"/>
    </row>
    <row r="3308" ht="14.25" customHeight="1">
      <c r="A3308" s="1">
        <v>96.0</v>
      </c>
      <c r="B3308" s="1">
        <v>5.4</v>
      </c>
      <c r="K3308" s="4"/>
      <c r="P3308" s="5"/>
      <c r="Q3308" s="24"/>
    </row>
    <row r="3309" ht="14.25" customHeight="1">
      <c r="A3309" s="1">
        <v>96.0</v>
      </c>
      <c r="B3309" s="1">
        <v>5.4</v>
      </c>
      <c r="K3309" s="4"/>
      <c r="P3309" s="5"/>
      <c r="Q3309" s="24"/>
    </row>
    <row r="3310" ht="14.25" customHeight="1">
      <c r="A3310" s="1">
        <v>96.0</v>
      </c>
      <c r="B3310" s="1">
        <v>5.4</v>
      </c>
      <c r="K3310" s="4"/>
      <c r="P3310" s="5"/>
      <c r="Q3310" s="24"/>
    </row>
    <row r="3311" ht="14.25" customHeight="1">
      <c r="A3311" s="1">
        <v>95.0</v>
      </c>
      <c r="B3311" s="1">
        <v>5.4</v>
      </c>
      <c r="K3311" s="4"/>
      <c r="P3311" s="5"/>
      <c r="Q3311" s="24"/>
    </row>
    <row r="3312" ht="14.25" customHeight="1">
      <c r="A3312" s="1">
        <v>95.0</v>
      </c>
      <c r="B3312" s="1">
        <v>5.4</v>
      </c>
      <c r="K3312" s="4"/>
      <c r="P3312" s="5"/>
      <c r="Q3312" s="24"/>
    </row>
    <row r="3313" ht="14.25" customHeight="1">
      <c r="A3313" s="1">
        <v>94.0</v>
      </c>
      <c r="B3313" s="1">
        <v>5.4</v>
      </c>
      <c r="K3313" s="4"/>
      <c r="P3313" s="5"/>
      <c r="Q3313" s="24"/>
    </row>
    <row r="3314" ht="14.25" customHeight="1">
      <c r="A3314" s="1">
        <v>94.0</v>
      </c>
      <c r="B3314" s="1">
        <v>5.4</v>
      </c>
      <c r="K3314" s="4"/>
      <c r="P3314" s="5"/>
      <c r="Q3314" s="24"/>
    </row>
    <row r="3315" ht="14.25" customHeight="1">
      <c r="A3315" s="1">
        <v>94.0</v>
      </c>
      <c r="B3315" s="1">
        <v>5.4</v>
      </c>
      <c r="K3315" s="4"/>
      <c r="P3315" s="5"/>
      <c r="Q3315" s="24"/>
    </row>
    <row r="3316" ht="14.25" customHeight="1">
      <c r="A3316" s="1">
        <v>94.0</v>
      </c>
      <c r="B3316" s="1">
        <v>5.4</v>
      </c>
      <c r="K3316" s="4"/>
      <c r="P3316" s="5"/>
      <c r="Q3316" s="24"/>
    </row>
    <row r="3317" ht="14.25" customHeight="1">
      <c r="A3317" s="1">
        <v>94.0</v>
      </c>
      <c r="B3317" s="1">
        <v>5.4</v>
      </c>
      <c r="K3317" s="4"/>
      <c r="P3317" s="5"/>
      <c r="Q3317" s="24"/>
    </row>
    <row r="3318" ht="14.25" customHeight="1">
      <c r="A3318" s="1">
        <v>94.0</v>
      </c>
      <c r="B3318" s="1">
        <v>5.4</v>
      </c>
      <c r="K3318" s="4"/>
      <c r="P3318" s="5"/>
      <c r="Q3318" s="24"/>
    </row>
    <row r="3319" ht="14.25" customHeight="1">
      <c r="A3319" s="1">
        <v>93.0</v>
      </c>
      <c r="B3319" s="1">
        <v>5.4</v>
      </c>
      <c r="K3319" s="4"/>
      <c r="P3319" s="5"/>
      <c r="Q3319" s="24"/>
    </row>
    <row r="3320" ht="14.25" customHeight="1">
      <c r="A3320" s="1">
        <v>92.0</v>
      </c>
      <c r="B3320" s="1">
        <v>5.4</v>
      </c>
      <c r="K3320" s="4"/>
      <c r="P3320" s="5"/>
      <c r="Q3320" s="24"/>
    </row>
    <row r="3321" ht="14.25" customHeight="1">
      <c r="A3321" s="1">
        <v>92.0</v>
      </c>
      <c r="B3321" s="1">
        <v>5.4</v>
      </c>
      <c r="K3321" s="4"/>
      <c r="P3321" s="5"/>
      <c r="Q3321" s="24"/>
    </row>
    <row r="3322" ht="14.25" customHeight="1">
      <c r="A3322" s="1">
        <v>92.0</v>
      </c>
      <c r="B3322" s="1">
        <v>5.4</v>
      </c>
      <c r="K3322" s="4"/>
      <c r="P3322" s="5"/>
      <c r="Q3322" s="24"/>
    </row>
    <row r="3323" ht="14.25" customHeight="1">
      <c r="A3323" s="1">
        <v>91.0</v>
      </c>
      <c r="B3323" s="1">
        <v>5.4</v>
      </c>
      <c r="K3323" s="4"/>
      <c r="P3323" s="5"/>
      <c r="Q3323" s="24"/>
    </row>
    <row r="3324" ht="14.25" customHeight="1">
      <c r="A3324" s="1">
        <v>90.0</v>
      </c>
      <c r="B3324" s="1">
        <v>5.4</v>
      </c>
      <c r="K3324" s="4"/>
      <c r="P3324" s="5"/>
      <c r="Q3324" s="24"/>
    </row>
    <row r="3325" ht="14.25" customHeight="1">
      <c r="A3325" s="1">
        <v>89.0</v>
      </c>
      <c r="B3325" s="1">
        <v>5.4</v>
      </c>
      <c r="K3325" s="4"/>
      <c r="P3325" s="5"/>
      <c r="Q3325" s="24"/>
    </row>
    <row r="3326" ht="14.25" customHeight="1">
      <c r="A3326" s="1">
        <v>89.0</v>
      </c>
      <c r="B3326" s="1">
        <v>5.4</v>
      </c>
      <c r="K3326" s="4"/>
      <c r="P3326" s="5"/>
      <c r="Q3326" s="24"/>
    </row>
    <row r="3327" ht="14.25" customHeight="1">
      <c r="A3327" s="1">
        <v>88.0</v>
      </c>
      <c r="B3327" s="1">
        <v>5.4</v>
      </c>
      <c r="K3327" s="4"/>
      <c r="P3327" s="5"/>
      <c r="Q3327" s="24"/>
    </row>
    <row r="3328" ht="14.25" customHeight="1">
      <c r="A3328" s="1">
        <v>88.0</v>
      </c>
      <c r="B3328" s="1">
        <v>5.4</v>
      </c>
      <c r="K3328" s="4"/>
      <c r="P3328" s="5"/>
      <c r="Q3328" s="24"/>
    </row>
    <row r="3329" ht="14.25" customHeight="1">
      <c r="A3329" s="1">
        <v>88.0</v>
      </c>
      <c r="B3329" s="1">
        <v>5.4</v>
      </c>
      <c r="K3329" s="4"/>
      <c r="P3329" s="5"/>
      <c r="Q3329" s="24"/>
    </row>
    <row r="3330" ht="14.25" customHeight="1">
      <c r="A3330" s="1">
        <v>88.0</v>
      </c>
      <c r="B3330" s="1">
        <v>5.4</v>
      </c>
      <c r="K3330" s="4"/>
      <c r="P3330" s="5"/>
      <c r="Q3330" s="24"/>
    </row>
    <row r="3331" ht="14.25" customHeight="1">
      <c r="A3331" s="1">
        <v>87.0</v>
      </c>
      <c r="B3331" s="1">
        <v>5.4</v>
      </c>
      <c r="K3331" s="4"/>
      <c r="P3331" s="5"/>
      <c r="Q3331" s="24"/>
    </row>
    <row r="3332" ht="14.25" customHeight="1">
      <c r="A3332" s="1">
        <v>87.0</v>
      </c>
      <c r="B3332" s="1">
        <v>5.4</v>
      </c>
      <c r="K3332" s="4"/>
      <c r="P3332" s="5"/>
      <c r="Q3332" s="24"/>
    </row>
    <row r="3333" ht="14.25" customHeight="1">
      <c r="A3333" s="1">
        <v>87.0</v>
      </c>
      <c r="B3333" s="1">
        <v>5.4</v>
      </c>
      <c r="K3333" s="4"/>
      <c r="P3333" s="5"/>
      <c r="Q3333" s="24"/>
    </row>
    <row r="3334" ht="14.25" customHeight="1">
      <c r="A3334" s="1">
        <v>86.0</v>
      </c>
      <c r="B3334" s="1">
        <v>5.4</v>
      </c>
      <c r="K3334" s="4"/>
      <c r="P3334" s="5"/>
      <c r="Q3334" s="24"/>
    </row>
    <row r="3335" ht="14.25" customHeight="1">
      <c r="A3335" s="1">
        <v>86.0</v>
      </c>
      <c r="B3335" s="1">
        <v>5.4</v>
      </c>
      <c r="K3335" s="4"/>
      <c r="P3335" s="5"/>
      <c r="Q3335" s="24"/>
    </row>
    <row r="3336" ht="14.25" customHeight="1">
      <c r="A3336" s="1">
        <v>86.0</v>
      </c>
      <c r="B3336" s="1">
        <v>5.4</v>
      </c>
      <c r="K3336" s="4"/>
      <c r="P3336" s="5"/>
      <c r="Q3336" s="24"/>
    </row>
    <row r="3337" ht="14.25" customHeight="1">
      <c r="A3337" s="1">
        <v>84.0</v>
      </c>
      <c r="B3337" s="1">
        <v>5.4</v>
      </c>
      <c r="K3337" s="4"/>
      <c r="P3337" s="5"/>
      <c r="Q3337" s="24"/>
    </row>
    <row r="3338" ht="14.25" customHeight="1">
      <c r="A3338" s="1">
        <v>77.0</v>
      </c>
      <c r="B3338" s="1">
        <v>5.4</v>
      </c>
      <c r="K3338" s="4"/>
      <c r="P3338" s="5"/>
      <c r="Q3338" s="24"/>
    </row>
    <row r="3339" ht="14.25" customHeight="1">
      <c r="A3339" s="1">
        <v>76.0</v>
      </c>
      <c r="B3339" s="1">
        <v>5.4</v>
      </c>
      <c r="K3339" s="4"/>
      <c r="P3339" s="5"/>
      <c r="Q3339" s="24"/>
    </row>
    <row r="3340" ht="14.25" customHeight="1">
      <c r="A3340" s="1">
        <v>72.0</v>
      </c>
      <c r="B3340" s="1">
        <v>5.4</v>
      </c>
      <c r="K3340" s="4"/>
      <c r="P3340" s="5"/>
      <c r="Q3340" s="24"/>
    </row>
    <row r="3341" ht="14.25" customHeight="1">
      <c r="A3341" s="1">
        <v>138.0</v>
      </c>
      <c r="B3341" s="1">
        <v>5.3</v>
      </c>
      <c r="K3341" s="4"/>
      <c r="P3341" s="5"/>
      <c r="Q3341" s="24"/>
    </row>
    <row r="3342" ht="14.25" customHeight="1">
      <c r="A3342" s="1">
        <v>122.0</v>
      </c>
      <c r="B3342" s="1">
        <v>5.3</v>
      </c>
      <c r="K3342" s="4"/>
      <c r="P3342" s="5"/>
      <c r="Q3342" s="24"/>
    </row>
    <row r="3343" ht="14.25" customHeight="1">
      <c r="A3343" s="1">
        <v>121.0</v>
      </c>
      <c r="B3343" s="1">
        <v>5.3</v>
      </c>
      <c r="K3343" s="4"/>
      <c r="P3343" s="5"/>
      <c r="Q3343" s="24"/>
    </row>
    <row r="3344" ht="14.25" customHeight="1">
      <c r="A3344" s="1">
        <v>116.0</v>
      </c>
      <c r="B3344" s="1">
        <v>5.3</v>
      </c>
      <c r="K3344" s="4"/>
      <c r="P3344" s="5"/>
      <c r="Q3344" s="24"/>
    </row>
    <row r="3345" ht="14.25" customHeight="1">
      <c r="A3345" s="1">
        <v>114.0</v>
      </c>
      <c r="B3345" s="1">
        <v>5.3</v>
      </c>
      <c r="K3345" s="4"/>
      <c r="P3345" s="5"/>
      <c r="Q3345" s="24"/>
    </row>
    <row r="3346" ht="14.25" customHeight="1">
      <c r="A3346" s="1">
        <v>114.0</v>
      </c>
      <c r="B3346" s="1">
        <v>5.3</v>
      </c>
      <c r="K3346" s="4"/>
      <c r="P3346" s="5"/>
      <c r="Q3346" s="24"/>
    </row>
    <row r="3347" ht="14.25" customHeight="1">
      <c r="A3347" s="1">
        <v>114.0</v>
      </c>
      <c r="B3347" s="1">
        <v>5.3</v>
      </c>
      <c r="K3347" s="4"/>
      <c r="P3347" s="5"/>
      <c r="Q3347" s="24"/>
    </row>
    <row r="3348" ht="14.25" customHeight="1">
      <c r="A3348" s="1">
        <v>113.0</v>
      </c>
      <c r="B3348" s="1">
        <v>5.3</v>
      </c>
      <c r="K3348" s="4"/>
      <c r="P3348" s="5"/>
      <c r="Q3348" s="24"/>
    </row>
    <row r="3349" ht="14.25" customHeight="1">
      <c r="A3349" s="1">
        <v>111.0</v>
      </c>
      <c r="B3349" s="1">
        <v>5.3</v>
      </c>
      <c r="K3349" s="4"/>
      <c r="P3349" s="5"/>
      <c r="Q3349" s="24"/>
    </row>
    <row r="3350" ht="14.25" customHeight="1">
      <c r="A3350" s="1">
        <v>110.0</v>
      </c>
      <c r="B3350" s="1">
        <v>5.3</v>
      </c>
      <c r="K3350" s="4"/>
      <c r="P3350" s="5"/>
      <c r="Q3350" s="24"/>
    </row>
    <row r="3351" ht="14.25" customHeight="1">
      <c r="A3351" s="1">
        <v>110.0</v>
      </c>
      <c r="B3351" s="1">
        <v>5.3</v>
      </c>
      <c r="K3351" s="4"/>
      <c r="P3351" s="5"/>
      <c r="Q3351" s="24"/>
    </row>
    <row r="3352" ht="14.25" customHeight="1">
      <c r="A3352" s="1">
        <v>109.0</v>
      </c>
      <c r="B3352" s="1">
        <v>5.3</v>
      </c>
      <c r="K3352" s="4"/>
      <c r="P3352" s="5"/>
      <c r="Q3352" s="24"/>
    </row>
    <row r="3353" ht="14.25" customHeight="1">
      <c r="A3353" s="1">
        <v>109.0</v>
      </c>
      <c r="B3353" s="1">
        <v>5.3</v>
      </c>
      <c r="K3353" s="4"/>
      <c r="P3353" s="5"/>
      <c r="Q3353" s="24"/>
    </row>
    <row r="3354" ht="14.25" customHeight="1">
      <c r="A3354" s="1">
        <v>108.0</v>
      </c>
      <c r="B3354" s="1">
        <v>5.3</v>
      </c>
      <c r="K3354" s="4"/>
      <c r="P3354" s="5"/>
      <c r="Q3354" s="24"/>
    </row>
    <row r="3355" ht="14.25" customHeight="1">
      <c r="A3355" s="1">
        <v>108.0</v>
      </c>
      <c r="B3355" s="1">
        <v>5.3</v>
      </c>
      <c r="K3355" s="4"/>
      <c r="P3355" s="5"/>
      <c r="Q3355" s="24"/>
    </row>
    <row r="3356" ht="14.25" customHeight="1">
      <c r="A3356" s="1">
        <v>107.0</v>
      </c>
      <c r="B3356" s="1">
        <v>5.3</v>
      </c>
      <c r="K3356" s="4"/>
      <c r="P3356" s="5"/>
      <c r="Q3356" s="24"/>
    </row>
    <row r="3357" ht="14.25" customHeight="1">
      <c r="A3357" s="1">
        <v>105.0</v>
      </c>
      <c r="B3357" s="1">
        <v>5.3</v>
      </c>
      <c r="K3357" s="4"/>
      <c r="P3357" s="5"/>
      <c r="Q3357" s="24"/>
    </row>
    <row r="3358" ht="14.25" customHeight="1">
      <c r="A3358" s="1">
        <v>104.0</v>
      </c>
      <c r="B3358" s="1">
        <v>5.3</v>
      </c>
      <c r="K3358" s="4"/>
      <c r="P3358" s="5"/>
      <c r="Q3358" s="24"/>
    </row>
    <row r="3359" ht="14.25" customHeight="1">
      <c r="A3359" s="1">
        <v>104.0</v>
      </c>
      <c r="B3359" s="1">
        <v>5.3</v>
      </c>
      <c r="K3359" s="4"/>
      <c r="P3359" s="5"/>
      <c r="Q3359" s="24"/>
    </row>
    <row r="3360" ht="14.25" customHeight="1">
      <c r="A3360" s="1">
        <v>103.0</v>
      </c>
      <c r="B3360" s="1">
        <v>5.3</v>
      </c>
      <c r="K3360" s="4"/>
      <c r="P3360" s="5"/>
      <c r="Q3360" s="24"/>
    </row>
    <row r="3361" ht="14.25" customHeight="1">
      <c r="A3361" s="1">
        <v>102.0</v>
      </c>
      <c r="B3361" s="1">
        <v>5.3</v>
      </c>
      <c r="K3361" s="4"/>
      <c r="P3361" s="5"/>
      <c r="Q3361" s="24"/>
    </row>
    <row r="3362" ht="14.25" customHeight="1">
      <c r="A3362" s="1">
        <v>101.0</v>
      </c>
      <c r="B3362" s="1">
        <v>5.3</v>
      </c>
      <c r="K3362" s="4"/>
      <c r="P3362" s="5"/>
      <c r="Q3362" s="24"/>
    </row>
    <row r="3363" ht="14.25" customHeight="1">
      <c r="A3363" s="1">
        <v>100.0</v>
      </c>
      <c r="B3363" s="1">
        <v>5.3</v>
      </c>
      <c r="K3363" s="4"/>
      <c r="P3363" s="5"/>
      <c r="Q3363" s="24"/>
    </row>
    <row r="3364" ht="14.25" customHeight="1">
      <c r="A3364" s="1">
        <v>99.0</v>
      </c>
      <c r="B3364" s="1">
        <v>5.3</v>
      </c>
      <c r="K3364" s="4"/>
      <c r="P3364" s="5"/>
      <c r="Q3364" s="24"/>
    </row>
    <row r="3365" ht="14.25" customHeight="1">
      <c r="A3365" s="1">
        <v>99.0</v>
      </c>
      <c r="B3365" s="1">
        <v>5.3</v>
      </c>
      <c r="K3365" s="4"/>
      <c r="P3365" s="5"/>
      <c r="Q3365" s="24"/>
    </row>
    <row r="3366" ht="14.25" customHeight="1">
      <c r="A3366" s="1">
        <v>98.0</v>
      </c>
      <c r="B3366" s="1">
        <v>5.3</v>
      </c>
      <c r="K3366" s="4"/>
      <c r="P3366" s="5"/>
      <c r="Q3366" s="24"/>
    </row>
    <row r="3367" ht="14.25" customHeight="1">
      <c r="A3367" s="1">
        <v>98.0</v>
      </c>
      <c r="B3367" s="1">
        <v>5.3</v>
      </c>
      <c r="K3367" s="4"/>
      <c r="P3367" s="5"/>
      <c r="Q3367" s="24"/>
    </row>
    <row r="3368" ht="14.25" customHeight="1">
      <c r="A3368" s="1">
        <v>98.0</v>
      </c>
      <c r="B3368" s="1">
        <v>5.3</v>
      </c>
      <c r="K3368" s="4"/>
      <c r="P3368" s="5"/>
      <c r="Q3368" s="24"/>
    </row>
    <row r="3369" ht="14.25" customHeight="1">
      <c r="A3369" s="1">
        <v>98.0</v>
      </c>
      <c r="B3369" s="1">
        <v>5.3</v>
      </c>
      <c r="K3369" s="4"/>
      <c r="P3369" s="5"/>
      <c r="Q3369" s="24"/>
    </row>
    <row r="3370" ht="14.25" customHeight="1">
      <c r="A3370" s="1">
        <v>98.0</v>
      </c>
      <c r="B3370" s="1">
        <v>5.3</v>
      </c>
      <c r="K3370" s="4"/>
      <c r="P3370" s="5"/>
      <c r="Q3370" s="24"/>
    </row>
    <row r="3371" ht="14.25" customHeight="1">
      <c r="A3371" s="1">
        <v>97.0</v>
      </c>
      <c r="B3371" s="1">
        <v>5.3</v>
      </c>
      <c r="K3371" s="4"/>
      <c r="P3371" s="5"/>
      <c r="Q3371" s="24"/>
    </row>
    <row r="3372" ht="14.25" customHeight="1">
      <c r="A3372" s="1">
        <v>97.0</v>
      </c>
      <c r="B3372" s="1">
        <v>5.3</v>
      </c>
      <c r="K3372" s="4"/>
      <c r="P3372" s="5"/>
      <c r="Q3372" s="24"/>
    </row>
    <row r="3373" ht="14.25" customHeight="1">
      <c r="A3373" s="1">
        <v>97.0</v>
      </c>
      <c r="B3373" s="1">
        <v>5.3</v>
      </c>
      <c r="K3373" s="4"/>
      <c r="P3373" s="5"/>
      <c r="Q3373" s="24"/>
    </row>
    <row r="3374" ht="14.25" customHeight="1">
      <c r="A3374" s="1">
        <v>97.0</v>
      </c>
      <c r="B3374" s="1">
        <v>5.3</v>
      </c>
      <c r="K3374" s="4"/>
      <c r="P3374" s="5"/>
      <c r="Q3374" s="24"/>
    </row>
    <row r="3375" ht="14.25" customHeight="1">
      <c r="A3375" s="1">
        <v>96.0</v>
      </c>
      <c r="B3375" s="1">
        <v>5.3</v>
      </c>
      <c r="K3375" s="4"/>
      <c r="P3375" s="5"/>
      <c r="Q3375" s="24"/>
    </row>
    <row r="3376" ht="14.25" customHeight="1">
      <c r="A3376" s="1">
        <v>96.0</v>
      </c>
      <c r="B3376" s="1">
        <v>5.3</v>
      </c>
      <c r="K3376" s="4"/>
      <c r="P3376" s="5"/>
      <c r="Q3376" s="24"/>
    </row>
    <row r="3377" ht="14.25" customHeight="1">
      <c r="A3377" s="1">
        <v>95.0</v>
      </c>
      <c r="B3377" s="1">
        <v>5.3</v>
      </c>
      <c r="K3377" s="4"/>
      <c r="P3377" s="5"/>
      <c r="Q3377" s="24"/>
    </row>
    <row r="3378" ht="14.25" customHeight="1">
      <c r="A3378" s="1">
        <v>95.0</v>
      </c>
      <c r="B3378" s="1">
        <v>5.3</v>
      </c>
      <c r="K3378" s="4"/>
      <c r="P3378" s="5"/>
      <c r="Q3378" s="24"/>
    </row>
    <row r="3379" ht="14.25" customHeight="1">
      <c r="A3379" s="1">
        <v>95.0</v>
      </c>
      <c r="B3379" s="1">
        <v>5.3</v>
      </c>
      <c r="K3379" s="4"/>
      <c r="P3379" s="5"/>
      <c r="Q3379" s="24"/>
    </row>
    <row r="3380" ht="14.25" customHeight="1">
      <c r="A3380" s="1">
        <v>95.0</v>
      </c>
      <c r="B3380" s="1">
        <v>5.3</v>
      </c>
      <c r="K3380" s="4"/>
      <c r="P3380" s="5"/>
      <c r="Q3380" s="24"/>
    </row>
    <row r="3381" ht="14.25" customHeight="1">
      <c r="A3381" s="1">
        <v>94.0</v>
      </c>
      <c r="B3381" s="1">
        <v>5.3</v>
      </c>
      <c r="K3381" s="4"/>
      <c r="P3381" s="5"/>
      <c r="Q3381" s="24"/>
    </row>
    <row r="3382" ht="14.25" customHeight="1">
      <c r="A3382" s="1">
        <v>94.0</v>
      </c>
      <c r="B3382" s="1">
        <v>5.3</v>
      </c>
      <c r="K3382" s="4"/>
      <c r="P3382" s="5"/>
      <c r="Q3382" s="24"/>
    </row>
    <row r="3383" ht="14.25" customHeight="1">
      <c r="A3383" s="1">
        <v>94.0</v>
      </c>
      <c r="B3383" s="1">
        <v>5.3</v>
      </c>
      <c r="K3383" s="4"/>
      <c r="P3383" s="5"/>
      <c r="Q3383" s="24"/>
    </row>
    <row r="3384" ht="14.25" customHeight="1">
      <c r="A3384" s="1">
        <v>94.0</v>
      </c>
      <c r="B3384" s="1">
        <v>5.3</v>
      </c>
      <c r="K3384" s="4"/>
      <c r="P3384" s="5"/>
      <c r="Q3384" s="24"/>
    </row>
    <row r="3385" ht="14.25" customHeight="1">
      <c r="A3385" s="1">
        <v>93.0</v>
      </c>
      <c r="B3385" s="1">
        <v>5.3</v>
      </c>
      <c r="K3385" s="4"/>
      <c r="P3385" s="5"/>
      <c r="Q3385" s="24"/>
    </row>
    <row r="3386" ht="14.25" customHeight="1">
      <c r="A3386" s="1">
        <v>93.0</v>
      </c>
      <c r="B3386" s="1">
        <v>5.3</v>
      </c>
      <c r="K3386" s="4"/>
      <c r="P3386" s="5"/>
      <c r="Q3386" s="24"/>
    </row>
    <row r="3387" ht="14.25" customHeight="1">
      <c r="A3387" s="1">
        <v>92.0</v>
      </c>
      <c r="B3387" s="1">
        <v>5.3</v>
      </c>
      <c r="K3387" s="4"/>
      <c r="P3387" s="5"/>
      <c r="Q3387" s="24"/>
    </row>
    <row r="3388" ht="14.25" customHeight="1">
      <c r="A3388" s="1">
        <v>91.0</v>
      </c>
      <c r="B3388" s="1">
        <v>5.3</v>
      </c>
      <c r="K3388" s="4"/>
      <c r="P3388" s="5"/>
      <c r="Q3388" s="24"/>
    </row>
    <row r="3389" ht="14.25" customHeight="1">
      <c r="A3389" s="1">
        <v>91.0</v>
      </c>
      <c r="B3389" s="1">
        <v>5.3</v>
      </c>
      <c r="K3389" s="4"/>
      <c r="P3389" s="5"/>
      <c r="Q3389" s="24"/>
    </row>
    <row r="3390" ht="14.25" customHeight="1">
      <c r="A3390" s="1">
        <v>91.0</v>
      </c>
      <c r="B3390" s="1">
        <v>5.3</v>
      </c>
      <c r="K3390" s="4"/>
      <c r="P3390" s="5"/>
      <c r="Q3390" s="24"/>
    </row>
    <row r="3391" ht="14.25" customHeight="1">
      <c r="A3391" s="1">
        <v>91.0</v>
      </c>
      <c r="B3391" s="1">
        <v>5.3</v>
      </c>
      <c r="K3391" s="4"/>
      <c r="P3391" s="5"/>
      <c r="Q3391" s="24"/>
    </row>
    <row r="3392" ht="14.25" customHeight="1">
      <c r="A3392" s="1">
        <v>91.0</v>
      </c>
      <c r="B3392" s="1">
        <v>5.3</v>
      </c>
      <c r="K3392" s="4"/>
      <c r="P3392" s="5"/>
      <c r="Q3392" s="24"/>
    </row>
    <row r="3393" ht="14.25" customHeight="1">
      <c r="A3393" s="1">
        <v>91.0</v>
      </c>
      <c r="B3393" s="1">
        <v>5.3</v>
      </c>
      <c r="K3393" s="4"/>
      <c r="P3393" s="5"/>
      <c r="Q3393" s="24"/>
    </row>
    <row r="3394" ht="14.25" customHeight="1">
      <c r="A3394" s="1">
        <v>90.0</v>
      </c>
      <c r="B3394" s="1">
        <v>5.3</v>
      </c>
      <c r="K3394" s="4"/>
      <c r="P3394" s="5"/>
      <c r="Q3394" s="24"/>
    </row>
    <row r="3395" ht="14.25" customHeight="1">
      <c r="A3395" s="1">
        <v>90.0</v>
      </c>
      <c r="B3395" s="1">
        <v>5.3</v>
      </c>
      <c r="K3395" s="4"/>
      <c r="P3395" s="5"/>
      <c r="Q3395" s="24"/>
    </row>
    <row r="3396" ht="14.25" customHeight="1">
      <c r="A3396" s="1">
        <v>90.0</v>
      </c>
      <c r="B3396" s="1">
        <v>5.3</v>
      </c>
      <c r="K3396" s="4"/>
      <c r="P3396" s="5"/>
      <c r="Q3396" s="24"/>
    </row>
    <row r="3397" ht="14.25" customHeight="1">
      <c r="A3397" s="1">
        <v>90.0</v>
      </c>
      <c r="B3397" s="1">
        <v>5.3</v>
      </c>
      <c r="K3397" s="4"/>
      <c r="P3397" s="5"/>
      <c r="Q3397" s="24"/>
    </row>
    <row r="3398" ht="14.25" customHeight="1">
      <c r="A3398" s="1">
        <v>90.0</v>
      </c>
      <c r="B3398" s="1">
        <v>5.3</v>
      </c>
      <c r="K3398" s="4"/>
      <c r="P3398" s="5"/>
      <c r="Q3398" s="24"/>
    </row>
    <row r="3399" ht="14.25" customHeight="1">
      <c r="A3399" s="1">
        <v>89.0</v>
      </c>
      <c r="B3399" s="1">
        <v>5.3</v>
      </c>
      <c r="K3399" s="4"/>
      <c r="P3399" s="5"/>
      <c r="Q3399" s="24"/>
    </row>
    <row r="3400" ht="14.25" customHeight="1">
      <c r="A3400" s="1">
        <v>89.0</v>
      </c>
      <c r="B3400" s="1">
        <v>5.3</v>
      </c>
      <c r="K3400" s="4"/>
      <c r="P3400" s="5"/>
      <c r="Q3400" s="24"/>
    </row>
    <row r="3401" ht="14.25" customHeight="1">
      <c r="A3401" s="1">
        <v>88.0</v>
      </c>
      <c r="B3401" s="1">
        <v>5.3</v>
      </c>
      <c r="K3401" s="4"/>
      <c r="P3401" s="5"/>
      <c r="Q3401" s="24"/>
    </row>
    <row r="3402" ht="14.25" customHeight="1">
      <c r="A3402" s="1">
        <v>88.0</v>
      </c>
      <c r="B3402" s="1">
        <v>5.3</v>
      </c>
      <c r="K3402" s="4"/>
      <c r="P3402" s="5"/>
      <c r="Q3402" s="24"/>
    </row>
    <row r="3403" ht="14.25" customHeight="1">
      <c r="A3403" s="1">
        <v>88.0</v>
      </c>
      <c r="B3403" s="1">
        <v>5.3</v>
      </c>
      <c r="K3403" s="4"/>
      <c r="P3403" s="5"/>
      <c r="Q3403" s="24"/>
    </row>
    <row r="3404" ht="14.25" customHeight="1">
      <c r="A3404" s="1">
        <v>87.0</v>
      </c>
      <c r="B3404" s="1">
        <v>5.3</v>
      </c>
      <c r="K3404" s="4"/>
      <c r="P3404" s="5"/>
      <c r="Q3404" s="24"/>
    </row>
    <row r="3405" ht="14.25" customHeight="1">
      <c r="A3405" s="1">
        <v>87.0</v>
      </c>
      <c r="B3405" s="1">
        <v>5.3</v>
      </c>
      <c r="K3405" s="4"/>
      <c r="P3405" s="5"/>
      <c r="Q3405" s="24"/>
    </row>
    <row r="3406" ht="14.25" customHeight="1">
      <c r="A3406" s="1">
        <v>87.0</v>
      </c>
      <c r="B3406" s="1">
        <v>5.3</v>
      </c>
      <c r="K3406" s="4"/>
      <c r="P3406" s="5"/>
      <c r="Q3406" s="24"/>
    </row>
    <row r="3407" ht="14.25" customHeight="1">
      <c r="A3407" s="1">
        <v>86.0</v>
      </c>
      <c r="B3407" s="1">
        <v>5.3</v>
      </c>
      <c r="K3407" s="4"/>
      <c r="P3407" s="5"/>
      <c r="Q3407" s="24"/>
    </row>
    <row r="3408" ht="14.25" customHeight="1">
      <c r="A3408" s="1">
        <v>86.0</v>
      </c>
      <c r="B3408" s="1">
        <v>5.3</v>
      </c>
      <c r="K3408" s="4"/>
      <c r="P3408" s="5"/>
      <c r="Q3408" s="24"/>
    </row>
    <row r="3409" ht="14.25" customHeight="1">
      <c r="A3409" s="1">
        <v>85.0</v>
      </c>
      <c r="B3409" s="1">
        <v>5.3</v>
      </c>
      <c r="K3409" s="4"/>
      <c r="P3409" s="5"/>
      <c r="Q3409" s="24"/>
    </row>
    <row r="3410" ht="14.25" customHeight="1">
      <c r="A3410" s="1">
        <v>81.0</v>
      </c>
      <c r="B3410" s="1">
        <v>5.3</v>
      </c>
      <c r="K3410" s="4"/>
      <c r="P3410" s="5"/>
      <c r="Q3410" s="24"/>
    </row>
    <row r="3411" ht="14.25" customHeight="1">
      <c r="A3411" s="1">
        <v>123.0</v>
      </c>
      <c r="B3411" s="1">
        <v>5.2</v>
      </c>
      <c r="K3411" s="4"/>
      <c r="P3411" s="5"/>
      <c r="Q3411" s="24"/>
    </row>
    <row r="3412" ht="14.25" customHeight="1">
      <c r="A3412" s="1">
        <v>122.0</v>
      </c>
      <c r="B3412" s="1">
        <v>5.2</v>
      </c>
      <c r="K3412" s="4"/>
      <c r="P3412" s="5"/>
      <c r="Q3412" s="24"/>
    </row>
    <row r="3413" ht="14.25" customHeight="1">
      <c r="A3413" s="1">
        <v>122.0</v>
      </c>
      <c r="B3413" s="1">
        <v>5.2</v>
      </c>
      <c r="K3413" s="4"/>
      <c r="P3413" s="5"/>
      <c r="Q3413" s="24"/>
    </row>
    <row r="3414" ht="14.25" customHeight="1">
      <c r="A3414" s="1">
        <v>118.0</v>
      </c>
      <c r="B3414" s="1">
        <v>5.2</v>
      </c>
      <c r="K3414" s="4"/>
      <c r="P3414" s="5"/>
      <c r="Q3414" s="24"/>
    </row>
    <row r="3415" ht="14.25" customHeight="1">
      <c r="A3415" s="1">
        <v>118.0</v>
      </c>
      <c r="B3415" s="1">
        <v>5.2</v>
      </c>
      <c r="K3415" s="4"/>
      <c r="P3415" s="5"/>
      <c r="Q3415" s="24"/>
    </row>
    <row r="3416" ht="14.25" customHeight="1">
      <c r="A3416" s="1">
        <v>118.0</v>
      </c>
      <c r="B3416" s="1">
        <v>5.2</v>
      </c>
      <c r="K3416" s="4"/>
      <c r="P3416" s="5"/>
      <c r="Q3416" s="24"/>
    </row>
    <row r="3417" ht="14.25" customHeight="1">
      <c r="A3417" s="1">
        <v>113.0</v>
      </c>
      <c r="B3417" s="1">
        <v>5.2</v>
      </c>
      <c r="K3417" s="4"/>
      <c r="P3417" s="5"/>
      <c r="Q3417" s="24"/>
    </row>
    <row r="3418" ht="14.25" customHeight="1">
      <c r="A3418" s="1">
        <v>112.0</v>
      </c>
      <c r="B3418" s="1">
        <v>5.2</v>
      </c>
      <c r="K3418" s="4"/>
      <c r="P3418" s="5"/>
      <c r="Q3418" s="24"/>
    </row>
    <row r="3419" ht="14.25" customHeight="1">
      <c r="A3419" s="1">
        <v>112.0</v>
      </c>
      <c r="B3419" s="1">
        <v>5.2</v>
      </c>
      <c r="K3419" s="4"/>
      <c r="P3419" s="5"/>
      <c r="Q3419" s="24"/>
    </row>
    <row r="3420" ht="14.25" customHeight="1">
      <c r="A3420" s="1">
        <v>110.0</v>
      </c>
      <c r="B3420" s="1">
        <v>5.2</v>
      </c>
      <c r="K3420" s="4"/>
      <c r="P3420" s="5"/>
      <c r="Q3420" s="24"/>
    </row>
    <row r="3421" ht="14.25" customHeight="1">
      <c r="A3421" s="1">
        <v>110.0</v>
      </c>
      <c r="B3421" s="1">
        <v>5.2</v>
      </c>
      <c r="K3421" s="4"/>
      <c r="P3421" s="5"/>
      <c r="Q3421" s="24"/>
    </row>
    <row r="3422" ht="14.25" customHeight="1">
      <c r="A3422" s="1">
        <v>109.0</v>
      </c>
      <c r="B3422" s="1">
        <v>5.2</v>
      </c>
      <c r="K3422" s="4"/>
      <c r="P3422" s="5"/>
      <c r="Q3422" s="24"/>
    </row>
    <row r="3423" ht="14.25" customHeight="1">
      <c r="A3423" s="1">
        <v>108.0</v>
      </c>
      <c r="B3423" s="1">
        <v>5.2</v>
      </c>
      <c r="K3423" s="4"/>
      <c r="P3423" s="5"/>
      <c r="Q3423" s="24"/>
    </row>
    <row r="3424" ht="14.25" customHeight="1">
      <c r="A3424" s="1">
        <v>106.0</v>
      </c>
      <c r="B3424" s="1">
        <v>5.2</v>
      </c>
      <c r="K3424" s="4"/>
      <c r="P3424" s="5"/>
      <c r="Q3424" s="24"/>
    </row>
    <row r="3425" ht="14.25" customHeight="1">
      <c r="A3425" s="1">
        <v>105.0</v>
      </c>
      <c r="B3425" s="1">
        <v>5.2</v>
      </c>
      <c r="K3425" s="4"/>
      <c r="P3425" s="5"/>
      <c r="Q3425" s="24"/>
    </row>
    <row r="3426" ht="14.25" customHeight="1">
      <c r="A3426" s="1">
        <v>105.0</v>
      </c>
      <c r="B3426" s="1">
        <v>5.2</v>
      </c>
      <c r="K3426" s="4"/>
      <c r="P3426" s="5"/>
      <c r="Q3426" s="24"/>
    </row>
    <row r="3427" ht="14.25" customHeight="1">
      <c r="A3427" s="1">
        <v>104.0</v>
      </c>
      <c r="B3427" s="1">
        <v>5.2</v>
      </c>
      <c r="K3427" s="4"/>
      <c r="P3427" s="5"/>
      <c r="Q3427" s="24"/>
    </row>
    <row r="3428" ht="14.25" customHeight="1">
      <c r="A3428" s="1">
        <v>103.0</v>
      </c>
      <c r="B3428" s="1">
        <v>5.2</v>
      </c>
      <c r="K3428" s="4"/>
      <c r="P3428" s="5"/>
      <c r="Q3428" s="24"/>
    </row>
    <row r="3429" ht="14.25" customHeight="1">
      <c r="A3429" s="1">
        <v>102.0</v>
      </c>
      <c r="B3429" s="1">
        <v>5.2</v>
      </c>
      <c r="K3429" s="4"/>
      <c r="P3429" s="5"/>
      <c r="Q3429" s="24"/>
    </row>
    <row r="3430" ht="14.25" customHeight="1">
      <c r="A3430" s="1">
        <v>102.0</v>
      </c>
      <c r="B3430" s="1">
        <v>5.2</v>
      </c>
      <c r="K3430" s="4"/>
      <c r="P3430" s="5"/>
      <c r="Q3430" s="24"/>
    </row>
    <row r="3431" ht="14.25" customHeight="1">
      <c r="A3431" s="1">
        <v>101.0</v>
      </c>
      <c r="B3431" s="1">
        <v>5.2</v>
      </c>
      <c r="K3431" s="4"/>
      <c r="P3431" s="5"/>
      <c r="Q3431" s="24"/>
    </row>
    <row r="3432" ht="14.25" customHeight="1">
      <c r="A3432" s="1">
        <v>100.0</v>
      </c>
      <c r="B3432" s="1">
        <v>5.2</v>
      </c>
      <c r="K3432" s="4"/>
      <c r="P3432" s="5"/>
      <c r="Q3432" s="24"/>
    </row>
    <row r="3433" ht="14.25" customHeight="1">
      <c r="A3433" s="1">
        <v>99.0</v>
      </c>
      <c r="B3433" s="1">
        <v>5.2</v>
      </c>
      <c r="K3433" s="4"/>
      <c r="P3433" s="5"/>
      <c r="Q3433" s="24"/>
    </row>
    <row r="3434" ht="14.25" customHeight="1">
      <c r="A3434" s="1">
        <v>99.0</v>
      </c>
      <c r="B3434" s="1">
        <v>5.2</v>
      </c>
      <c r="K3434" s="4"/>
      <c r="P3434" s="5"/>
      <c r="Q3434" s="24"/>
    </row>
    <row r="3435" ht="14.25" customHeight="1">
      <c r="A3435" s="1">
        <v>98.0</v>
      </c>
      <c r="B3435" s="1">
        <v>5.2</v>
      </c>
      <c r="K3435" s="4"/>
      <c r="P3435" s="5"/>
      <c r="Q3435" s="24"/>
    </row>
    <row r="3436" ht="14.25" customHeight="1">
      <c r="A3436" s="1">
        <v>97.0</v>
      </c>
      <c r="B3436" s="1">
        <v>5.2</v>
      </c>
      <c r="K3436" s="4"/>
      <c r="P3436" s="5"/>
      <c r="Q3436" s="24"/>
    </row>
    <row r="3437" ht="14.25" customHeight="1">
      <c r="A3437" s="1">
        <v>96.0</v>
      </c>
      <c r="B3437" s="1">
        <v>5.2</v>
      </c>
      <c r="K3437" s="4"/>
      <c r="P3437" s="5"/>
      <c r="Q3437" s="24"/>
    </row>
    <row r="3438" ht="14.25" customHeight="1">
      <c r="A3438" s="1">
        <v>96.0</v>
      </c>
      <c r="B3438" s="1">
        <v>5.2</v>
      </c>
      <c r="K3438" s="4"/>
      <c r="P3438" s="5"/>
      <c r="Q3438" s="24"/>
    </row>
    <row r="3439" ht="14.25" customHeight="1">
      <c r="A3439" s="1">
        <v>95.0</v>
      </c>
      <c r="B3439" s="1">
        <v>5.2</v>
      </c>
      <c r="K3439" s="4"/>
      <c r="P3439" s="5"/>
      <c r="Q3439" s="24"/>
    </row>
    <row r="3440" ht="14.25" customHeight="1">
      <c r="A3440" s="1">
        <v>95.0</v>
      </c>
      <c r="B3440" s="1">
        <v>5.2</v>
      </c>
      <c r="K3440" s="4"/>
      <c r="P3440" s="5"/>
      <c r="Q3440" s="24"/>
    </row>
    <row r="3441" ht="14.25" customHeight="1">
      <c r="A3441" s="1">
        <v>95.0</v>
      </c>
      <c r="B3441" s="1">
        <v>5.2</v>
      </c>
      <c r="K3441" s="4"/>
      <c r="P3441" s="5"/>
      <c r="Q3441" s="24"/>
    </row>
    <row r="3442" ht="14.25" customHeight="1">
      <c r="A3442" s="1">
        <v>94.0</v>
      </c>
      <c r="B3442" s="1">
        <v>5.2</v>
      </c>
      <c r="K3442" s="4"/>
      <c r="P3442" s="5"/>
      <c r="Q3442" s="24"/>
    </row>
    <row r="3443" ht="14.25" customHeight="1">
      <c r="A3443" s="1">
        <v>93.0</v>
      </c>
      <c r="B3443" s="1">
        <v>5.2</v>
      </c>
      <c r="K3443" s="4"/>
      <c r="P3443" s="5"/>
      <c r="Q3443" s="24"/>
    </row>
    <row r="3444" ht="14.25" customHeight="1">
      <c r="A3444" s="1">
        <v>93.0</v>
      </c>
      <c r="B3444" s="1">
        <v>5.2</v>
      </c>
      <c r="K3444" s="4"/>
      <c r="P3444" s="5"/>
      <c r="Q3444" s="24"/>
    </row>
    <row r="3445" ht="14.25" customHeight="1">
      <c r="A3445" s="1">
        <v>92.0</v>
      </c>
      <c r="B3445" s="1">
        <v>5.2</v>
      </c>
      <c r="K3445" s="4"/>
      <c r="P3445" s="5"/>
      <c r="Q3445" s="24"/>
    </row>
    <row r="3446" ht="14.25" customHeight="1">
      <c r="A3446" s="1">
        <v>91.0</v>
      </c>
      <c r="B3446" s="1">
        <v>5.2</v>
      </c>
      <c r="K3446" s="4"/>
      <c r="P3446" s="5"/>
      <c r="Q3446" s="24"/>
    </row>
    <row r="3447" ht="14.25" customHeight="1">
      <c r="A3447" s="1">
        <v>91.0</v>
      </c>
      <c r="B3447" s="1">
        <v>5.2</v>
      </c>
      <c r="K3447" s="4"/>
      <c r="P3447" s="5"/>
      <c r="Q3447" s="24"/>
    </row>
    <row r="3448" ht="14.25" customHeight="1">
      <c r="A3448" s="1">
        <v>90.0</v>
      </c>
      <c r="B3448" s="1">
        <v>5.2</v>
      </c>
      <c r="K3448" s="4"/>
      <c r="P3448" s="5"/>
      <c r="Q3448" s="24"/>
    </row>
    <row r="3449" ht="14.25" customHeight="1">
      <c r="A3449" s="1">
        <v>90.0</v>
      </c>
      <c r="B3449" s="1">
        <v>5.2</v>
      </c>
      <c r="K3449" s="4"/>
      <c r="P3449" s="5"/>
      <c r="Q3449" s="24"/>
    </row>
    <row r="3450" ht="14.25" customHeight="1">
      <c r="A3450" s="1">
        <v>87.0</v>
      </c>
      <c r="B3450" s="1">
        <v>5.2</v>
      </c>
      <c r="K3450" s="4"/>
      <c r="P3450" s="5"/>
      <c r="Q3450" s="24"/>
    </row>
    <row r="3451" ht="14.25" customHeight="1">
      <c r="A3451" s="1">
        <v>87.0</v>
      </c>
      <c r="B3451" s="1">
        <v>5.2</v>
      </c>
      <c r="K3451" s="4"/>
      <c r="P3451" s="5"/>
      <c r="Q3451" s="24"/>
    </row>
    <row r="3452" ht="14.25" customHeight="1">
      <c r="A3452" s="1">
        <v>86.0</v>
      </c>
      <c r="B3452" s="1">
        <v>5.2</v>
      </c>
      <c r="K3452" s="4"/>
      <c r="P3452" s="5"/>
      <c r="Q3452" s="24"/>
    </row>
    <row r="3453" ht="14.25" customHeight="1">
      <c r="A3453" s="1">
        <v>85.0</v>
      </c>
      <c r="B3453" s="1">
        <v>5.2</v>
      </c>
      <c r="K3453" s="4"/>
      <c r="P3453" s="5"/>
      <c r="Q3453" s="24"/>
    </row>
    <row r="3454" ht="14.25" customHeight="1">
      <c r="A3454" s="1">
        <v>83.0</v>
      </c>
      <c r="B3454" s="1">
        <v>5.2</v>
      </c>
      <c r="K3454" s="4"/>
      <c r="P3454" s="5"/>
      <c r="Q3454" s="24"/>
    </row>
    <row r="3455" ht="14.25" customHeight="1">
      <c r="A3455" s="1">
        <v>83.0</v>
      </c>
      <c r="B3455" s="1">
        <v>5.2</v>
      </c>
      <c r="K3455" s="4"/>
      <c r="P3455" s="5"/>
      <c r="Q3455" s="24"/>
    </row>
    <row r="3456" ht="14.25" customHeight="1">
      <c r="A3456" s="1">
        <v>82.0</v>
      </c>
      <c r="B3456" s="1">
        <v>5.2</v>
      </c>
      <c r="K3456" s="4"/>
      <c r="P3456" s="5"/>
      <c r="Q3456" s="24"/>
    </row>
    <row r="3457" ht="14.25" customHeight="1">
      <c r="A3457" s="1">
        <v>81.0</v>
      </c>
      <c r="B3457" s="1">
        <v>5.2</v>
      </c>
      <c r="K3457" s="4"/>
      <c r="P3457" s="5"/>
      <c r="Q3457" s="24"/>
    </row>
    <row r="3458" ht="14.25" customHeight="1">
      <c r="A3458" s="1">
        <v>135.0</v>
      </c>
      <c r="B3458" s="1">
        <v>5.1</v>
      </c>
      <c r="K3458" s="4"/>
      <c r="P3458" s="5"/>
      <c r="Q3458" s="24"/>
    </row>
    <row r="3459" ht="14.25" customHeight="1">
      <c r="A3459" s="1">
        <v>133.0</v>
      </c>
      <c r="B3459" s="1">
        <v>5.1</v>
      </c>
      <c r="K3459" s="4"/>
      <c r="P3459" s="5"/>
      <c r="Q3459" s="24"/>
    </row>
    <row r="3460" ht="14.25" customHeight="1">
      <c r="A3460" s="1">
        <v>130.0</v>
      </c>
      <c r="B3460" s="1">
        <v>5.1</v>
      </c>
      <c r="K3460" s="4"/>
      <c r="P3460" s="5"/>
      <c r="Q3460" s="24"/>
    </row>
    <row r="3461" ht="14.25" customHeight="1">
      <c r="A3461" s="1">
        <v>125.0</v>
      </c>
      <c r="B3461" s="1">
        <v>5.1</v>
      </c>
      <c r="K3461" s="4"/>
      <c r="P3461" s="5"/>
      <c r="Q3461" s="24"/>
    </row>
    <row r="3462" ht="14.25" customHeight="1">
      <c r="A3462" s="1">
        <v>120.0</v>
      </c>
      <c r="B3462" s="1">
        <v>5.1</v>
      </c>
      <c r="K3462" s="4"/>
      <c r="P3462" s="5"/>
      <c r="Q3462" s="24"/>
    </row>
    <row r="3463" ht="14.25" customHeight="1">
      <c r="A3463" s="1">
        <v>107.0</v>
      </c>
      <c r="B3463" s="1">
        <v>5.1</v>
      </c>
      <c r="K3463" s="4"/>
      <c r="P3463" s="5"/>
      <c r="Q3463" s="24"/>
    </row>
    <row r="3464" ht="14.25" customHeight="1">
      <c r="A3464" s="1">
        <v>107.0</v>
      </c>
      <c r="B3464" s="1">
        <v>5.1</v>
      </c>
      <c r="K3464" s="4"/>
      <c r="P3464" s="5"/>
      <c r="Q3464" s="24"/>
    </row>
    <row r="3465" ht="14.25" customHeight="1">
      <c r="A3465" s="1">
        <v>107.0</v>
      </c>
      <c r="B3465" s="1">
        <v>5.1</v>
      </c>
      <c r="K3465" s="4"/>
      <c r="P3465" s="5"/>
      <c r="Q3465" s="24"/>
    </row>
    <row r="3466" ht="14.25" customHeight="1">
      <c r="A3466" s="1">
        <v>107.0</v>
      </c>
      <c r="B3466" s="1">
        <v>5.1</v>
      </c>
      <c r="K3466" s="4"/>
      <c r="P3466" s="5"/>
      <c r="Q3466" s="24"/>
    </row>
    <row r="3467" ht="14.25" customHeight="1">
      <c r="A3467" s="1">
        <v>107.0</v>
      </c>
      <c r="B3467" s="1">
        <v>5.1</v>
      </c>
      <c r="K3467" s="4"/>
      <c r="P3467" s="5"/>
      <c r="Q3467" s="24"/>
    </row>
    <row r="3468" ht="14.25" customHeight="1">
      <c r="A3468" s="1">
        <v>105.0</v>
      </c>
      <c r="B3468" s="1">
        <v>5.1</v>
      </c>
      <c r="K3468" s="4"/>
      <c r="P3468" s="5"/>
      <c r="Q3468" s="24"/>
    </row>
    <row r="3469" ht="14.25" customHeight="1">
      <c r="A3469" s="1">
        <v>104.0</v>
      </c>
      <c r="B3469" s="1">
        <v>5.1</v>
      </c>
      <c r="K3469" s="4"/>
      <c r="P3469" s="5"/>
      <c r="Q3469" s="24"/>
    </row>
    <row r="3470" ht="14.25" customHeight="1">
      <c r="A3470" s="1">
        <v>102.0</v>
      </c>
      <c r="B3470" s="1">
        <v>5.1</v>
      </c>
      <c r="K3470" s="4"/>
      <c r="P3470" s="5"/>
      <c r="Q3470" s="24"/>
    </row>
    <row r="3471" ht="14.25" customHeight="1">
      <c r="A3471" s="1">
        <v>102.0</v>
      </c>
      <c r="B3471" s="1">
        <v>5.1</v>
      </c>
      <c r="K3471" s="4"/>
      <c r="P3471" s="5"/>
      <c r="Q3471" s="24"/>
    </row>
    <row r="3472" ht="14.25" customHeight="1">
      <c r="A3472" s="1">
        <v>102.0</v>
      </c>
      <c r="B3472" s="1">
        <v>5.1</v>
      </c>
      <c r="K3472" s="4"/>
      <c r="P3472" s="5"/>
      <c r="Q3472" s="24"/>
    </row>
    <row r="3473" ht="14.25" customHeight="1">
      <c r="A3473" s="1">
        <v>101.0</v>
      </c>
      <c r="B3473" s="1">
        <v>5.1</v>
      </c>
      <c r="K3473" s="4"/>
      <c r="P3473" s="5"/>
      <c r="Q3473" s="24"/>
    </row>
    <row r="3474" ht="14.25" customHeight="1">
      <c r="A3474" s="1">
        <v>101.0</v>
      </c>
      <c r="B3474" s="1">
        <v>5.1</v>
      </c>
      <c r="K3474" s="4"/>
      <c r="P3474" s="5"/>
      <c r="Q3474" s="24"/>
    </row>
    <row r="3475" ht="14.25" customHeight="1">
      <c r="A3475" s="1">
        <v>101.0</v>
      </c>
      <c r="B3475" s="1">
        <v>5.1</v>
      </c>
      <c r="K3475" s="4"/>
      <c r="P3475" s="5"/>
      <c r="Q3475" s="24"/>
    </row>
    <row r="3476" ht="14.25" customHeight="1">
      <c r="A3476" s="1">
        <v>101.0</v>
      </c>
      <c r="B3476" s="1">
        <v>5.1</v>
      </c>
      <c r="K3476" s="4"/>
      <c r="P3476" s="5"/>
      <c r="Q3476" s="24"/>
    </row>
    <row r="3477" ht="14.25" customHeight="1">
      <c r="A3477" s="1">
        <v>100.0</v>
      </c>
      <c r="B3477" s="1">
        <v>5.1</v>
      </c>
      <c r="K3477" s="4"/>
      <c r="P3477" s="5"/>
      <c r="Q3477" s="24"/>
    </row>
    <row r="3478" ht="14.25" customHeight="1">
      <c r="A3478" s="1">
        <v>99.0</v>
      </c>
      <c r="B3478" s="1">
        <v>5.1</v>
      </c>
      <c r="K3478" s="4"/>
      <c r="P3478" s="5"/>
      <c r="Q3478" s="24"/>
    </row>
    <row r="3479" ht="14.25" customHeight="1">
      <c r="A3479" s="1">
        <v>99.0</v>
      </c>
      <c r="B3479" s="1">
        <v>5.1</v>
      </c>
      <c r="K3479" s="4"/>
      <c r="P3479" s="5"/>
      <c r="Q3479" s="24"/>
    </row>
    <row r="3480" ht="14.25" customHeight="1">
      <c r="A3480" s="1">
        <v>99.0</v>
      </c>
      <c r="B3480" s="1">
        <v>5.1</v>
      </c>
      <c r="K3480" s="4"/>
      <c r="P3480" s="5"/>
      <c r="Q3480" s="24"/>
    </row>
    <row r="3481" ht="14.25" customHeight="1">
      <c r="A3481" s="1">
        <v>99.0</v>
      </c>
      <c r="B3481" s="1">
        <v>5.1</v>
      </c>
      <c r="K3481" s="4"/>
      <c r="P3481" s="5"/>
      <c r="Q3481" s="24"/>
    </row>
    <row r="3482" ht="14.25" customHeight="1">
      <c r="A3482" s="1">
        <v>98.0</v>
      </c>
      <c r="B3482" s="1">
        <v>5.1</v>
      </c>
      <c r="K3482" s="4"/>
      <c r="P3482" s="5"/>
      <c r="Q3482" s="24"/>
    </row>
    <row r="3483" ht="14.25" customHeight="1">
      <c r="A3483" s="1">
        <v>96.0</v>
      </c>
      <c r="B3483" s="1">
        <v>5.1</v>
      </c>
      <c r="K3483" s="4"/>
      <c r="P3483" s="5"/>
      <c r="Q3483" s="24"/>
    </row>
    <row r="3484" ht="14.25" customHeight="1">
      <c r="A3484" s="1">
        <v>96.0</v>
      </c>
      <c r="B3484" s="1">
        <v>5.1</v>
      </c>
      <c r="K3484" s="4"/>
      <c r="P3484" s="5"/>
      <c r="Q3484" s="24"/>
    </row>
    <row r="3485" ht="14.25" customHeight="1">
      <c r="A3485" s="1">
        <v>96.0</v>
      </c>
      <c r="B3485" s="1">
        <v>5.1</v>
      </c>
      <c r="K3485" s="4"/>
      <c r="P3485" s="5"/>
      <c r="Q3485" s="24"/>
    </row>
    <row r="3486" ht="14.25" customHeight="1">
      <c r="A3486" s="1">
        <v>95.0</v>
      </c>
      <c r="B3486" s="1">
        <v>5.1</v>
      </c>
      <c r="K3486" s="4"/>
      <c r="P3486" s="5"/>
      <c r="Q3486" s="24"/>
    </row>
    <row r="3487" ht="14.25" customHeight="1">
      <c r="A3487" s="1">
        <v>94.0</v>
      </c>
      <c r="B3487" s="1">
        <v>5.1</v>
      </c>
      <c r="K3487" s="4"/>
      <c r="P3487" s="5"/>
      <c r="Q3487" s="24"/>
    </row>
    <row r="3488" ht="14.25" customHeight="1">
      <c r="A3488" s="1">
        <v>94.0</v>
      </c>
      <c r="B3488" s="1">
        <v>5.1</v>
      </c>
      <c r="K3488" s="4"/>
      <c r="P3488" s="5"/>
      <c r="Q3488" s="24"/>
    </row>
    <row r="3489" ht="14.25" customHeight="1">
      <c r="A3489" s="1">
        <v>94.0</v>
      </c>
      <c r="B3489" s="1">
        <v>5.1</v>
      </c>
      <c r="K3489" s="4"/>
      <c r="P3489" s="5"/>
      <c r="Q3489" s="24"/>
    </row>
    <row r="3490" ht="14.25" customHeight="1">
      <c r="A3490" s="1">
        <v>93.0</v>
      </c>
      <c r="B3490" s="1">
        <v>5.1</v>
      </c>
      <c r="K3490" s="4"/>
      <c r="P3490" s="5"/>
      <c r="Q3490" s="24"/>
    </row>
    <row r="3491" ht="14.25" customHeight="1">
      <c r="A3491" s="1">
        <v>93.0</v>
      </c>
      <c r="B3491" s="1">
        <v>5.1</v>
      </c>
      <c r="K3491" s="4"/>
      <c r="P3491" s="5"/>
      <c r="Q3491" s="24"/>
    </row>
    <row r="3492" ht="14.25" customHeight="1">
      <c r="A3492" s="1">
        <v>93.0</v>
      </c>
      <c r="B3492" s="1">
        <v>5.1</v>
      </c>
      <c r="K3492" s="4"/>
      <c r="P3492" s="5"/>
      <c r="Q3492" s="24"/>
    </row>
    <row r="3493" ht="14.25" customHeight="1">
      <c r="A3493" s="1">
        <v>92.0</v>
      </c>
      <c r="B3493" s="1">
        <v>5.1</v>
      </c>
      <c r="K3493" s="4"/>
      <c r="P3493" s="5"/>
      <c r="Q3493" s="24"/>
    </row>
    <row r="3494" ht="14.25" customHeight="1">
      <c r="A3494" s="1">
        <v>92.0</v>
      </c>
      <c r="B3494" s="1">
        <v>5.1</v>
      </c>
      <c r="K3494" s="4"/>
      <c r="P3494" s="5"/>
      <c r="Q3494" s="24"/>
    </row>
    <row r="3495" ht="14.25" customHeight="1">
      <c r="A3495" s="1">
        <v>92.0</v>
      </c>
      <c r="B3495" s="1">
        <v>5.1</v>
      </c>
      <c r="K3495" s="4"/>
      <c r="P3495" s="5"/>
      <c r="Q3495" s="24"/>
    </row>
    <row r="3496" ht="14.25" customHeight="1">
      <c r="A3496" s="1">
        <v>90.0</v>
      </c>
      <c r="B3496" s="1">
        <v>5.1</v>
      </c>
      <c r="K3496" s="4"/>
      <c r="P3496" s="5"/>
      <c r="Q3496" s="24"/>
    </row>
    <row r="3497" ht="14.25" customHeight="1">
      <c r="A3497" s="1">
        <v>90.0</v>
      </c>
      <c r="B3497" s="1">
        <v>5.1</v>
      </c>
      <c r="K3497" s="4"/>
      <c r="P3497" s="5"/>
      <c r="Q3497" s="24"/>
    </row>
    <row r="3498" ht="14.25" customHeight="1">
      <c r="A3498" s="1">
        <v>90.0</v>
      </c>
      <c r="B3498" s="1">
        <v>5.1</v>
      </c>
      <c r="K3498" s="4"/>
      <c r="P3498" s="5"/>
      <c r="Q3498" s="24"/>
    </row>
    <row r="3499" ht="14.25" customHeight="1">
      <c r="A3499" s="1">
        <v>90.0</v>
      </c>
      <c r="B3499" s="1">
        <v>5.1</v>
      </c>
      <c r="K3499" s="4"/>
      <c r="P3499" s="5"/>
      <c r="Q3499" s="24"/>
    </row>
    <row r="3500" ht="14.25" customHeight="1">
      <c r="A3500" s="1">
        <v>89.0</v>
      </c>
      <c r="B3500" s="1">
        <v>5.1</v>
      </c>
      <c r="K3500" s="4"/>
      <c r="P3500" s="5"/>
      <c r="Q3500" s="24"/>
    </row>
    <row r="3501" ht="14.25" customHeight="1">
      <c r="A3501" s="1">
        <v>89.0</v>
      </c>
      <c r="B3501" s="1">
        <v>5.1</v>
      </c>
      <c r="K3501" s="4"/>
      <c r="P3501" s="5"/>
      <c r="Q3501" s="24"/>
    </row>
    <row r="3502" ht="14.25" customHeight="1">
      <c r="A3502" s="1">
        <v>89.0</v>
      </c>
      <c r="B3502" s="1">
        <v>5.1</v>
      </c>
      <c r="K3502" s="4"/>
      <c r="P3502" s="5"/>
      <c r="Q3502" s="24"/>
    </row>
    <row r="3503" ht="14.25" customHeight="1">
      <c r="A3503" s="1">
        <v>89.0</v>
      </c>
      <c r="B3503" s="1">
        <v>5.1</v>
      </c>
      <c r="K3503" s="4"/>
      <c r="P3503" s="5"/>
      <c r="Q3503" s="24"/>
    </row>
    <row r="3504" ht="14.25" customHeight="1">
      <c r="A3504" s="1">
        <v>88.0</v>
      </c>
      <c r="B3504" s="1">
        <v>5.1</v>
      </c>
      <c r="K3504" s="4"/>
      <c r="P3504" s="5"/>
      <c r="Q3504" s="24"/>
    </row>
    <row r="3505" ht="14.25" customHeight="1">
      <c r="A3505" s="1">
        <v>87.0</v>
      </c>
      <c r="B3505" s="1">
        <v>5.1</v>
      </c>
      <c r="K3505" s="4"/>
      <c r="P3505" s="5"/>
      <c r="Q3505" s="24"/>
    </row>
    <row r="3506" ht="14.25" customHeight="1">
      <c r="A3506" s="1">
        <v>87.0</v>
      </c>
      <c r="B3506" s="1">
        <v>5.1</v>
      </c>
      <c r="K3506" s="4"/>
      <c r="P3506" s="5"/>
      <c r="Q3506" s="24"/>
    </row>
    <row r="3507" ht="14.25" customHeight="1">
      <c r="A3507" s="1">
        <v>87.0</v>
      </c>
      <c r="B3507" s="1">
        <v>5.1</v>
      </c>
      <c r="K3507" s="4"/>
      <c r="P3507" s="5"/>
      <c r="Q3507" s="24"/>
    </row>
    <row r="3508" ht="14.25" customHeight="1">
      <c r="A3508" s="1">
        <v>87.0</v>
      </c>
      <c r="B3508" s="1">
        <v>5.1</v>
      </c>
      <c r="K3508" s="4"/>
      <c r="P3508" s="5"/>
      <c r="Q3508" s="24"/>
    </row>
    <row r="3509" ht="14.25" customHeight="1">
      <c r="A3509" s="1">
        <v>86.0</v>
      </c>
      <c r="B3509" s="1">
        <v>5.1</v>
      </c>
      <c r="K3509" s="4"/>
      <c r="P3509" s="5"/>
      <c r="Q3509" s="24"/>
    </row>
    <row r="3510" ht="14.25" customHeight="1">
      <c r="A3510" s="1">
        <v>86.0</v>
      </c>
      <c r="B3510" s="1">
        <v>5.1</v>
      </c>
      <c r="K3510" s="4"/>
      <c r="P3510" s="5"/>
      <c r="Q3510" s="24"/>
    </row>
    <row r="3511" ht="14.25" customHeight="1">
      <c r="A3511" s="1">
        <v>85.0</v>
      </c>
      <c r="B3511" s="1">
        <v>5.1</v>
      </c>
      <c r="K3511" s="4"/>
      <c r="P3511" s="5"/>
      <c r="Q3511" s="24"/>
    </row>
    <row r="3512" ht="14.25" customHeight="1">
      <c r="A3512" s="1">
        <v>84.0</v>
      </c>
      <c r="B3512" s="1">
        <v>5.1</v>
      </c>
      <c r="K3512" s="4"/>
      <c r="P3512" s="5"/>
      <c r="Q3512" s="24"/>
    </row>
    <row r="3513" ht="14.25" customHeight="1">
      <c r="A3513" s="1">
        <v>75.0</v>
      </c>
      <c r="B3513" s="1">
        <v>5.1</v>
      </c>
      <c r="K3513" s="4"/>
      <c r="P3513" s="5"/>
      <c r="Q3513" s="24"/>
    </row>
    <row r="3514" ht="14.25" customHeight="1">
      <c r="A3514" s="1">
        <v>137.0</v>
      </c>
      <c r="B3514" s="1">
        <v>5.0</v>
      </c>
      <c r="K3514" s="4"/>
      <c r="P3514" s="5"/>
      <c r="Q3514" s="24"/>
    </row>
    <row r="3515" ht="14.25" customHeight="1">
      <c r="A3515" s="1">
        <v>123.0</v>
      </c>
      <c r="B3515" s="1">
        <v>5.0</v>
      </c>
      <c r="K3515" s="4"/>
      <c r="P3515" s="5"/>
      <c r="Q3515" s="24"/>
    </row>
    <row r="3516" ht="14.25" customHeight="1">
      <c r="A3516" s="1">
        <v>121.0</v>
      </c>
      <c r="B3516" s="1">
        <v>5.0</v>
      </c>
      <c r="K3516" s="4"/>
      <c r="P3516" s="5"/>
      <c r="Q3516" s="24"/>
    </row>
    <row r="3517" ht="14.25" customHeight="1">
      <c r="A3517" s="1">
        <v>117.0</v>
      </c>
      <c r="B3517" s="1">
        <v>5.0</v>
      </c>
      <c r="K3517" s="4"/>
      <c r="P3517" s="5"/>
      <c r="Q3517" s="24"/>
    </row>
    <row r="3518" ht="14.25" customHeight="1">
      <c r="A3518" s="1">
        <v>115.0</v>
      </c>
      <c r="B3518" s="1">
        <v>5.0</v>
      </c>
      <c r="K3518" s="4"/>
      <c r="P3518" s="5"/>
      <c r="Q3518" s="24"/>
    </row>
    <row r="3519" ht="14.25" customHeight="1">
      <c r="A3519" s="1">
        <v>110.0</v>
      </c>
      <c r="B3519" s="1">
        <v>5.0</v>
      </c>
      <c r="K3519" s="4"/>
      <c r="P3519" s="5"/>
      <c r="Q3519" s="24"/>
    </row>
    <row r="3520" ht="14.25" customHeight="1">
      <c r="A3520" s="1">
        <v>109.0</v>
      </c>
      <c r="B3520" s="1">
        <v>5.0</v>
      </c>
      <c r="K3520" s="4"/>
      <c r="P3520" s="5"/>
      <c r="Q3520" s="24"/>
    </row>
    <row r="3521" ht="14.25" customHeight="1">
      <c r="A3521" s="1">
        <v>108.0</v>
      </c>
      <c r="B3521" s="1">
        <v>5.0</v>
      </c>
      <c r="K3521" s="4"/>
      <c r="P3521" s="5"/>
      <c r="Q3521" s="24"/>
    </row>
    <row r="3522" ht="14.25" customHeight="1">
      <c r="A3522" s="1">
        <v>107.0</v>
      </c>
      <c r="B3522" s="1">
        <v>5.0</v>
      </c>
      <c r="K3522" s="4"/>
      <c r="P3522" s="5"/>
      <c r="Q3522" s="24"/>
    </row>
    <row r="3523" ht="14.25" customHeight="1">
      <c r="A3523" s="1">
        <v>106.0</v>
      </c>
      <c r="B3523" s="1">
        <v>5.0</v>
      </c>
      <c r="K3523" s="4"/>
      <c r="P3523" s="5"/>
      <c r="Q3523" s="24"/>
    </row>
    <row r="3524" ht="14.25" customHeight="1">
      <c r="A3524" s="1">
        <v>105.0</v>
      </c>
      <c r="B3524" s="1">
        <v>5.0</v>
      </c>
      <c r="K3524" s="4"/>
      <c r="P3524" s="5"/>
      <c r="Q3524" s="24"/>
    </row>
    <row r="3525" ht="14.25" customHeight="1">
      <c r="A3525" s="1">
        <v>102.0</v>
      </c>
      <c r="B3525" s="1">
        <v>5.0</v>
      </c>
      <c r="K3525" s="4"/>
      <c r="P3525" s="5"/>
      <c r="Q3525" s="24"/>
    </row>
    <row r="3526" ht="14.25" customHeight="1">
      <c r="A3526" s="1">
        <v>101.0</v>
      </c>
      <c r="B3526" s="1">
        <v>5.0</v>
      </c>
      <c r="K3526" s="4"/>
      <c r="P3526" s="5"/>
      <c r="Q3526" s="24"/>
    </row>
    <row r="3527" ht="14.25" customHeight="1">
      <c r="A3527" s="1">
        <v>101.0</v>
      </c>
      <c r="B3527" s="1">
        <v>5.0</v>
      </c>
      <c r="K3527" s="4"/>
      <c r="P3527" s="5"/>
      <c r="Q3527" s="24"/>
    </row>
    <row r="3528" ht="14.25" customHeight="1">
      <c r="A3528" s="1">
        <v>99.0</v>
      </c>
      <c r="B3528" s="1">
        <v>5.0</v>
      </c>
      <c r="K3528" s="4"/>
      <c r="P3528" s="5"/>
      <c r="Q3528" s="24"/>
    </row>
    <row r="3529" ht="14.25" customHeight="1">
      <c r="A3529" s="1">
        <v>98.0</v>
      </c>
      <c r="B3529" s="1">
        <v>5.0</v>
      </c>
      <c r="K3529" s="4"/>
      <c r="P3529" s="5"/>
      <c r="Q3529" s="24"/>
    </row>
    <row r="3530" ht="14.25" customHeight="1">
      <c r="A3530" s="1">
        <v>96.0</v>
      </c>
      <c r="B3530" s="1">
        <v>5.0</v>
      </c>
      <c r="K3530" s="4"/>
      <c r="P3530" s="5"/>
      <c r="Q3530" s="24"/>
    </row>
    <row r="3531" ht="14.25" customHeight="1">
      <c r="A3531" s="1">
        <v>96.0</v>
      </c>
      <c r="B3531" s="1">
        <v>5.0</v>
      </c>
      <c r="K3531" s="4"/>
      <c r="P3531" s="5"/>
      <c r="Q3531" s="24"/>
    </row>
    <row r="3532" ht="14.25" customHeight="1">
      <c r="A3532" s="1">
        <v>95.0</v>
      </c>
      <c r="B3532" s="1">
        <v>5.0</v>
      </c>
      <c r="K3532" s="4"/>
      <c r="P3532" s="5"/>
      <c r="Q3532" s="24"/>
    </row>
    <row r="3533" ht="14.25" customHeight="1">
      <c r="A3533" s="1">
        <v>93.0</v>
      </c>
      <c r="B3533" s="1">
        <v>5.0</v>
      </c>
      <c r="K3533" s="4"/>
      <c r="P3533" s="5"/>
      <c r="Q3533" s="24"/>
    </row>
    <row r="3534" ht="14.25" customHeight="1">
      <c r="A3534" s="1">
        <v>92.0</v>
      </c>
      <c r="B3534" s="1">
        <v>5.0</v>
      </c>
      <c r="K3534" s="4"/>
      <c r="P3534" s="5"/>
      <c r="Q3534" s="24"/>
    </row>
    <row r="3535" ht="14.25" customHeight="1">
      <c r="A3535" s="1">
        <v>91.0</v>
      </c>
      <c r="B3535" s="1">
        <v>5.0</v>
      </c>
      <c r="K3535" s="4"/>
      <c r="P3535" s="5"/>
      <c r="Q3535" s="24"/>
    </row>
    <row r="3536" ht="14.25" customHeight="1">
      <c r="A3536" s="1">
        <v>91.0</v>
      </c>
      <c r="B3536" s="1">
        <v>5.0</v>
      </c>
      <c r="K3536" s="4"/>
      <c r="P3536" s="5"/>
      <c r="Q3536" s="24"/>
    </row>
    <row r="3537" ht="14.25" customHeight="1">
      <c r="A3537" s="1">
        <v>91.0</v>
      </c>
      <c r="B3537" s="1">
        <v>5.0</v>
      </c>
      <c r="K3537" s="4"/>
      <c r="P3537" s="5"/>
      <c r="Q3537" s="24"/>
    </row>
    <row r="3538" ht="14.25" customHeight="1">
      <c r="A3538" s="1">
        <v>90.0</v>
      </c>
      <c r="B3538" s="1">
        <v>5.0</v>
      </c>
      <c r="K3538" s="4"/>
      <c r="P3538" s="5"/>
      <c r="Q3538" s="24"/>
    </row>
    <row r="3539" ht="14.25" customHeight="1">
      <c r="A3539" s="1">
        <v>87.0</v>
      </c>
      <c r="B3539" s="1">
        <v>5.0</v>
      </c>
      <c r="K3539" s="4"/>
      <c r="P3539" s="5"/>
      <c r="Q3539" s="24"/>
    </row>
    <row r="3540" ht="14.25" customHeight="1">
      <c r="A3540" s="1">
        <v>86.0</v>
      </c>
      <c r="B3540" s="1">
        <v>5.0</v>
      </c>
      <c r="K3540" s="4"/>
      <c r="P3540" s="5"/>
      <c r="Q3540" s="24"/>
    </row>
    <row r="3541" ht="14.25" customHeight="1">
      <c r="A3541" s="1">
        <v>85.0</v>
      </c>
      <c r="B3541" s="1">
        <v>5.0</v>
      </c>
      <c r="K3541" s="4"/>
      <c r="P3541" s="5"/>
      <c r="Q3541" s="24"/>
    </row>
    <row r="3542" ht="14.25" customHeight="1">
      <c r="A3542" s="1">
        <v>81.0</v>
      </c>
      <c r="B3542" s="1">
        <v>5.0</v>
      </c>
      <c r="K3542" s="4"/>
      <c r="P3542" s="5"/>
      <c r="Q3542" s="24"/>
    </row>
    <row r="3543" ht="14.25" customHeight="1">
      <c r="A3543" s="1">
        <v>80.0</v>
      </c>
      <c r="B3543" s="1">
        <v>5.0</v>
      </c>
      <c r="K3543" s="4"/>
      <c r="P3543" s="5"/>
      <c r="Q3543" s="24"/>
    </row>
    <row r="3544" ht="14.25" customHeight="1">
      <c r="A3544" s="1">
        <v>77.0</v>
      </c>
      <c r="B3544" s="1">
        <v>5.0</v>
      </c>
      <c r="K3544" s="4"/>
      <c r="P3544" s="5"/>
      <c r="Q3544" s="24"/>
    </row>
    <row r="3545" ht="14.25" customHeight="1">
      <c r="A3545" s="1">
        <v>125.0</v>
      </c>
      <c r="B3545" s="1">
        <v>4.9</v>
      </c>
      <c r="K3545" s="4"/>
      <c r="P3545" s="5"/>
      <c r="Q3545" s="24"/>
    </row>
    <row r="3546" ht="14.25" customHeight="1">
      <c r="A3546" s="1">
        <v>124.0</v>
      </c>
      <c r="B3546" s="1">
        <v>4.9</v>
      </c>
      <c r="K3546" s="4"/>
      <c r="P3546" s="5"/>
      <c r="Q3546" s="24"/>
    </row>
    <row r="3547" ht="14.25" customHeight="1">
      <c r="A3547" s="1">
        <v>119.0</v>
      </c>
      <c r="B3547" s="1">
        <v>4.9</v>
      </c>
      <c r="K3547" s="4"/>
      <c r="P3547" s="5"/>
      <c r="Q3547" s="24"/>
    </row>
    <row r="3548" ht="14.25" customHeight="1">
      <c r="A3548" s="1">
        <v>114.0</v>
      </c>
      <c r="B3548" s="1">
        <v>4.9</v>
      </c>
      <c r="K3548" s="4"/>
      <c r="P3548" s="5"/>
      <c r="Q3548" s="24"/>
    </row>
    <row r="3549" ht="14.25" customHeight="1">
      <c r="A3549" s="1">
        <v>114.0</v>
      </c>
      <c r="B3549" s="1">
        <v>4.9</v>
      </c>
      <c r="K3549" s="4"/>
      <c r="P3549" s="5"/>
      <c r="Q3549" s="24"/>
    </row>
    <row r="3550" ht="14.25" customHeight="1">
      <c r="A3550" s="1">
        <v>113.0</v>
      </c>
      <c r="B3550" s="1">
        <v>4.9</v>
      </c>
      <c r="K3550" s="4"/>
      <c r="P3550" s="5"/>
      <c r="Q3550" s="24"/>
    </row>
    <row r="3551" ht="14.25" customHeight="1">
      <c r="A3551" s="1">
        <v>109.0</v>
      </c>
      <c r="B3551" s="1">
        <v>4.9</v>
      </c>
      <c r="K3551" s="4"/>
      <c r="P3551" s="5"/>
      <c r="Q3551" s="24"/>
    </row>
    <row r="3552" ht="14.25" customHeight="1">
      <c r="A3552" s="1">
        <v>108.0</v>
      </c>
      <c r="B3552" s="1">
        <v>4.9</v>
      </c>
      <c r="K3552" s="4"/>
      <c r="P3552" s="5"/>
      <c r="Q3552" s="24"/>
    </row>
    <row r="3553" ht="14.25" customHeight="1">
      <c r="A3553" s="1">
        <v>103.0</v>
      </c>
      <c r="B3553" s="1">
        <v>4.9</v>
      </c>
      <c r="K3553" s="4"/>
      <c r="P3553" s="5"/>
      <c r="Q3553" s="24"/>
    </row>
    <row r="3554" ht="14.25" customHeight="1">
      <c r="A3554" s="1">
        <v>103.0</v>
      </c>
      <c r="B3554" s="1">
        <v>4.9</v>
      </c>
      <c r="K3554" s="4"/>
      <c r="P3554" s="5"/>
      <c r="Q3554" s="24"/>
    </row>
    <row r="3555" ht="14.25" customHeight="1">
      <c r="A3555" s="1">
        <v>100.0</v>
      </c>
      <c r="B3555" s="1">
        <v>4.9</v>
      </c>
      <c r="K3555" s="4"/>
      <c r="P3555" s="5"/>
      <c r="Q3555" s="24"/>
    </row>
    <row r="3556" ht="14.25" customHeight="1">
      <c r="A3556" s="1">
        <v>100.0</v>
      </c>
      <c r="B3556" s="1">
        <v>4.9</v>
      </c>
      <c r="K3556" s="4"/>
      <c r="P3556" s="5"/>
      <c r="Q3556" s="24"/>
    </row>
    <row r="3557" ht="14.25" customHeight="1">
      <c r="A3557" s="1">
        <v>100.0</v>
      </c>
      <c r="B3557" s="1">
        <v>4.9</v>
      </c>
      <c r="K3557" s="4"/>
      <c r="P3557" s="5"/>
      <c r="Q3557" s="24"/>
    </row>
    <row r="3558" ht="14.25" customHeight="1">
      <c r="A3558" s="1">
        <v>100.0</v>
      </c>
      <c r="B3558" s="1">
        <v>4.9</v>
      </c>
      <c r="K3558" s="4"/>
      <c r="P3558" s="5"/>
      <c r="Q3558" s="24"/>
    </row>
    <row r="3559" ht="14.25" customHeight="1">
      <c r="A3559" s="1">
        <v>99.0</v>
      </c>
      <c r="B3559" s="1">
        <v>4.9</v>
      </c>
      <c r="K3559" s="4"/>
      <c r="P3559" s="5"/>
      <c r="Q3559" s="24"/>
    </row>
    <row r="3560" ht="14.25" customHeight="1">
      <c r="A3560" s="1">
        <v>99.0</v>
      </c>
      <c r="B3560" s="1">
        <v>4.9</v>
      </c>
      <c r="K3560" s="4"/>
      <c r="P3560" s="5"/>
      <c r="Q3560" s="24"/>
    </row>
    <row r="3561" ht="14.25" customHeight="1">
      <c r="A3561" s="1">
        <v>99.0</v>
      </c>
      <c r="B3561" s="1">
        <v>4.9</v>
      </c>
      <c r="K3561" s="4"/>
      <c r="P3561" s="5"/>
      <c r="Q3561" s="24"/>
    </row>
    <row r="3562" ht="14.25" customHeight="1">
      <c r="A3562" s="1">
        <v>98.0</v>
      </c>
      <c r="B3562" s="1">
        <v>4.9</v>
      </c>
      <c r="K3562" s="4"/>
      <c r="P3562" s="5"/>
      <c r="Q3562" s="24"/>
    </row>
    <row r="3563" ht="14.25" customHeight="1">
      <c r="A3563" s="1">
        <v>97.0</v>
      </c>
      <c r="B3563" s="1">
        <v>4.9</v>
      </c>
      <c r="K3563" s="4"/>
      <c r="P3563" s="5"/>
      <c r="Q3563" s="24"/>
    </row>
    <row r="3564" ht="14.25" customHeight="1">
      <c r="A3564" s="1">
        <v>96.0</v>
      </c>
      <c r="B3564" s="1">
        <v>4.9</v>
      </c>
      <c r="K3564" s="4"/>
      <c r="P3564" s="5"/>
      <c r="Q3564" s="24"/>
    </row>
    <row r="3565" ht="14.25" customHeight="1">
      <c r="A3565" s="1">
        <v>95.0</v>
      </c>
      <c r="B3565" s="1">
        <v>4.9</v>
      </c>
      <c r="K3565" s="4"/>
      <c r="P3565" s="5"/>
      <c r="Q3565" s="24"/>
    </row>
    <row r="3566" ht="14.25" customHeight="1">
      <c r="A3566" s="1">
        <v>94.0</v>
      </c>
      <c r="B3566" s="1">
        <v>4.9</v>
      </c>
      <c r="K3566" s="4"/>
      <c r="P3566" s="5"/>
      <c r="Q3566" s="24"/>
    </row>
    <row r="3567" ht="14.25" customHeight="1">
      <c r="A3567" s="1">
        <v>93.0</v>
      </c>
      <c r="B3567" s="1">
        <v>4.9</v>
      </c>
      <c r="K3567" s="4"/>
      <c r="P3567" s="5"/>
      <c r="Q3567" s="24"/>
    </row>
    <row r="3568" ht="14.25" customHeight="1">
      <c r="A3568" s="1">
        <v>93.0</v>
      </c>
      <c r="B3568" s="1">
        <v>4.9</v>
      </c>
      <c r="K3568" s="4"/>
      <c r="P3568" s="5"/>
      <c r="Q3568" s="24"/>
    </row>
    <row r="3569" ht="14.25" customHeight="1">
      <c r="A3569" s="1">
        <v>93.0</v>
      </c>
      <c r="B3569" s="1">
        <v>4.9</v>
      </c>
      <c r="K3569" s="4"/>
      <c r="P3569" s="5"/>
      <c r="Q3569" s="24"/>
    </row>
    <row r="3570" ht="14.25" customHeight="1">
      <c r="A3570" s="1">
        <v>93.0</v>
      </c>
      <c r="B3570" s="1">
        <v>4.9</v>
      </c>
      <c r="K3570" s="4"/>
      <c r="P3570" s="5"/>
      <c r="Q3570" s="24"/>
    </row>
    <row r="3571" ht="14.25" customHeight="1">
      <c r="A3571" s="1">
        <v>91.0</v>
      </c>
      <c r="B3571" s="1">
        <v>4.9</v>
      </c>
      <c r="K3571" s="4"/>
      <c r="P3571" s="5"/>
      <c r="Q3571" s="24"/>
    </row>
    <row r="3572" ht="14.25" customHeight="1">
      <c r="A3572" s="1">
        <v>90.0</v>
      </c>
      <c r="B3572" s="1">
        <v>4.9</v>
      </c>
      <c r="K3572" s="4"/>
      <c r="P3572" s="5"/>
      <c r="Q3572" s="24"/>
    </row>
    <row r="3573" ht="14.25" customHeight="1">
      <c r="A3573" s="1">
        <v>89.0</v>
      </c>
      <c r="B3573" s="1">
        <v>4.9</v>
      </c>
      <c r="K3573" s="4"/>
      <c r="P3573" s="5"/>
      <c r="Q3573" s="24"/>
    </row>
    <row r="3574" ht="14.25" customHeight="1">
      <c r="A3574" s="1">
        <v>89.0</v>
      </c>
      <c r="B3574" s="1">
        <v>4.9</v>
      </c>
      <c r="K3574" s="4"/>
      <c r="P3574" s="5"/>
      <c r="Q3574" s="24"/>
    </row>
    <row r="3575" ht="14.25" customHeight="1">
      <c r="A3575" s="1">
        <v>89.0</v>
      </c>
      <c r="B3575" s="1">
        <v>4.9</v>
      </c>
      <c r="K3575" s="4"/>
      <c r="P3575" s="5"/>
      <c r="Q3575" s="24"/>
    </row>
    <row r="3576" ht="14.25" customHeight="1">
      <c r="A3576" s="1">
        <v>89.0</v>
      </c>
      <c r="B3576" s="1">
        <v>4.9</v>
      </c>
      <c r="K3576" s="4"/>
      <c r="P3576" s="5"/>
      <c r="Q3576" s="24"/>
    </row>
    <row r="3577" ht="14.25" customHeight="1">
      <c r="A3577" s="1">
        <v>88.0</v>
      </c>
      <c r="B3577" s="1">
        <v>4.9</v>
      </c>
      <c r="K3577" s="4"/>
      <c r="P3577" s="5"/>
      <c r="Q3577" s="24"/>
    </row>
    <row r="3578" ht="14.25" customHeight="1">
      <c r="A3578" s="1">
        <v>88.0</v>
      </c>
      <c r="B3578" s="1">
        <v>4.9</v>
      </c>
      <c r="K3578" s="4"/>
      <c r="P3578" s="5"/>
      <c r="Q3578" s="24"/>
    </row>
    <row r="3579" ht="14.25" customHeight="1">
      <c r="A3579" s="1">
        <v>88.0</v>
      </c>
      <c r="B3579" s="1">
        <v>4.9</v>
      </c>
      <c r="K3579" s="4"/>
      <c r="P3579" s="5"/>
      <c r="Q3579" s="24"/>
    </row>
    <row r="3580" ht="14.25" customHeight="1">
      <c r="A3580" s="1">
        <v>86.0</v>
      </c>
      <c r="B3580" s="1">
        <v>4.9</v>
      </c>
      <c r="K3580" s="4"/>
      <c r="P3580" s="5"/>
      <c r="Q3580" s="24"/>
    </row>
    <row r="3581" ht="14.25" customHeight="1">
      <c r="A3581" s="1">
        <v>85.0</v>
      </c>
      <c r="B3581" s="1">
        <v>4.9</v>
      </c>
      <c r="K3581" s="4"/>
      <c r="P3581" s="5"/>
      <c r="Q3581" s="24"/>
    </row>
    <row r="3582" ht="14.25" customHeight="1">
      <c r="A3582" s="1">
        <v>160.0</v>
      </c>
      <c r="B3582" s="1">
        <v>4.8</v>
      </c>
      <c r="K3582" s="4"/>
      <c r="P3582" s="5"/>
      <c r="Q3582" s="24"/>
    </row>
    <row r="3583" ht="14.25" customHeight="1">
      <c r="A3583" s="1">
        <v>114.0</v>
      </c>
      <c r="B3583" s="1">
        <v>4.8</v>
      </c>
      <c r="K3583" s="4"/>
      <c r="P3583" s="5"/>
      <c r="Q3583" s="24"/>
    </row>
    <row r="3584" ht="14.25" customHeight="1">
      <c r="A3584" s="1">
        <v>107.0</v>
      </c>
      <c r="B3584" s="1">
        <v>4.8</v>
      </c>
      <c r="K3584" s="4"/>
      <c r="P3584" s="5"/>
      <c r="Q3584" s="24"/>
    </row>
    <row r="3585" ht="14.25" customHeight="1">
      <c r="A3585" s="1">
        <v>107.0</v>
      </c>
      <c r="B3585" s="1">
        <v>4.8</v>
      </c>
      <c r="K3585" s="4"/>
      <c r="P3585" s="5"/>
      <c r="Q3585" s="24"/>
    </row>
    <row r="3586" ht="14.25" customHeight="1">
      <c r="A3586" s="1">
        <v>106.0</v>
      </c>
      <c r="B3586" s="1">
        <v>4.8</v>
      </c>
      <c r="K3586" s="4"/>
      <c r="P3586" s="5"/>
      <c r="Q3586" s="24"/>
    </row>
    <row r="3587" ht="14.25" customHeight="1">
      <c r="A3587" s="1">
        <v>103.0</v>
      </c>
      <c r="B3587" s="1">
        <v>4.8</v>
      </c>
      <c r="K3587" s="4"/>
      <c r="P3587" s="5"/>
      <c r="Q3587" s="24"/>
    </row>
    <row r="3588" ht="14.25" customHeight="1">
      <c r="A3588" s="1">
        <v>102.0</v>
      </c>
      <c r="B3588" s="1">
        <v>4.8</v>
      </c>
      <c r="K3588" s="4"/>
      <c r="P3588" s="5"/>
      <c r="Q3588" s="24"/>
    </row>
    <row r="3589" ht="14.25" customHeight="1">
      <c r="A3589" s="1">
        <v>102.0</v>
      </c>
      <c r="B3589" s="1">
        <v>4.8</v>
      </c>
      <c r="K3589" s="4"/>
      <c r="P3589" s="5"/>
      <c r="Q3589" s="24"/>
    </row>
    <row r="3590" ht="14.25" customHeight="1">
      <c r="A3590" s="1">
        <v>100.0</v>
      </c>
      <c r="B3590" s="1">
        <v>4.8</v>
      </c>
      <c r="K3590" s="4"/>
      <c r="P3590" s="5"/>
      <c r="Q3590" s="24"/>
    </row>
    <row r="3591" ht="14.25" customHeight="1">
      <c r="A3591" s="1">
        <v>100.0</v>
      </c>
      <c r="B3591" s="1">
        <v>4.8</v>
      </c>
      <c r="K3591" s="4"/>
      <c r="P3591" s="5"/>
      <c r="Q3591" s="24"/>
    </row>
    <row r="3592" ht="14.25" customHeight="1">
      <c r="A3592" s="1">
        <v>99.0</v>
      </c>
      <c r="B3592" s="1">
        <v>4.8</v>
      </c>
      <c r="K3592" s="4"/>
      <c r="P3592" s="5"/>
      <c r="Q3592" s="24"/>
    </row>
    <row r="3593" ht="14.25" customHeight="1">
      <c r="A3593" s="1">
        <v>99.0</v>
      </c>
      <c r="B3593" s="1">
        <v>4.8</v>
      </c>
      <c r="K3593" s="4"/>
      <c r="P3593" s="5"/>
      <c r="Q3593" s="24"/>
    </row>
    <row r="3594" ht="14.25" customHeight="1">
      <c r="A3594" s="1">
        <v>97.0</v>
      </c>
      <c r="B3594" s="1">
        <v>4.8</v>
      </c>
      <c r="K3594" s="4"/>
      <c r="P3594" s="5"/>
      <c r="Q3594" s="24"/>
    </row>
    <row r="3595" ht="14.25" customHeight="1">
      <c r="A3595" s="1">
        <v>96.0</v>
      </c>
      <c r="B3595" s="1">
        <v>4.8</v>
      </c>
      <c r="K3595" s="4"/>
      <c r="P3595" s="5"/>
      <c r="Q3595" s="24"/>
    </row>
    <row r="3596" ht="14.25" customHeight="1">
      <c r="A3596" s="1">
        <v>95.0</v>
      </c>
      <c r="B3596" s="1">
        <v>4.8</v>
      </c>
      <c r="K3596" s="4"/>
      <c r="P3596" s="5"/>
      <c r="Q3596" s="24"/>
    </row>
    <row r="3597" ht="14.25" customHeight="1">
      <c r="A3597" s="1">
        <v>95.0</v>
      </c>
      <c r="B3597" s="1">
        <v>4.8</v>
      </c>
      <c r="K3597" s="4"/>
      <c r="P3597" s="5"/>
      <c r="Q3597" s="24"/>
    </row>
    <row r="3598" ht="14.25" customHeight="1">
      <c r="A3598" s="1">
        <v>93.0</v>
      </c>
      <c r="B3598" s="1">
        <v>4.8</v>
      </c>
      <c r="K3598" s="4"/>
      <c r="P3598" s="5"/>
      <c r="Q3598" s="24"/>
    </row>
    <row r="3599" ht="14.25" customHeight="1">
      <c r="A3599" s="1">
        <v>92.0</v>
      </c>
      <c r="B3599" s="1">
        <v>4.8</v>
      </c>
      <c r="K3599" s="4"/>
      <c r="P3599" s="5"/>
      <c r="Q3599" s="24"/>
    </row>
    <row r="3600" ht="14.25" customHeight="1">
      <c r="A3600" s="1">
        <v>92.0</v>
      </c>
      <c r="B3600" s="1">
        <v>4.8</v>
      </c>
      <c r="K3600" s="4"/>
      <c r="P3600" s="5"/>
      <c r="Q3600" s="24"/>
    </row>
    <row r="3601" ht="14.25" customHeight="1">
      <c r="A3601" s="1">
        <v>91.0</v>
      </c>
      <c r="B3601" s="1">
        <v>4.8</v>
      </c>
      <c r="K3601" s="4"/>
      <c r="P3601" s="5"/>
      <c r="Q3601" s="24"/>
    </row>
    <row r="3602" ht="14.25" customHeight="1">
      <c r="A3602" s="1">
        <v>91.0</v>
      </c>
      <c r="B3602" s="1">
        <v>4.8</v>
      </c>
      <c r="K3602" s="4"/>
      <c r="P3602" s="5"/>
      <c r="Q3602" s="24"/>
    </row>
    <row r="3603" ht="14.25" customHeight="1">
      <c r="A3603" s="1">
        <v>91.0</v>
      </c>
      <c r="B3603" s="1">
        <v>4.8</v>
      </c>
      <c r="K3603" s="4"/>
      <c r="P3603" s="5"/>
      <c r="Q3603" s="24"/>
    </row>
    <row r="3604" ht="14.25" customHeight="1">
      <c r="A3604" s="1">
        <v>91.0</v>
      </c>
      <c r="B3604" s="1">
        <v>4.8</v>
      </c>
      <c r="K3604" s="4"/>
      <c r="P3604" s="5"/>
      <c r="Q3604" s="24"/>
    </row>
    <row r="3605" ht="14.25" customHeight="1">
      <c r="A3605" s="1">
        <v>91.0</v>
      </c>
      <c r="B3605" s="1">
        <v>4.8</v>
      </c>
      <c r="K3605" s="4"/>
      <c r="P3605" s="5"/>
      <c r="Q3605" s="24"/>
    </row>
    <row r="3606" ht="14.25" customHeight="1">
      <c r="A3606" s="1">
        <v>89.0</v>
      </c>
      <c r="B3606" s="1">
        <v>4.8</v>
      </c>
      <c r="K3606" s="4"/>
      <c r="P3606" s="5"/>
      <c r="Q3606" s="24"/>
    </row>
    <row r="3607" ht="14.25" customHeight="1">
      <c r="A3607" s="1">
        <v>89.0</v>
      </c>
      <c r="B3607" s="1">
        <v>4.8</v>
      </c>
      <c r="K3607" s="4"/>
      <c r="P3607" s="5"/>
      <c r="Q3607" s="24"/>
    </row>
    <row r="3608" ht="14.25" customHeight="1">
      <c r="A3608" s="1">
        <v>89.0</v>
      </c>
      <c r="B3608" s="1">
        <v>4.8</v>
      </c>
      <c r="K3608" s="4"/>
      <c r="P3608" s="5"/>
      <c r="Q3608" s="24"/>
    </row>
    <row r="3609" ht="14.25" customHeight="1">
      <c r="A3609" s="1">
        <v>87.0</v>
      </c>
      <c r="B3609" s="1">
        <v>4.8</v>
      </c>
      <c r="K3609" s="4"/>
      <c r="P3609" s="5"/>
      <c r="Q3609" s="24"/>
    </row>
    <row r="3610" ht="14.25" customHeight="1">
      <c r="A3610" s="1">
        <v>87.0</v>
      </c>
      <c r="B3610" s="1">
        <v>4.8</v>
      </c>
      <c r="K3610" s="4"/>
      <c r="P3610" s="5"/>
      <c r="Q3610" s="24"/>
    </row>
    <row r="3611" ht="14.25" customHeight="1">
      <c r="A3611" s="1">
        <v>86.0</v>
      </c>
      <c r="B3611" s="1">
        <v>4.8</v>
      </c>
      <c r="K3611" s="4"/>
      <c r="P3611" s="5"/>
      <c r="Q3611" s="24"/>
    </row>
    <row r="3612" ht="14.25" customHeight="1">
      <c r="A3612" s="1">
        <v>84.0</v>
      </c>
      <c r="B3612" s="1">
        <v>4.8</v>
      </c>
      <c r="K3612" s="4"/>
      <c r="P3612" s="5"/>
      <c r="Q3612" s="24"/>
    </row>
    <row r="3613" ht="14.25" customHeight="1">
      <c r="A3613" s="1">
        <v>119.0</v>
      </c>
      <c r="B3613" s="1">
        <v>4.7</v>
      </c>
      <c r="K3613" s="4"/>
      <c r="P3613" s="5"/>
      <c r="Q3613" s="24"/>
    </row>
    <row r="3614" ht="14.25" customHeight="1">
      <c r="A3614" s="1">
        <v>105.0</v>
      </c>
      <c r="B3614" s="1">
        <v>4.7</v>
      </c>
      <c r="K3614" s="4"/>
      <c r="P3614" s="5"/>
      <c r="Q3614" s="24"/>
    </row>
    <row r="3615" ht="14.25" customHeight="1">
      <c r="A3615" s="1">
        <v>104.0</v>
      </c>
      <c r="B3615" s="1">
        <v>4.7</v>
      </c>
      <c r="K3615" s="4"/>
      <c r="P3615" s="5"/>
      <c r="Q3615" s="24"/>
    </row>
    <row r="3616" ht="14.25" customHeight="1">
      <c r="A3616" s="1">
        <v>103.0</v>
      </c>
      <c r="B3616" s="1">
        <v>4.7</v>
      </c>
      <c r="K3616" s="4"/>
      <c r="P3616" s="5"/>
      <c r="Q3616" s="24"/>
    </row>
    <row r="3617" ht="14.25" customHeight="1">
      <c r="A3617" s="1">
        <v>102.0</v>
      </c>
      <c r="B3617" s="1">
        <v>4.7</v>
      </c>
      <c r="K3617" s="4"/>
      <c r="P3617" s="5"/>
      <c r="Q3617" s="24"/>
    </row>
    <row r="3618" ht="14.25" customHeight="1">
      <c r="A3618" s="1">
        <v>101.0</v>
      </c>
      <c r="B3618" s="1">
        <v>4.7</v>
      </c>
      <c r="K3618" s="4"/>
      <c r="P3618" s="5"/>
      <c r="Q3618" s="24"/>
    </row>
    <row r="3619" ht="14.25" customHeight="1">
      <c r="A3619" s="1">
        <v>101.0</v>
      </c>
      <c r="B3619" s="1">
        <v>4.7</v>
      </c>
      <c r="K3619" s="4"/>
      <c r="P3619" s="5"/>
      <c r="Q3619" s="24"/>
    </row>
    <row r="3620" ht="14.25" customHeight="1">
      <c r="A3620" s="1">
        <v>100.0</v>
      </c>
      <c r="B3620" s="1">
        <v>4.7</v>
      </c>
      <c r="K3620" s="4"/>
      <c r="P3620" s="5"/>
      <c r="Q3620" s="24"/>
    </row>
    <row r="3621" ht="14.25" customHeight="1">
      <c r="A3621" s="1">
        <v>100.0</v>
      </c>
      <c r="B3621" s="1">
        <v>4.7</v>
      </c>
      <c r="K3621" s="4"/>
      <c r="P3621" s="5"/>
      <c r="Q3621" s="24"/>
    </row>
    <row r="3622" ht="14.25" customHeight="1">
      <c r="A3622" s="1">
        <v>99.0</v>
      </c>
      <c r="B3622" s="1">
        <v>4.7</v>
      </c>
      <c r="K3622" s="4"/>
      <c r="P3622" s="5"/>
      <c r="Q3622" s="24"/>
    </row>
    <row r="3623" ht="14.25" customHeight="1">
      <c r="A3623" s="1">
        <v>96.0</v>
      </c>
      <c r="B3623" s="1">
        <v>4.7</v>
      </c>
      <c r="K3623" s="4"/>
      <c r="P3623" s="5"/>
      <c r="Q3623" s="24"/>
    </row>
    <row r="3624" ht="14.25" customHeight="1">
      <c r="A3624" s="1">
        <v>96.0</v>
      </c>
      <c r="B3624" s="1">
        <v>4.7</v>
      </c>
      <c r="K3624" s="4"/>
      <c r="P3624" s="5"/>
      <c r="Q3624" s="24"/>
    </row>
    <row r="3625" ht="14.25" customHeight="1">
      <c r="A3625" s="1">
        <v>94.0</v>
      </c>
      <c r="B3625" s="1">
        <v>4.7</v>
      </c>
      <c r="K3625" s="4"/>
      <c r="P3625" s="5"/>
      <c r="Q3625" s="24"/>
    </row>
    <row r="3626" ht="14.25" customHeight="1">
      <c r="A3626" s="1">
        <v>93.0</v>
      </c>
      <c r="B3626" s="1">
        <v>4.7</v>
      </c>
      <c r="K3626" s="4"/>
      <c r="P3626" s="5"/>
      <c r="Q3626" s="24"/>
    </row>
    <row r="3627" ht="14.25" customHeight="1">
      <c r="A3627" s="1">
        <v>92.0</v>
      </c>
      <c r="B3627" s="1">
        <v>4.7</v>
      </c>
      <c r="K3627" s="4"/>
      <c r="P3627" s="5"/>
      <c r="Q3627" s="24"/>
    </row>
    <row r="3628" ht="14.25" customHeight="1">
      <c r="A3628" s="1">
        <v>92.0</v>
      </c>
      <c r="B3628" s="1">
        <v>4.7</v>
      </c>
      <c r="K3628" s="4"/>
      <c r="P3628" s="5"/>
      <c r="Q3628" s="24"/>
    </row>
    <row r="3629" ht="14.25" customHeight="1">
      <c r="A3629" s="1">
        <v>90.0</v>
      </c>
      <c r="B3629" s="1">
        <v>4.7</v>
      </c>
      <c r="K3629" s="4"/>
      <c r="P3629" s="5"/>
      <c r="Q3629" s="24"/>
    </row>
    <row r="3630" ht="14.25" customHeight="1">
      <c r="A3630" s="1">
        <v>90.0</v>
      </c>
      <c r="B3630" s="1">
        <v>4.7</v>
      </c>
      <c r="K3630" s="4"/>
      <c r="P3630" s="5"/>
      <c r="Q3630" s="24"/>
    </row>
    <row r="3631" ht="14.25" customHeight="1">
      <c r="A3631" s="1">
        <v>90.0</v>
      </c>
      <c r="B3631" s="1">
        <v>4.7</v>
      </c>
      <c r="K3631" s="4"/>
      <c r="P3631" s="5"/>
      <c r="Q3631" s="24"/>
    </row>
    <row r="3632" ht="14.25" customHeight="1">
      <c r="A3632" s="1">
        <v>86.0</v>
      </c>
      <c r="B3632" s="1">
        <v>4.7</v>
      </c>
      <c r="K3632" s="4"/>
      <c r="P3632" s="5"/>
      <c r="Q3632" s="24"/>
    </row>
    <row r="3633" ht="14.25" customHeight="1">
      <c r="A3633" s="1">
        <v>85.0</v>
      </c>
      <c r="B3633" s="1">
        <v>4.7</v>
      </c>
      <c r="K3633" s="4"/>
      <c r="P3633" s="5"/>
      <c r="Q3633" s="24"/>
    </row>
    <row r="3634" ht="14.25" customHeight="1">
      <c r="A3634" s="1">
        <v>81.0</v>
      </c>
      <c r="B3634" s="1">
        <v>4.7</v>
      </c>
      <c r="K3634" s="4"/>
      <c r="P3634" s="5"/>
      <c r="Q3634" s="24"/>
    </row>
    <row r="3635" ht="14.25" customHeight="1">
      <c r="A3635" s="1">
        <v>131.0</v>
      </c>
      <c r="B3635" s="1">
        <v>4.6</v>
      </c>
      <c r="K3635" s="4"/>
      <c r="P3635" s="5"/>
      <c r="Q3635" s="24"/>
    </row>
    <row r="3636" ht="14.25" customHeight="1">
      <c r="A3636" s="1">
        <v>130.0</v>
      </c>
      <c r="B3636" s="1">
        <v>4.6</v>
      </c>
      <c r="K3636" s="4"/>
      <c r="P3636" s="5"/>
      <c r="Q3636" s="24"/>
    </row>
    <row r="3637" ht="14.25" customHeight="1">
      <c r="A3637" s="1">
        <v>121.0</v>
      </c>
      <c r="B3637" s="1">
        <v>4.6</v>
      </c>
      <c r="K3637" s="4"/>
      <c r="P3637" s="5"/>
      <c r="Q3637" s="24"/>
    </row>
    <row r="3638" ht="14.25" customHeight="1">
      <c r="A3638" s="1">
        <v>110.0</v>
      </c>
      <c r="B3638" s="1">
        <v>4.6</v>
      </c>
      <c r="K3638" s="4"/>
      <c r="P3638" s="5"/>
      <c r="Q3638" s="24"/>
    </row>
    <row r="3639" ht="14.25" customHeight="1">
      <c r="A3639" s="1">
        <v>110.0</v>
      </c>
      <c r="B3639" s="1">
        <v>4.6</v>
      </c>
      <c r="K3639" s="4"/>
      <c r="P3639" s="5"/>
      <c r="Q3639" s="24"/>
    </row>
    <row r="3640" ht="14.25" customHeight="1">
      <c r="A3640" s="1">
        <v>105.0</v>
      </c>
      <c r="B3640" s="1">
        <v>4.6</v>
      </c>
      <c r="K3640" s="4"/>
      <c r="P3640" s="5"/>
      <c r="Q3640" s="24"/>
    </row>
    <row r="3641" ht="14.25" customHeight="1">
      <c r="A3641" s="1">
        <v>104.0</v>
      </c>
      <c r="B3641" s="1">
        <v>4.6</v>
      </c>
      <c r="K3641" s="4"/>
      <c r="P3641" s="5"/>
      <c r="Q3641" s="24"/>
    </row>
    <row r="3642" ht="14.25" customHeight="1">
      <c r="A3642" s="1">
        <v>101.0</v>
      </c>
      <c r="B3642" s="1">
        <v>4.6</v>
      </c>
      <c r="K3642" s="4"/>
      <c r="P3642" s="5"/>
      <c r="Q3642" s="24"/>
    </row>
    <row r="3643" ht="14.25" customHeight="1">
      <c r="A3643" s="1">
        <v>101.0</v>
      </c>
      <c r="B3643" s="1">
        <v>4.6</v>
      </c>
      <c r="K3643" s="4"/>
      <c r="P3643" s="5"/>
      <c r="Q3643" s="24"/>
    </row>
    <row r="3644" ht="14.25" customHeight="1">
      <c r="A3644" s="1">
        <v>100.0</v>
      </c>
      <c r="B3644" s="1">
        <v>4.6</v>
      </c>
      <c r="K3644" s="4"/>
      <c r="P3644" s="5"/>
      <c r="Q3644" s="24"/>
    </row>
    <row r="3645" ht="14.25" customHeight="1">
      <c r="A3645" s="1">
        <v>99.0</v>
      </c>
      <c r="B3645" s="1">
        <v>4.6</v>
      </c>
      <c r="K3645" s="4"/>
      <c r="P3645" s="5"/>
      <c r="Q3645" s="24"/>
    </row>
    <row r="3646" ht="14.25" customHeight="1">
      <c r="A3646" s="1">
        <v>98.0</v>
      </c>
      <c r="B3646" s="1">
        <v>4.6</v>
      </c>
      <c r="K3646" s="4"/>
      <c r="P3646" s="5"/>
      <c r="Q3646" s="24"/>
    </row>
    <row r="3647" ht="14.25" customHeight="1">
      <c r="A3647" s="1">
        <v>98.0</v>
      </c>
      <c r="B3647" s="1">
        <v>4.6</v>
      </c>
      <c r="K3647" s="4"/>
      <c r="P3647" s="5"/>
      <c r="Q3647" s="24"/>
    </row>
    <row r="3648" ht="14.25" customHeight="1">
      <c r="A3648" s="1">
        <v>97.0</v>
      </c>
      <c r="B3648" s="1">
        <v>4.6</v>
      </c>
      <c r="K3648" s="4"/>
      <c r="P3648" s="5"/>
      <c r="Q3648" s="24"/>
    </row>
    <row r="3649" ht="14.25" customHeight="1">
      <c r="A3649" s="1">
        <v>96.0</v>
      </c>
      <c r="B3649" s="1">
        <v>4.6</v>
      </c>
      <c r="K3649" s="4"/>
      <c r="P3649" s="5"/>
      <c r="Q3649" s="24"/>
    </row>
    <row r="3650" ht="14.25" customHeight="1">
      <c r="A3650" s="1">
        <v>95.0</v>
      </c>
      <c r="B3650" s="1">
        <v>4.6</v>
      </c>
      <c r="K3650" s="4"/>
      <c r="P3650" s="5"/>
      <c r="Q3650" s="24"/>
    </row>
    <row r="3651" ht="14.25" customHeight="1">
      <c r="A3651" s="1">
        <v>95.0</v>
      </c>
      <c r="B3651" s="1">
        <v>4.6</v>
      </c>
      <c r="K3651" s="4"/>
      <c r="P3651" s="5"/>
      <c r="Q3651" s="24"/>
    </row>
    <row r="3652" ht="14.25" customHeight="1">
      <c r="A3652" s="1">
        <v>94.0</v>
      </c>
      <c r="B3652" s="1">
        <v>4.6</v>
      </c>
      <c r="K3652" s="4"/>
      <c r="P3652" s="5"/>
      <c r="Q3652" s="24"/>
    </row>
    <row r="3653" ht="14.25" customHeight="1">
      <c r="A3653" s="1">
        <v>93.0</v>
      </c>
      <c r="B3653" s="1">
        <v>4.6</v>
      </c>
      <c r="K3653" s="4"/>
      <c r="P3653" s="5"/>
      <c r="Q3653" s="24"/>
    </row>
    <row r="3654" ht="14.25" customHeight="1">
      <c r="A3654" s="1">
        <v>91.0</v>
      </c>
      <c r="B3654" s="1">
        <v>4.6</v>
      </c>
      <c r="K3654" s="4"/>
      <c r="P3654" s="5"/>
      <c r="Q3654" s="24"/>
    </row>
    <row r="3655" ht="14.25" customHeight="1">
      <c r="A3655" s="1">
        <v>90.0</v>
      </c>
      <c r="B3655" s="1">
        <v>4.6</v>
      </c>
      <c r="K3655" s="4"/>
      <c r="P3655" s="5"/>
      <c r="Q3655" s="24"/>
    </row>
    <row r="3656" ht="14.25" customHeight="1">
      <c r="A3656" s="1">
        <v>89.0</v>
      </c>
      <c r="B3656" s="1">
        <v>4.6</v>
      </c>
      <c r="K3656" s="4"/>
      <c r="P3656" s="5"/>
      <c r="Q3656" s="24"/>
    </row>
    <row r="3657" ht="14.25" customHeight="1">
      <c r="A3657" s="1">
        <v>89.0</v>
      </c>
      <c r="B3657" s="1">
        <v>4.6</v>
      </c>
      <c r="K3657" s="4"/>
      <c r="P3657" s="5"/>
      <c r="Q3657" s="24"/>
    </row>
    <row r="3658" ht="14.25" customHeight="1">
      <c r="A3658" s="1">
        <v>87.0</v>
      </c>
      <c r="B3658" s="1">
        <v>4.6</v>
      </c>
      <c r="K3658" s="4"/>
      <c r="P3658" s="5"/>
      <c r="Q3658" s="24"/>
    </row>
    <row r="3659" ht="14.25" customHeight="1">
      <c r="A3659" s="1">
        <v>87.0</v>
      </c>
      <c r="B3659" s="1">
        <v>4.6</v>
      </c>
      <c r="K3659" s="4"/>
      <c r="P3659" s="5"/>
      <c r="Q3659" s="24"/>
    </row>
    <row r="3660" ht="14.25" customHeight="1">
      <c r="A3660" s="1">
        <v>86.0</v>
      </c>
      <c r="B3660" s="1">
        <v>4.6</v>
      </c>
      <c r="K3660" s="4"/>
      <c r="P3660" s="5"/>
      <c r="Q3660" s="24"/>
    </row>
    <row r="3661" ht="14.25" customHeight="1">
      <c r="A3661" s="1">
        <v>86.0</v>
      </c>
      <c r="B3661" s="1">
        <v>4.6</v>
      </c>
      <c r="K3661" s="4"/>
      <c r="P3661" s="5"/>
      <c r="Q3661" s="24"/>
    </row>
    <row r="3662" ht="14.25" customHeight="1">
      <c r="A3662" s="1">
        <v>83.0</v>
      </c>
      <c r="B3662" s="1">
        <v>4.6</v>
      </c>
      <c r="K3662" s="4"/>
      <c r="P3662" s="5"/>
      <c r="Q3662" s="24"/>
    </row>
    <row r="3663" ht="14.25" customHeight="1">
      <c r="A3663" s="1">
        <v>80.0</v>
      </c>
      <c r="B3663" s="1">
        <v>4.6</v>
      </c>
      <c r="K3663" s="4"/>
      <c r="P3663" s="5"/>
      <c r="Q3663" s="24"/>
    </row>
    <row r="3664" ht="14.25" customHeight="1">
      <c r="A3664" s="1">
        <v>129.0</v>
      </c>
      <c r="B3664" s="1">
        <v>4.5</v>
      </c>
      <c r="K3664" s="4"/>
      <c r="P3664" s="5"/>
      <c r="Q3664" s="24"/>
    </row>
    <row r="3665" ht="14.25" customHeight="1">
      <c r="A3665" s="1">
        <v>124.0</v>
      </c>
      <c r="B3665" s="1">
        <v>4.5</v>
      </c>
      <c r="K3665" s="4"/>
      <c r="P3665" s="5"/>
      <c r="Q3665" s="24"/>
    </row>
    <row r="3666" ht="14.25" customHeight="1">
      <c r="A3666" s="1">
        <v>116.0</v>
      </c>
      <c r="B3666" s="1">
        <v>4.5</v>
      </c>
      <c r="K3666" s="4"/>
      <c r="P3666" s="5"/>
      <c r="Q3666" s="24"/>
    </row>
    <row r="3667" ht="14.25" customHeight="1">
      <c r="A3667" s="1">
        <v>112.0</v>
      </c>
      <c r="B3667" s="1">
        <v>4.5</v>
      </c>
      <c r="K3667" s="4"/>
      <c r="P3667" s="5"/>
      <c r="Q3667" s="24"/>
    </row>
    <row r="3668" ht="14.25" customHeight="1">
      <c r="A3668" s="1">
        <v>105.0</v>
      </c>
      <c r="B3668" s="1">
        <v>4.5</v>
      </c>
      <c r="K3668" s="4"/>
      <c r="P3668" s="5"/>
      <c r="Q3668" s="24"/>
    </row>
    <row r="3669" ht="14.25" customHeight="1">
      <c r="A3669" s="1">
        <v>100.0</v>
      </c>
      <c r="B3669" s="1">
        <v>4.5</v>
      </c>
      <c r="K3669" s="4"/>
      <c r="P3669" s="5"/>
      <c r="Q3669" s="24"/>
    </row>
    <row r="3670" ht="14.25" customHeight="1">
      <c r="A3670" s="1">
        <v>100.0</v>
      </c>
      <c r="B3670" s="1">
        <v>4.5</v>
      </c>
      <c r="K3670" s="4"/>
      <c r="P3670" s="5"/>
      <c r="Q3670" s="24"/>
    </row>
    <row r="3671" ht="14.25" customHeight="1">
      <c r="A3671" s="1">
        <v>100.0</v>
      </c>
      <c r="B3671" s="1">
        <v>4.5</v>
      </c>
      <c r="K3671" s="4"/>
      <c r="P3671" s="5"/>
      <c r="Q3671" s="24"/>
    </row>
    <row r="3672" ht="14.25" customHeight="1">
      <c r="A3672" s="1">
        <v>98.0</v>
      </c>
      <c r="B3672" s="1">
        <v>4.5</v>
      </c>
      <c r="K3672" s="4"/>
      <c r="P3672" s="5"/>
      <c r="Q3672" s="24"/>
    </row>
    <row r="3673" ht="14.25" customHeight="1">
      <c r="A3673" s="1">
        <v>96.0</v>
      </c>
      <c r="B3673" s="1">
        <v>4.5</v>
      </c>
      <c r="K3673" s="4"/>
      <c r="P3673" s="5"/>
      <c r="Q3673" s="24"/>
    </row>
    <row r="3674" ht="14.25" customHeight="1">
      <c r="A3674" s="1">
        <v>94.0</v>
      </c>
      <c r="B3674" s="1">
        <v>4.5</v>
      </c>
      <c r="K3674" s="4"/>
      <c r="P3674" s="5"/>
      <c r="Q3674" s="24"/>
    </row>
    <row r="3675" ht="14.25" customHeight="1">
      <c r="A3675" s="1">
        <v>93.0</v>
      </c>
      <c r="B3675" s="1">
        <v>4.5</v>
      </c>
      <c r="K3675" s="4"/>
      <c r="P3675" s="5"/>
      <c r="Q3675" s="24"/>
    </row>
    <row r="3676" ht="14.25" customHeight="1">
      <c r="A3676" s="1">
        <v>91.0</v>
      </c>
      <c r="B3676" s="1">
        <v>4.5</v>
      </c>
      <c r="K3676" s="4"/>
      <c r="P3676" s="5"/>
      <c r="Q3676" s="24"/>
    </row>
    <row r="3677" ht="14.25" customHeight="1">
      <c r="A3677" s="1">
        <v>91.0</v>
      </c>
      <c r="B3677" s="1">
        <v>4.5</v>
      </c>
      <c r="K3677" s="4"/>
      <c r="P3677" s="5"/>
      <c r="Q3677" s="24"/>
    </row>
    <row r="3678" ht="14.25" customHeight="1">
      <c r="A3678" s="1">
        <v>91.0</v>
      </c>
      <c r="B3678" s="1">
        <v>4.5</v>
      </c>
      <c r="K3678" s="4"/>
      <c r="P3678" s="5"/>
      <c r="Q3678" s="24"/>
    </row>
    <row r="3679" ht="14.25" customHeight="1">
      <c r="A3679" s="1">
        <v>88.0</v>
      </c>
      <c r="B3679" s="1">
        <v>4.5</v>
      </c>
      <c r="K3679" s="4"/>
      <c r="P3679" s="5"/>
      <c r="Q3679" s="24"/>
    </row>
    <row r="3680" ht="14.25" customHeight="1">
      <c r="A3680" s="1">
        <v>87.0</v>
      </c>
      <c r="B3680" s="1">
        <v>4.5</v>
      </c>
      <c r="K3680" s="4"/>
      <c r="P3680" s="5"/>
      <c r="Q3680" s="24"/>
    </row>
    <row r="3681" ht="14.25" customHeight="1">
      <c r="A3681" s="1">
        <v>82.0</v>
      </c>
      <c r="B3681" s="1">
        <v>4.5</v>
      </c>
      <c r="K3681" s="4"/>
      <c r="P3681" s="5"/>
      <c r="Q3681" s="24"/>
    </row>
    <row r="3682" ht="14.25" customHeight="1">
      <c r="A3682" s="1">
        <v>81.0</v>
      </c>
      <c r="B3682" s="1">
        <v>4.5</v>
      </c>
      <c r="K3682" s="4"/>
      <c r="P3682" s="5"/>
      <c r="Q3682" s="24"/>
    </row>
    <row r="3683" ht="14.25" customHeight="1">
      <c r="A3683" s="1">
        <v>75.0</v>
      </c>
      <c r="B3683" s="1">
        <v>4.5</v>
      </c>
      <c r="K3683" s="4"/>
      <c r="P3683" s="5"/>
      <c r="Q3683" s="24"/>
    </row>
    <row r="3684" ht="14.25" customHeight="1">
      <c r="A3684" s="1">
        <v>121.0</v>
      </c>
      <c r="B3684" s="1">
        <v>4.4</v>
      </c>
      <c r="K3684" s="4"/>
      <c r="P3684" s="5"/>
      <c r="Q3684" s="24"/>
    </row>
    <row r="3685" ht="14.25" customHeight="1">
      <c r="A3685" s="1">
        <v>113.0</v>
      </c>
      <c r="B3685" s="1">
        <v>4.4</v>
      </c>
      <c r="K3685" s="4"/>
      <c r="P3685" s="5"/>
      <c r="Q3685" s="24"/>
    </row>
    <row r="3686" ht="14.25" customHeight="1">
      <c r="A3686" s="1">
        <v>110.0</v>
      </c>
      <c r="B3686" s="1">
        <v>4.4</v>
      </c>
      <c r="K3686" s="4"/>
      <c r="P3686" s="5"/>
      <c r="Q3686" s="24"/>
    </row>
    <row r="3687" ht="14.25" customHeight="1">
      <c r="A3687" s="1">
        <v>104.0</v>
      </c>
      <c r="B3687" s="1">
        <v>4.4</v>
      </c>
      <c r="K3687" s="4"/>
      <c r="P3687" s="5"/>
      <c r="Q3687" s="24"/>
    </row>
    <row r="3688" ht="14.25" customHeight="1">
      <c r="A3688" s="1">
        <v>101.0</v>
      </c>
      <c r="B3688" s="1">
        <v>4.4</v>
      </c>
      <c r="K3688" s="4"/>
      <c r="P3688" s="5"/>
      <c r="Q3688" s="24"/>
    </row>
    <row r="3689" ht="14.25" customHeight="1">
      <c r="A3689" s="1">
        <v>99.0</v>
      </c>
      <c r="B3689" s="1">
        <v>4.4</v>
      </c>
      <c r="K3689" s="4"/>
      <c r="P3689" s="5"/>
      <c r="Q3689" s="24"/>
    </row>
    <row r="3690" ht="14.25" customHeight="1">
      <c r="A3690" s="1">
        <v>99.0</v>
      </c>
      <c r="B3690" s="1">
        <v>4.4</v>
      </c>
      <c r="K3690" s="4"/>
      <c r="P3690" s="5"/>
      <c r="Q3690" s="24"/>
    </row>
    <row r="3691" ht="14.25" customHeight="1">
      <c r="A3691" s="1">
        <v>98.0</v>
      </c>
      <c r="B3691" s="1">
        <v>4.4</v>
      </c>
      <c r="K3691" s="4"/>
      <c r="P3691" s="5"/>
      <c r="Q3691" s="24"/>
    </row>
    <row r="3692" ht="14.25" customHeight="1">
      <c r="A3692" s="1">
        <v>97.0</v>
      </c>
      <c r="B3692" s="1">
        <v>4.4</v>
      </c>
      <c r="K3692" s="4"/>
      <c r="P3692" s="5"/>
      <c r="Q3692" s="24"/>
    </row>
    <row r="3693" ht="14.25" customHeight="1">
      <c r="A3693" s="1">
        <v>94.0</v>
      </c>
      <c r="B3693" s="1">
        <v>4.4</v>
      </c>
      <c r="K3693" s="4"/>
      <c r="P3693" s="5"/>
      <c r="Q3693" s="24"/>
    </row>
    <row r="3694" ht="14.25" customHeight="1">
      <c r="A3694" s="1">
        <v>94.0</v>
      </c>
      <c r="B3694" s="1">
        <v>4.4</v>
      </c>
      <c r="K3694" s="4"/>
      <c r="P3694" s="5"/>
      <c r="Q3694" s="24"/>
    </row>
    <row r="3695" ht="14.25" customHeight="1">
      <c r="A3695" s="1">
        <v>94.0</v>
      </c>
      <c r="B3695" s="1">
        <v>4.4</v>
      </c>
      <c r="K3695" s="4"/>
      <c r="P3695" s="5"/>
      <c r="Q3695" s="24"/>
    </row>
    <row r="3696" ht="14.25" customHeight="1">
      <c r="A3696" s="1">
        <v>93.0</v>
      </c>
      <c r="B3696" s="1">
        <v>4.4</v>
      </c>
      <c r="K3696" s="4"/>
      <c r="P3696" s="5"/>
      <c r="Q3696" s="24"/>
    </row>
    <row r="3697" ht="14.25" customHeight="1">
      <c r="A3697" s="1">
        <v>92.0</v>
      </c>
      <c r="B3697" s="1">
        <v>4.4</v>
      </c>
      <c r="K3697" s="4"/>
      <c r="P3697" s="5"/>
      <c r="Q3697" s="24"/>
    </row>
    <row r="3698" ht="14.25" customHeight="1">
      <c r="A3698" s="1">
        <v>90.0</v>
      </c>
      <c r="B3698" s="1">
        <v>4.4</v>
      </c>
      <c r="K3698" s="4"/>
      <c r="P3698" s="5"/>
      <c r="Q3698" s="24"/>
    </row>
    <row r="3699" ht="14.25" customHeight="1">
      <c r="A3699" s="1">
        <v>89.0</v>
      </c>
      <c r="B3699" s="1">
        <v>4.4</v>
      </c>
      <c r="K3699" s="4"/>
      <c r="P3699" s="5"/>
      <c r="Q3699" s="24"/>
    </row>
    <row r="3700" ht="14.25" customHeight="1">
      <c r="A3700" s="1">
        <v>89.0</v>
      </c>
      <c r="B3700" s="1">
        <v>4.4</v>
      </c>
      <c r="K3700" s="4"/>
      <c r="P3700" s="5"/>
      <c r="Q3700" s="24"/>
    </row>
    <row r="3701" ht="14.25" customHeight="1">
      <c r="A3701" s="1">
        <v>87.0</v>
      </c>
      <c r="B3701" s="1">
        <v>4.4</v>
      </c>
      <c r="K3701" s="4"/>
      <c r="P3701" s="5"/>
      <c r="Q3701" s="24"/>
    </row>
    <row r="3702" ht="14.25" customHeight="1">
      <c r="A3702" s="1">
        <v>85.0</v>
      </c>
      <c r="B3702" s="1">
        <v>4.4</v>
      </c>
      <c r="K3702" s="4"/>
      <c r="P3702" s="5"/>
      <c r="Q3702" s="24"/>
    </row>
    <row r="3703" ht="14.25" customHeight="1">
      <c r="A3703" s="1">
        <v>82.0</v>
      </c>
      <c r="B3703" s="1">
        <v>4.4</v>
      </c>
      <c r="K3703" s="4"/>
      <c r="P3703" s="5"/>
      <c r="Q3703" s="24"/>
    </row>
    <row r="3704" ht="14.25" customHeight="1">
      <c r="A3704" s="1">
        <v>146.0</v>
      </c>
      <c r="B3704" s="1">
        <v>4.3</v>
      </c>
      <c r="K3704" s="4"/>
      <c r="P3704" s="5"/>
      <c r="Q3704" s="24"/>
    </row>
    <row r="3705" ht="14.25" customHeight="1">
      <c r="A3705" s="1">
        <v>127.0</v>
      </c>
      <c r="B3705" s="1">
        <v>4.3</v>
      </c>
      <c r="K3705" s="4"/>
      <c r="P3705" s="5"/>
      <c r="Q3705" s="24"/>
    </row>
    <row r="3706" ht="14.25" customHeight="1">
      <c r="A3706" s="1">
        <v>117.0</v>
      </c>
      <c r="B3706" s="1">
        <v>4.3</v>
      </c>
      <c r="K3706" s="4"/>
      <c r="P3706" s="5"/>
      <c r="Q3706" s="24"/>
    </row>
    <row r="3707" ht="14.25" customHeight="1">
      <c r="A3707" s="1">
        <v>109.0</v>
      </c>
      <c r="B3707" s="1">
        <v>4.3</v>
      </c>
      <c r="K3707" s="4"/>
      <c r="P3707" s="5"/>
      <c r="Q3707" s="24"/>
    </row>
    <row r="3708" ht="14.25" customHeight="1">
      <c r="A3708" s="1">
        <v>101.0</v>
      </c>
      <c r="B3708" s="1">
        <v>4.3</v>
      </c>
      <c r="K3708" s="4"/>
      <c r="P3708" s="5"/>
      <c r="Q3708" s="24"/>
    </row>
    <row r="3709" ht="14.25" customHeight="1">
      <c r="A3709" s="1">
        <v>100.0</v>
      </c>
      <c r="B3709" s="1">
        <v>4.3</v>
      </c>
      <c r="K3709" s="4"/>
      <c r="P3709" s="5"/>
      <c r="Q3709" s="24"/>
    </row>
    <row r="3710" ht="14.25" customHeight="1">
      <c r="A3710" s="1">
        <v>99.0</v>
      </c>
      <c r="B3710" s="1">
        <v>4.3</v>
      </c>
      <c r="K3710" s="4"/>
      <c r="P3710" s="5"/>
      <c r="Q3710" s="24"/>
    </row>
    <row r="3711" ht="14.25" customHeight="1">
      <c r="A3711" s="1">
        <v>98.0</v>
      </c>
      <c r="B3711" s="1">
        <v>4.3</v>
      </c>
      <c r="K3711" s="4"/>
      <c r="P3711" s="5"/>
      <c r="Q3711" s="24"/>
    </row>
    <row r="3712" ht="14.25" customHeight="1">
      <c r="A3712" s="1">
        <v>97.0</v>
      </c>
      <c r="B3712" s="1">
        <v>4.3</v>
      </c>
      <c r="K3712" s="4"/>
      <c r="P3712" s="5"/>
      <c r="Q3712" s="24"/>
    </row>
    <row r="3713" ht="14.25" customHeight="1">
      <c r="A3713" s="1">
        <v>96.0</v>
      </c>
      <c r="B3713" s="1">
        <v>4.3</v>
      </c>
      <c r="K3713" s="4"/>
      <c r="P3713" s="5"/>
      <c r="Q3713" s="24"/>
    </row>
    <row r="3714" ht="14.25" customHeight="1">
      <c r="A3714" s="1">
        <v>94.0</v>
      </c>
      <c r="B3714" s="1">
        <v>4.3</v>
      </c>
      <c r="K3714" s="4"/>
      <c r="P3714" s="5"/>
      <c r="Q3714" s="24"/>
    </row>
    <row r="3715" ht="14.25" customHeight="1">
      <c r="A3715" s="1">
        <v>93.0</v>
      </c>
      <c r="B3715" s="1">
        <v>4.3</v>
      </c>
      <c r="K3715" s="4"/>
      <c r="P3715" s="5"/>
      <c r="Q3715" s="24"/>
    </row>
    <row r="3716" ht="14.25" customHeight="1">
      <c r="A3716" s="1">
        <v>93.0</v>
      </c>
      <c r="B3716" s="1">
        <v>4.3</v>
      </c>
      <c r="K3716" s="4"/>
      <c r="P3716" s="5"/>
      <c r="Q3716" s="24"/>
    </row>
    <row r="3717" ht="14.25" customHeight="1">
      <c r="A3717" s="1">
        <v>91.0</v>
      </c>
      <c r="B3717" s="1">
        <v>4.3</v>
      </c>
      <c r="K3717" s="4"/>
      <c r="P3717" s="5"/>
      <c r="Q3717" s="24"/>
    </row>
    <row r="3718" ht="14.25" customHeight="1">
      <c r="A3718" s="1">
        <v>90.0</v>
      </c>
      <c r="B3718" s="1">
        <v>4.3</v>
      </c>
      <c r="K3718" s="4"/>
      <c r="P3718" s="5"/>
      <c r="Q3718" s="24"/>
    </row>
    <row r="3719" ht="14.25" customHeight="1">
      <c r="A3719" s="1">
        <v>84.0</v>
      </c>
      <c r="B3719" s="1">
        <v>4.3</v>
      </c>
      <c r="K3719" s="4"/>
      <c r="P3719" s="5"/>
      <c r="Q3719" s="24"/>
    </row>
    <row r="3720" ht="14.25" customHeight="1">
      <c r="A3720" s="1">
        <v>83.0</v>
      </c>
      <c r="B3720" s="1">
        <v>4.3</v>
      </c>
      <c r="K3720" s="4"/>
      <c r="P3720" s="5"/>
      <c r="Q3720" s="24"/>
    </row>
    <row r="3721" ht="14.25" customHeight="1">
      <c r="A3721" s="1">
        <v>82.0</v>
      </c>
      <c r="B3721" s="1">
        <v>4.3</v>
      </c>
      <c r="K3721" s="4"/>
      <c r="P3721" s="5"/>
      <c r="Q3721" s="24"/>
    </row>
    <row r="3722" ht="14.25" customHeight="1">
      <c r="A3722" s="1">
        <v>116.0</v>
      </c>
      <c r="B3722" s="1">
        <v>4.2</v>
      </c>
      <c r="K3722" s="4"/>
      <c r="P3722" s="5"/>
      <c r="Q3722" s="24"/>
    </row>
    <row r="3723" ht="14.25" customHeight="1">
      <c r="A3723" s="1">
        <v>107.0</v>
      </c>
      <c r="B3723" s="1">
        <v>4.2</v>
      </c>
      <c r="K3723" s="4"/>
      <c r="P3723" s="5"/>
      <c r="Q3723" s="24"/>
    </row>
    <row r="3724" ht="14.25" customHeight="1">
      <c r="A3724" s="1">
        <v>103.0</v>
      </c>
      <c r="B3724" s="1">
        <v>4.2</v>
      </c>
      <c r="K3724" s="4"/>
      <c r="P3724" s="5"/>
      <c r="Q3724" s="24"/>
    </row>
    <row r="3725" ht="14.25" customHeight="1">
      <c r="A3725" s="1">
        <v>102.0</v>
      </c>
      <c r="B3725" s="1">
        <v>4.2</v>
      </c>
      <c r="K3725" s="4"/>
      <c r="P3725" s="5"/>
      <c r="Q3725" s="24"/>
    </row>
    <row r="3726" ht="14.25" customHeight="1">
      <c r="A3726" s="1">
        <v>102.0</v>
      </c>
      <c r="B3726" s="1">
        <v>4.2</v>
      </c>
      <c r="K3726" s="4"/>
      <c r="P3726" s="5"/>
      <c r="Q3726" s="24"/>
    </row>
    <row r="3727" ht="14.25" customHeight="1">
      <c r="A3727" s="1">
        <v>99.0</v>
      </c>
      <c r="B3727" s="1">
        <v>4.2</v>
      </c>
      <c r="K3727" s="4"/>
      <c r="P3727" s="5"/>
      <c r="Q3727" s="24"/>
    </row>
    <row r="3728" ht="14.25" customHeight="1">
      <c r="A3728" s="1">
        <v>97.0</v>
      </c>
      <c r="B3728" s="1">
        <v>4.2</v>
      </c>
      <c r="K3728" s="4"/>
      <c r="P3728" s="5"/>
      <c r="Q3728" s="24"/>
    </row>
    <row r="3729" ht="14.25" customHeight="1">
      <c r="A3729" s="1">
        <v>95.0</v>
      </c>
      <c r="B3729" s="1">
        <v>4.2</v>
      </c>
      <c r="K3729" s="4"/>
      <c r="P3729" s="5"/>
      <c r="Q3729" s="24"/>
    </row>
    <row r="3730" ht="14.25" customHeight="1">
      <c r="A3730" s="1">
        <v>87.0</v>
      </c>
      <c r="B3730" s="1">
        <v>4.2</v>
      </c>
      <c r="K3730" s="4"/>
      <c r="P3730" s="5"/>
      <c r="Q3730" s="24"/>
    </row>
    <row r="3731" ht="14.25" customHeight="1">
      <c r="A3731" s="1">
        <v>83.0</v>
      </c>
      <c r="B3731" s="1">
        <v>4.2</v>
      </c>
      <c r="K3731" s="4"/>
      <c r="P3731" s="5"/>
      <c r="Q3731" s="24"/>
    </row>
    <row r="3732" ht="14.25" customHeight="1">
      <c r="A3732" s="1">
        <v>83.0</v>
      </c>
      <c r="B3732" s="1">
        <v>4.2</v>
      </c>
      <c r="K3732" s="4"/>
      <c r="P3732" s="5"/>
      <c r="Q3732" s="24"/>
    </row>
    <row r="3733" ht="14.25" customHeight="1">
      <c r="A3733" s="1">
        <v>81.0</v>
      </c>
      <c r="B3733" s="1">
        <v>4.2</v>
      </c>
      <c r="K3733" s="4"/>
      <c r="P3733" s="5"/>
      <c r="Q3733" s="24"/>
    </row>
    <row r="3734" ht="14.25" customHeight="1">
      <c r="A3734" s="1">
        <v>129.0</v>
      </c>
      <c r="B3734" s="1">
        <v>4.1</v>
      </c>
      <c r="K3734" s="4"/>
      <c r="P3734" s="5"/>
      <c r="Q3734" s="24"/>
    </row>
    <row r="3735" ht="14.25" customHeight="1">
      <c r="A3735" s="1">
        <v>113.0</v>
      </c>
      <c r="B3735" s="1">
        <v>4.1</v>
      </c>
      <c r="K3735" s="4"/>
      <c r="P3735" s="5"/>
      <c r="Q3735" s="24"/>
    </row>
    <row r="3736" ht="14.25" customHeight="1">
      <c r="A3736" s="1">
        <v>110.0</v>
      </c>
      <c r="B3736" s="1">
        <v>4.1</v>
      </c>
      <c r="K3736" s="4"/>
      <c r="P3736" s="5"/>
      <c r="Q3736" s="24"/>
    </row>
    <row r="3737" ht="14.25" customHeight="1">
      <c r="A3737" s="1">
        <v>106.0</v>
      </c>
      <c r="B3737" s="1">
        <v>4.1</v>
      </c>
      <c r="K3737" s="4"/>
      <c r="P3737" s="5"/>
      <c r="Q3737" s="24"/>
    </row>
    <row r="3738" ht="14.25" customHeight="1">
      <c r="A3738" s="1">
        <v>104.0</v>
      </c>
      <c r="B3738" s="1">
        <v>4.1</v>
      </c>
      <c r="K3738" s="4"/>
      <c r="P3738" s="5"/>
      <c r="Q3738" s="24"/>
    </row>
    <row r="3739" ht="14.25" customHeight="1">
      <c r="A3739" s="1">
        <v>100.0</v>
      </c>
      <c r="B3739" s="1">
        <v>4.1</v>
      </c>
      <c r="K3739" s="4"/>
      <c r="P3739" s="5"/>
      <c r="Q3739" s="24"/>
    </row>
    <row r="3740" ht="14.25" customHeight="1">
      <c r="A3740" s="1">
        <v>97.0</v>
      </c>
      <c r="B3740" s="1">
        <v>4.1</v>
      </c>
      <c r="K3740" s="4"/>
      <c r="P3740" s="5"/>
      <c r="Q3740" s="24"/>
    </row>
    <row r="3741" ht="14.25" customHeight="1">
      <c r="A3741" s="1">
        <v>95.0</v>
      </c>
      <c r="B3741" s="1">
        <v>4.1</v>
      </c>
      <c r="K3741" s="4"/>
      <c r="P3741" s="5"/>
      <c r="Q3741" s="24"/>
    </row>
    <row r="3742" ht="14.25" customHeight="1">
      <c r="A3742" s="1">
        <v>95.0</v>
      </c>
      <c r="B3742" s="1">
        <v>4.1</v>
      </c>
      <c r="K3742" s="4"/>
      <c r="P3742" s="5"/>
      <c r="Q3742" s="24"/>
    </row>
    <row r="3743" ht="14.25" customHeight="1">
      <c r="A3743" s="1">
        <v>94.0</v>
      </c>
      <c r="B3743" s="1">
        <v>4.1</v>
      </c>
      <c r="K3743" s="4"/>
      <c r="P3743" s="5"/>
      <c r="Q3743" s="24"/>
    </row>
    <row r="3744" ht="14.25" customHeight="1">
      <c r="A3744" s="1">
        <v>92.0</v>
      </c>
      <c r="B3744" s="1">
        <v>4.1</v>
      </c>
      <c r="K3744" s="4"/>
      <c r="P3744" s="5"/>
      <c r="Q3744" s="24"/>
    </row>
    <row r="3745" ht="14.25" customHeight="1">
      <c r="A3745" s="1">
        <v>89.0</v>
      </c>
      <c r="B3745" s="1">
        <v>4.1</v>
      </c>
      <c r="K3745" s="4"/>
      <c r="P3745" s="5"/>
      <c r="Q3745" s="24"/>
    </row>
    <row r="3746" ht="14.25" customHeight="1">
      <c r="A3746" s="1">
        <v>88.0</v>
      </c>
      <c r="B3746" s="1">
        <v>4.1</v>
      </c>
      <c r="K3746" s="4"/>
      <c r="P3746" s="5"/>
      <c r="Q3746" s="24"/>
    </row>
    <row r="3747" ht="14.25" customHeight="1">
      <c r="A3747" s="1">
        <v>88.0</v>
      </c>
      <c r="B3747" s="1">
        <v>4.1</v>
      </c>
      <c r="K3747" s="4"/>
      <c r="P3747" s="5"/>
      <c r="Q3747" s="24"/>
    </row>
    <row r="3748" ht="14.25" customHeight="1">
      <c r="A3748" s="1">
        <v>85.0</v>
      </c>
      <c r="B3748" s="1">
        <v>4.1</v>
      </c>
      <c r="K3748" s="4"/>
      <c r="P3748" s="5"/>
      <c r="Q3748" s="24"/>
    </row>
    <row r="3749" ht="14.25" customHeight="1">
      <c r="A3749" s="1">
        <v>84.0</v>
      </c>
      <c r="B3749" s="1">
        <v>4.1</v>
      </c>
      <c r="K3749" s="4"/>
      <c r="P3749" s="5"/>
      <c r="Q3749" s="24"/>
    </row>
    <row r="3750" ht="14.25" customHeight="1">
      <c r="A3750" s="1">
        <v>83.0</v>
      </c>
      <c r="B3750" s="1">
        <v>4.1</v>
      </c>
      <c r="K3750" s="4"/>
      <c r="P3750" s="5"/>
      <c r="Q3750" s="24"/>
    </row>
    <row r="3751" ht="14.25" customHeight="1">
      <c r="A3751" s="1">
        <v>83.0</v>
      </c>
      <c r="B3751" s="1">
        <v>4.1</v>
      </c>
      <c r="K3751" s="4"/>
      <c r="P3751" s="5"/>
      <c r="Q3751" s="24"/>
    </row>
    <row r="3752" ht="14.25" customHeight="1">
      <c r="A3752" s="1">
        <v>78.0</v>
      </c>
      <c r="B3752" s="1">
        <v>4.1</v>
      </c>
      <c r="K3752" s="4"/>
      <c r="P3752" s="5"/>
      <c r="Q3752" s="24"/>
    </row>
    <row r="3753" ht="14.25" customHeight="1">
      <c r="A3753" s="1">
        <v>104.0</v>
      </c>
      <c r="B3753" s="1">
        <v>4.0</v>
      </c>
      <c r="K3753" s="4"/>
      <c r="P3753" s="5"/>
      <c r="Q3753" s="24"/>
    </row>
    <row r="3754" ht="14.25" customHeight="1">
      <c r="A3754" s="1">
        <v>93.0</v>
      </c>
      <c r="B3754" s="1">
        <v>4.0</v>
      </c>
      <c r="K3754" s="4"/>
      <c r="P3754" s="5"/>
      <c r="Q3754" s="24"/>
    </row>
    <row r="3755" ht="14.25" customHeight="1">
      <c r="A3755" s="1">
        <v>90.0</v>
      </c>
      <c r="B3755" s="1">
        <v>4.0</v>
      </c>
      <c r="K3755" s="4"/>
      <c r="P3755" s="5"/>
      <c r="Q3755" s="24"/>
    </row>
    <row r="3756" ht="14.25" customHeight="1">
      <c r="A3756" s="1">
        <v>90.0</v>
      </c>
      <c r="B3756" s="1">
        <v>4.0</v>
      </c>
      <c r="K3756" s="4"/>
      <c r="P3756" s="5"/>
      <c r="Q3756" s="24"/>
    </row>
    <row r="3757" ht="14.25" customHeight="1">
      <c r="A3757" s="1">
        <v>89.0</v>
      </c>
      <c r="B3757" s="1">
        <v>4.0</v>
      </c>
      <c r="K3757" s="4"/>
      <c r="P3757" s="5"/>
      <c r="Q3757" s="24"/>
    </row>
    <row r="3758" ht="14.25" customHeight="1">
      <c r="A3758" s="1">
        <v>88.0</v>
      </c>
      <c r="B3758" s="1">
        <v>4.0</v>
      </c>
      <c r="K3758" s="4"/>
      <c r="P3758" s="5"/>
      <c r="Q3758" s="24"/>
    </row>
    <row r="3759" ht="14.25" customHeight="1">
      <c r="A3759" s="1">
        <v>84.0</v>
      </c>
      <c r="B3759" s="1">
        <v>4.0</v>
      </c>
      <c r="K3759" s="4"/>
      <c r="P3759" s="5"/>
      <c r="Q3759" s="24"/>
    </row>
    <row r="3760" ht="14.25" customHeight="1">
      <c r="A3760" s="1">
        <v>82.0</v>
      </c>
      <c r="B3760" s="1">
        <v>4.0</v>
      </c>
      <c r="K3760" s="4"/>
      <c r="P3760" s="5"/>
      <c r="Q3760" s="24"/>
    </row>
    <row r="3761" ht="14.25" customHeight="1">
      <c r="A3761" s="1">
        <v>105.0</v>
      </c>
      <c r="B3761" s="1">
        <v>3.9</v>
      </c>
      <c r="K3761" s="4"/>
      <c r="P3761" s="5"/>
      <c r="Q3761" s="24"/>
    </row>
    <row r="3762" ht="14.25" customHeight="1">
      <c r="A3762" s="1">
        <v>104.0</v>
      </c>
      <c r="B3762" s="1">
        <v>3.9</v>
      </c>
      <c r="K3762" s="4"/>
      <c r="P3762" s="5"/>
      <c r="Q3762" s="24"/>
    </row>
    <row r="3763" ht="14.25" customHeight="1">
      <c r="A3763" s="1">
        <v>99.0</v>
      </c>
      <c r="B3763" s="1">
        <v>3.9</v>
      </c>
      <c r="K3763" s="4"/>
      <c r="P3763" s="5"/>
      <c r="Q3763" s="24"/>
    </row>
    <row r="3764" ht="14.25" customHeight="1">
      <c r="A3764" s="1">
        <v>93.0</v>
      </c>
      <c r="B3764" s="1">
        <v>3.9</v>
      </c>
      <c r="K3764" s="4"/>
      <c r="P3764" s="5"/>
      <c r="Q3764" s="24"/>
    </row>
    <row r="3765" ht="14.25" customHeight="1">
      <c r="A3765" s="1">
        <v>93.0</v>
      </c>
      <c r="B3765" s="1">
        <v>3.9</v>
      </c>
      <c r="K3765" s="4"/>
      <c r="P3765" s="5"/>
      <c r="Q3765" s="24"/>
    </row>
    <row r="3766" ht="14.25" customHeight="1">
      <c r="A3766" s="1">
        <v>93.0</v>
      </c>
      <c r="B3766" s="1">
        <v>3.9</v>
      </c>
      <c r="K3766" s="4"/>
      <c r="P3766" s="5"/>
      <c r="Q3766" s="24"/>
    </row>
    <row r="3767" ht="14.25" customHeight="1">
      <c r="A3767" s="1">
        <v>89.0</v>
      </c>
      <c r="B3767" s="1">
        <v>3.9</v>
      </c>
      <c r="K3767" s="4"/>
      <c r="P3767" s="5"/>
      <c r="Q3767" s="24"/>
    </row>
    <row r="3768" ht="14.25" customHeight="1">
      <c r="A3768" s="1">
        <v>87.0</v>
      </c>
      <c r="B3768" s="1">
        <v>3.9</v>
      </c>
      <c r="K3768" s="4"/>
      <c r="P3768" s="5"/>
      <c r="Q3768" s="24"/>
    </row>
    <row r="3769" ht="14.25" customHeight="1">
      <c r="A3769" s="1">
        <v>84.0</v>
      </c>
      <c r="B3769" s="1">
        <v>3.9</v>
      </c>
      <c r="K3769" s="4"/>
      <c r="P3769" s="5"/>
      <c r="Q3769" s="24"/>
    </row>
    <row r="3770" ht="14.25" customHeight="1">
      <c r="A3770" s="1">
        <v>156.0</v>
      </c>
      <c r="B3770" s="1">
        <v>3.8</v>
      </c>
      <c r="K3770" s="4"/>
      <c r="P3770" s="5"/>
      <c r="Q3770" s="24"/>
    </row>
    <row r="3771" ht="14.25" customHeight="1">
      <c r="A3771" s="1">
        <v>107.0</v>
      </c>
      <c r="B3771" s="1">
        <v>3.8</v>
      </c>
      <c r="K3771" s="4"/>
      <c r="P3771" s="5"/>
      <c r="Q3771" s="24"/>
    </row>
    <row r="3772" ht="14.25" customHeight="1">
      <c r="A3772" s="1">
        <v>102.0</v>
      </c>
      <c r="B3772" s="1">
        <v>3.8</v>
      </c>
      <c r="K3772" s="4"/>
      <c r="P3772" s="5"/>
      <c r="Q3772" s="24"/>
    </row>
    <row r="3773" ht="14.25" customHeight="1">
      <c r="A3773" s="1">
        <v>95.0</v>
      </c>
      <c r="B3773" s="1">
        <v>3.8</v>
      </c>
      <c r="K3773" s="4"/>
      <c r="P3773" s="5"/>
      <c r="Q3773" s="24"/>
    </row>
    <row r="3774" ht="14.25" customHeight="1">
      <c r="A3774" s="1">
        <v>92.0</v>
      </c>
      <c r="B3774" s="1">
        <v>3.8</v>
      </c>
      <c r="K3774" s="4"/>
      <c r="P3774" s="5"/>
      <c r="Q3774" s="24"/>
    </row>
    <row r="3775" ht="14.25" customHeight="1">
      <c r="A3775" s="1">
        <v>87.0</v>
      </c>
      <c r="B3775" s="1">
        <v>3.8</v>
      </c>
      <c r="K3775" s="4"/>
      <c r="P3775" s="5"/>
      <c r="Q3775" s="24"/>
    </row>
    <row r="3776" ht="14.25" customHeight="1">
      <c r="A3776" s="1">
        <v>84.0</v>
      </c>
      <c r="B3776" s="1">
        <v>3.8</v>
      </c>
      <c r="K3776" s="4"/>
      <c r="P3776" s="5"/>
      <c r="Q3776" s="24"/>
    </row>
    <row r="3777" ht="14.25" customHeight="1">
      <c r="A3777" s="1">
        <v>82.0</v>
      </c>
      <c r="B3777" s="1">
        <v>3.8</v>
      </c>
      <c r="K3777" s="4"/>
      <c r="P3777" s="5"/>
      <c r="Q3777" s="24"/>
    </row>
    <row r="3778" ht="14.25" customHeight="1">
      <c r="A3778" s="1">
        <v>82.0</v>
      </c>
      <c r="B3778" s="1">
        <v>3.8</v>
      </c>
      <c r="K3778" s="4"/>
      <c r="P3778" s="5"/>
      <c r="Q3778" s="24"/>
    </row>
    <row r="3779" ht="14.25" customHeight="1">
      <c r="A3779" s="1">
        <v>77.0</v>
      </c>
      <c r="B3779" s="1">
        <v>3.8</v>
      </c>
      <c r="K3779" s="4"/>
      <c r="P3779" s="5"/>
      <c r="Q3779" s="24"/>
    </row>
    <row r="3780" ht="14.25" customHeight="1">
      <c r="A3780" s="1">
        <v>125.0</v>
      </c>
      <c r="B3780" s="1">
        <v>3.7</v>
      </c>
      <c r="K3780" s="4"/>
      <c r="P3780" s="5"/>
      <c r="Q3780" s="24"/>
    </row>
    <row r="3781" ht="14.25" customHeight="1">
      <c r="A3781" s="1">
        <v>121.0</v>
      </c>
      <c r="B3781" s="1">
        <v>3.7</v>
      </c>
      <c r="K3781" s="4"/>
      <c r="P3781" s="5"/>
      <c r="Q3781" s="24"/>
    </row>
    <row r="3782" ht="14.25" customHeight="1">
      <c r="A3782" s="1">
        <v>96.0</v>
      </c>
      <c r="B3782" s="1">
        <v>3.7</v>
      </c>
      <c r="K3782" s="4"/>
      <c r="P3782" s="5"/>
      <c r="Q3782" s="24"/>
    </row>
    <row r="3783" ht="14.25" customHeight="1">
      <c r="A3783" s="1">
        <v>95.0</v>
      </c>
      <c r="B3783" s="1">
        <v>3.7</v>
      </c>
      <c r="K3783" s="4"/>
      <c r="P3783" s="5"/>
      <c r="Q3783" s="24"/>
    </row>
    <row r="3784" ht="14.25" customHeight="1">
      <c r="A3784" s="1">
        <v>91.0</v>
      </c>
      <c r="B3784" s="1">
        <v>3.7</v>
      </c>
      <c r="K3784" s="4"/>
      <c r="P3784" s="5"/>
      <c r="Q3784" s="24"/>
    </row>
    <row r="3785" ht="14.25" customHeight="1">
      <c r="A3785" s="1">
        <v>134.0</v>
      </c>
      <c r="B3785" s="1">
        <v>3.6</v>
      </c>
      <c r="K3785" s="4"/>
      <c r="P3785" s="5"/>
      <c r="Q3785" s="24"/>
    </row>
    <row r="3786" ht="14.25" customHeight="1">
      <c r="A3786" s="1">
        <v>107.0</v>
      </c>
      <c r="B3786" s="1">
        <v>3.6</v>
      </c>
      <c r="K3786" s="4"/>
      <c r="P3786" s="5"/>
      <c r="Q3786" s="24"/>
    </row>
    <row r="3787" ht="14.25" customHeight="1">
      <c r="A3787" s="1">
        <v>100.0</v>
      </c>
      <c r="B3787" s="1">
        <v>3.6</v>
      </c>
      <c r="K3787" s="4"/>
      <c r="P3787" s="5"/>
      <c r="Q3787" s="24"/>
    </row>
    <row r="3788" ht="14.25" customHeight="1">
      <c r="A3788" s="1">
        <v>100.0</v>
      </c>
      <c r="B3788" s="1">
        <v>3.6</v>
      </c>
      <c r="K3788" s="4"/>
      <c r="P3788" s="5"/>
      <c r="Q3788" s="24"/>
    </row>
    <row r="3789" ht="14.25" customHeight="1">
      <c r="A3789" s="1">
        <v>91.0</v>
      </c>
      <c r="B3789" s="1">
        <v>3.6</v>
      </c>
      <c r="K3789" s="4"/>
      <c r="P3789" s="5"/>
      <c r="Q3789" s="24"/>
    </row>
    <row r="3790" ht="14.25" customHeight="1">
      <c r="A3790" s="1">
        <v>91.0</v>
      </c>
      <c r="B3790" s="1">
        <v>3.6</v>
      </c>
      <c r="K3790" s="4"/>
      <c r="P3790" s="5"/>
      <c r="Q3790" s="24"/>
    </row>
    <row r="3791" ht="14.25" customHeight="1">
      <c r="A3791" s="1">
        <v>90.0</v>
      </c>
      <c r="B3791" s="1">
        <v>3.6</v>
      </c>
      <c r="K3791" s="4"/>
      <c r="P3791" s="5"/>
      <c r="Q3791" s="24"/>
    </row>
    <row r="3792" ht="14.25" customHeight="1">
      <c r="A3792" s="1">
        <v>89.0</v>
      </c>
      <c r="B3792" s="1">
        <v>3.6</v>
      </c>
      <c r="K3792" s="4"/>
      <c r="P3792" s="5"/>
      <c r="Q3792" s="24"/>
    </row>
    <row r="3793" ht="14.25" customHeight="1">
      <c r="A3793" s="1">
        <v>89.0</v>
      </c>
      <c r="B3793" s="1">
        <v>3.6</v>
      </c>
      <c r="K3793" s="4"/>
      <c r="P3793" s="5"/>
      <c r="Q3793" s="24"/>
    </row>
    <row r="3794" ht="14.25" customHeight="1">
      <c r="A3794" s="1">
        <v>85.0</v>
      </c>
      <c r="B3794" s="1">
        <v>3.6</v>
      </c>
      <c r="K3794" s="4"/>
      <c r="P3794" s="5"/>
      <c r="Q3794" s="24"/>
    </row>
    <row r="3795" ht="14.25" customHeight="1">
      <c r="A3795" s="1">
        <v>100.0</v>
      </c>
      <c r="B3795" s="1">
        <v>3.5</v>
      </c>
      <c r="K3795" s="4"/>
      <c r="P3795" s="5"/>
      <c r="Q3795" s="24"/>
    </row>
    <row r="3796" ht="14.25" customHeight="1">
      <c r="A3796" s="1">
        <v>99.0</v>
      </c>
      <c r="B3796" s="1">
        <v>3.5</v>
      </c>
      <c r="K3796" s="4"/>
      <c r="P3796" s="5"/>
      <c r="Q3796" s="24"/>
    </row>
    <row r="3797" ht="14.25" customHeight="1">
      <c r="A3797" s="1">
        <v>95.0</v>
      </c>
      <c r="B3797" s="1">
        <v>3.5</v>
      </c>
      <c r="K3797" s="4"/>
      <c r="P3797" s="5"/>
      <c r="Q3797" s="24"/>
    </row>
    <row r="3798" ht="14.25" customHeight="1">
      <c r="A3798" s="1">
        <v>93.0</v>
      </c>
      <c r="B3798" s="1">
        <v>3.5</v>
      </c>
      <c r="K3798" s="4"/>
      <c r="P3798" s="5"/>
      <c r="Q3798" s="24"/>
    </row>
    <row r="3799" ht="14.25" customHeight="1">
      <c r="A3799" s="1">
        <v>92.0</v>
      </c>
      <c r="B3799" s="1">
        <v>3.5</v>
      </c>
      <c r="K3799" s="4"/>
      <c r="P3799" s="5"/>
      <c r="Q3799" s="24"/>
    </row>
    <row r="3800" ht="14.25" customHeight="1">
      <c r="A3800" s="1">
        <v>88.0</v>
      </c>
      <c r="B3800" s="1">
        <v>3.5</v>
      </c>
      <c r="K3800" s="4"/>
      <c r="P3800" s="5"/>
      <c r="Q3800" s="24"/>
    </row>
    <row r="3801" ht="14.25" customHeight="1">
      <c r="A3801" s="1">
        <v>88.0</v>
      </c>
      <c r="B3801" s="1">
        <v>3.5</v>
      </c>
      <c r="K3801" s="4"/>
      <c r="P3801" s="5"/>
      <c r="Q3801" s="24"/>
    </row>
    <row r="3802" ht="14.25" customHeight="1">
      <c r="A3802" s="1">
        <v>86.0</v>
      </c>
      <c r="B3802" s="1">
        <v>3.5</v>
      </c>
      <c r="K3802" s="4"/>
      <c r="P3802" s="5"/>
      <c r="Q3802" s="24"/>
    </row>
    <row r="3803" ht="14.25" customHeight="1">
      <c r="A3803" s="1">
        <v>82.0</v>
      </c>
      <c r="B3803" s="1">
        <v>3.5</v>
      </c>
      <c r="K3803" s="4"/>
      <c r="P3803" s="5"/>
      <c r="Q3803" s="24"/>
    </row>
    <row r="3804" ht="14.25" customHeight="1">
      <c r="A3804" s="1">
        <v>120.0</v>
      </c>
      <c r="B3804" s="1">
        <v>3.4</v>
      </c>
      <c r="K3804" s="4"/>
      <c r="P3804" s="5"/>
      <c r="Q3804" s="24"/>
    </row>
    <row r="3805" ht="14.25" customHeight="1">
      <c r="A3805" s="1">
        <v>91.0</v>
      </c>
      <c r="B3805" s="1">
        <v>3.4</v>
      </c>
      <c r="K3805" s="4"/>
      <c r="P3805" s="5"/>
      <c r="Q3805" s="24"/>
    </row>
    <row r="3806" ht="14.25" customHeight="1">
      <c r="A3806" s="1">
        <v>85.0</v>
      </c>
      <c r="B3806" s="1">
        <v>3.4</v>
      </c>
      <c r="K3806" s="4"/>
      <c r="P3806" s="5"/>
      <c r="Q3806" s="24"/>
    </row>
    <row r="3807" ht="14.25" customHeight="1">
      <c r="A3807" s="1">
        <v>120.0</v>
      </c>
      <c r="B3807" s="1">
        <v>3.3</v>
      </c>
      <c r="K3807" s="4"/>
      <c r="P3807" s="5"/>
      <c r="Q3807" s="24"/>
    </row>
    <row r="3808" ht="14.25" customHeight="1">
      <c r="A3808" s="1">
        <v>103.0</v>
      </c>
      <c r="B3808" s="1">
        <v>3.3</v>
      </c>
      <c r="K3808" s="4"/>
      <c r="P3808" s="5"/>
      <c r="Q3808" s="24"/>
    </row>
    <row r="3809" ht="14.25" customHeight="1">
      <c r="A3809" s="1">
        <v>101.0</v>
      </c>
      <c r="B3809" s="1">
        <v>3.3</v>
      </c>
      <c r="K3809" s="4"/>
      <c r="P3809" s="5"/>
      <c r="Q3809" s="24"/>
    </row>
    <row r="3810" ht="14.25" customHeight="1">
      <c r="A3810" s="1">
        <v>97.0</v>
      </c>
      <c r="B3810" s="1">
        <v>3.3</v>
      </c>
      <c r="K3810" s="4"/>
      <c r="P3810" s="5"/>
      <c r="Q3810" s="24"/>
    </row>
    <row r="3811" ht="14.25" customHeight="1">
      <c r="A3811" s="1">
        <v>97.0</v>
      </c>
      <c r="B3811" s="1">
        <v>3.3</v>
      </c>
      <c r="K3811" s="4"/>
      <c r="P3811" s="5"/>
      <c r="Q3811" s="24"/>
    </row>
    <row r="3812" ht="14.25" customHeight="1">
      <c r="A3812" s="1">
        <v>93.0</v>
      </c>
      <c r="B3812" s="1">
        <v>3.3</v>
      </c>
      <c r="K3812" s="4"/>
      <c r="P3812" s="5"/>
      <c r="Q3812" s="24"/>
    </row>
    <row r="3813" ht="14.25" customHeight="1">
      <c r="A3813" s="1">
        <v>93.0</v>
      </c>
      <c r="B3813" s="1">
        <v>3.3</v>
      </c>
      <c r="K3813" s="4"/>
      <c r="P3813" s="5"/>
      <c r="Q3813" s="24"/>
    </row>
    <row r="3814" ht="14.25" customHeight="1">
      <c r="A3814" s="1">
        <v>87.0</v>
      </c>
      <c r="B3814" s="1">
        <v>3.3</v>
      </c>
      <c r="K3814" s="4"/>
      <c r="P3814" s="5"/>
      <c r="Q3814" s="24"/>
    </row>
    <row r="3815" ht="14.25" customHeight="1">
      <c r="A3815" s="1">
        <v>83.0</v>
      </c>
      <c r="B3815" s="1">
        <v>3.3</v>
      </c>
      <c r="K3815" s="4"/>
      <c r="P3815" s="5"/>
      <c r="Q3815" s="24"/>
    </row>
    <row r="3816" ht="14.25" customHeight="1">
      <c r="A3816" s="1">
        <v>80.0</v>
      </c>
      <c r="B3816" s="1">
        <v>3.3</v>
      </c>
      <c r="K3816" s="4"/>
      <c r="P3816" s="5"/>
      <c r="Q3816" s="24"/>
    </row>
    <row r="3817" ht="14.25" customHeight="1">
      <c r="A3817" s="1">
        <v>95.0</v>
      </c>
      <c r="B3817" s="1">
        <v>3.2</v>
      </c>
      <c r="K3817" s="4"/>
      <c r="P3817" s="5"/>
      <c r="Q3817" s="24"/>
    </row>
    <row r="3818" ht="14.25" customHeight="1">
      <c r="A3818" s="1">
        <v>110.0</v>
      </c>
      <c r="B3818" s="1">
        <v>3.1</v>
      </c>
      <c r="K3818" s="4"/>
      <c r="P3818" s="5"/>
      <c r="Q3818" s="24"/>
    </row>
    <row r="3819" ht="14.25" customHeight="1">
      <c r="A3819" s="1">
        <v>97.0</v>
      </c>
      <c r="B3819" s="1">
        <v>3.1</v>
      </c>
      <c r="K3819" s="4"/>
      <c r="P3819" s="5"/>
      <c r="Q3819" s="24"/>
    </row>
    <row r="3820" ht="14.25" customHeight="1">
      <c r="A3820" s="1">
        <v>89.0</v>
      </c>
      <c r="B3820" s="1">
        <v>3.1</v>
      </c>
      <c r="K3820" s="4"/>
      <c r="P3820" s="5"/>
      <c r="Q3820" s="24"/>
    </row>
    <row r="3821" ht="14.25" customHeight="1">
      <c r="A3821" s="1">
        <v>99.0</v>
      </c>
      <c r="B3821" s="1">
        <v>3.0</v>
      </c>
      <c r="K3821" s="4"/>
      <c r="P3821" s="5"/>
      <c r="Q3821" s="24"/>
    </row>
    <row r="3822" ht="14.25" customHeight="1">
      <c r="A3822" s="1">
        <v>98.0</v>
      </c>
      <c r="B3822" s="1">
        <v>3.0</v>
      </c>
      <c r="K3822" s="4"/>
      <c r="P3822" s="5"/>
      <c r="Q3822" s="24"/>
    </row>
    <row r="3823" ht="14.25" customHeight="1">
      <c r="A3823" s="1">
        <v>97.0</v>
      </c>
      <c r="B3823" s="1">
        <v>3.0</v>
      </c>
      <c r="K3823" s="4"/>
      <c r="P3823" s="5"/>
      <c r="Q3823" s="24"/>
    </row>
    <row r="3824" ht="14.25" customHeight="1">
      <c r="A3824" s="1">
        <v>92.0</v>
      </c>
      <c r="B3824" s="1">
        <v>2.9</v>
      </c>
      <c r="K3824" s="4"/>
      <c r="P3824" s="5"/>
      <c r="Q3824" s="24"/>
    </row>
    <row r="3825" ht="14.25" customHeight="1">
      <c r="A3825" s="1">
        <v>89.0</v>
      </c>
      <c r="B3825" s="1">
        <v>2.9</v>
      </c>
      <c r="K3825" s="4"/>
      <c r="P3825" s="5"/>
      <c r="Q3825" s="24"/>
    </row>
    <row r="3826" ht="14.25" customHeight="1">
      <c r="A3826" s="1">
        <v>97.0</v>
      </c>
      <c r="B3826" s="1">
        <v>2.8</v>
      </c>
      <c r="K3826" s="4"/>
      <c r="P3826" s="5"/>
      <c r="Q3826" s="24"/>
    </row>
    <row r="3827" ht="14.25" customHeight="1">
      <c r="A3827" s="1">
        <v>92.0</v>
      </c>
      <c r="B3827" s="1">
        <v>2.8</v>
      </c>
      <c r="K3827" s="4"/>
      <c r="P3827" s="5"/>
      <c r="Q3827" s="24"/>
    </row>
    <row r="3828" ht="14.25" customHeight="1">
      <c r="A3828" s="1">
        <v>80.0</v>
      </c>
      <c r="B3828" s="1">
        <v>2.8</v>
      </c>
      <c r="K3828" s="4"/>
      <c r="P3828" s="5"/>
      <c r="Q3828" s="24"/>
    </row>
    <row r="3829" ht="14.25" customHeight="1">
      <c r="A3829" s="1">
        <v>77.0</v>
      </c>
      <c r="B3829" s="1">
        <v>2.8</v>
      </c>
      <c r="K3829" s="4"/>
      <c r="P3829" s="5"/>
      <c r="Q3829" s="24"/>
    </row>
    <row r="3830" ht="14.25" customHeight="1">
      <c r="A3830" s="1">
        <v>76.0</v>
      </c>
      <c r="B3830" s="1">
        <v>2.8</v>
      </c>
      <c r="K3830" s="4"/>
      <c r="P3830" s="5"/>
      <c r="Q3830" s="24"/>
    </row>
    <row r="3831" ht="14.25" customHeight="1">
      <c r="A3831" s="1">
        <v>100.0</v>
      </c>
      <c r="B3831" s="1">
        <v>2.7</v>
      </c>
      <c r="K3831" s="4"/>
      <c r="P3831" s="5"/>
      <c r="Q3831" s="24"/>
    </row>
    <row r="3832" ht="14.25" customHeight="1">
      <c r="A3832" s="1">
        <v>96.0</v>
      </c>
      <c r="B3832" s="1">
        <v>2.7</v>
      </c>
      <c r="K3832" s="4"/>
      <c r="P3832" s="5"/>
      <c r="Q3832" s="24"/>
    </row>
    <row r="3833" ht="14.25" customHeight="1">
      <c r="A3833" s="1">
        <v>86.0</v>
      </c>
      <c r="B3833" s="1">
        <v>2.7</v>
      </c>
      <c r="K3833" s="4"/>
      <c r="P3833" s="5"/>
      <c r="Q3833" s="24"/>
    </row>
    <row r="3834" ht="14.25" customHeight="1">
      <c r="A3834" s="1">
        <v>85.0</v>
      </c>
      <c r="B3834" s="1">
        <v>2.7</v>
      </c>
      <c r="K3834" s="4"/>
      <c r="P3834" s="5"/>
      <c r="Q3834" s="24"/>
    </row>
    <row r="3835" ht="14.25" customHeight="1">
      <c r="A3835" s="1">
        <v>97.0</v>
      </c>
      <c r="B3835" s="1">
        <v>2.5</v>
      </c>
      <c r="K3835" s="4"/>
      <c r="P3835" s="5"/>
      <c r="Q3835" s="24"/>
    </row>
    <row r="3836" ht="14.25" customHeight="1">
      <c r="A3836" s="1">
        <v>121.0</v>
      </c>
      <c r="B3836" s="1">
        <v>2.4</v>
      </c>
      <c r="K3836" s="4"/>
      <c r="P3836" s="5"/>
      <c r="Q3836" s="24"/>
    </row>
    <row r="3837" ht="14.25" customHeight="1">
      <c r="A3837" s="1">
        <v>119.0</v>
      </c>
      <c r="B3837" s="1">
        <v>2.4</v>
      </c>
      <c r="K3837" s="4"/>
      <c r="P3837" s="5"/>
      <c r="Q3837" s="24"/>
    </row>
    <row r="3838" ht="14.25" customHeight="1">
      <c r="A3838" s="1">
        <v>95.0</v>
      </c>
      <c r="B3838" s="1">
        <v>2.3</v>
      </c>
      <c r="K3838" s="4"/>
      <c r="P3838" s="5"/>
      <c r="Q3838" s="24"/>
    </row>
    <row r="3839" ht="14.25" customHeight="1">
      <c r="A3839" s="1">
        <v>94.0</v>
      </c>
      <c r="B3839" s="1">
        <v>2.3</v>
      </c>
      <c r="K3839" s="4"/>
      <c r="P3839" s="5"/>
      <c r="Q3839" s="24"/>
    </row>
    <row r="3840" ht="14.25" customHeight="1">
      <c r="A3840" s="1">
        <v>93.0</v>
      </c>
      <c r="B3840" s="1">
        <v>2.3</v>
      </c>
      <c r="K3840" s="4"/>
      <c r="P3840" s="5"/>
      <c r="Q3840" s="24"/>
    </row>
    <row r="3841" ht="14.25" customHeight="1">
      <c r="A3841" s="1">
        <v>94.0</v>
      </c>
      <c r="B3841" s="1">
        <v>2.2</v>
      </c>
      <c r="K3841" s="4"/>
      <c r="P3841" s="5"/>
      <c r="Q3841" s="24"/>
    </row>
    <row r="3842" ht="14.25" customHeight="1">
      <c r="A3842" s="1">
        <v>104.0</v>
      </c>
      <c r="B3842" s="1">
        <v>2.1</v>
      </c>
      <c r="K3842" s="4"/>
      <c r="P3842" s="5"/>
      <c r="Q3842" s="24"/>
    </row>
    <row r="3843" ht="14.25" customHeight="1">
      <c r="A3843" s="1">
        <v>95.0</v>
      </c>
      <c r="B3843" s="1">
        <v>2.1</v>
      </c>
      <c r="K3843" s="4"/>
      <c r="P3843" s="5"/>
      <c r="Q3843" s="24"/>
    </row>
    <row r="3844" ht="14.25" customHeight="1">
      <c r="A3844" s="1">
        <v>90.0</v>
      </c>
      <c r="B3844" s="1">
        <v>2.1</v>
      </c>
      <c r="K3844" s="4"/>
      <c r="P3844" s="5"/>
      <c r="Q3844" s="24"/>
    </row>
    <row r="3845" ht="14.25" customHeight="1">
      <c r="A3845" s="1">
        <v>93.0</v>
      </c>
      <c r="B3845" s="1">
        <v>2.0</v>
      </c>
      <c r="K3845" s="4"/>
      <c r="P3845" s="5"/>
      <c r="Q3845" s="24"/>
    </row>
    <row r="3846" ht="14.25" customHeight="1">
      <c r="A3846" s="1">
        <v>88.0</v>
      </c>
      <c r="B3846" s="1">
        <v>1.9</v>
      </c>
      <c r="K3846" s="4"/>
      <c r="P3846" s="5"/>
      <c r="Q3846" s="24"/>
    </row>
    <row r="3847" ht="14.25" customHeight="1">
      <c r="A3847" s="1">
        <v>88.0</v>
      </c>
      <c r="B3847" s="1">
        <v>1.9</v>
      </c>
      <c r="K3847" s="4"/>
      <c r="P3847" s="5"/>
      <c r="Q3847" s="24"/>
    </row>
    <row r="3848" ht="14.25" customHeight="1">
      <c r="A3848" s="1">
        <v>115.0</v>
      </c>
      <c r="B3848" s="1">
        <v>1.6</v>
      </c>
      <c r="K3848" s="4"/>
      <c r="P3848" s="5"/>
      <c r="Q3848" s="2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0"/>
    <col customWidth="1" min="3" max="5" width="8.71"/>
    <col customWidth="1" min="6" max="6" width="13.57"/>
    <col customWidth="1" min="7" max="7" width="16.71"/>
    <col customWidth="1" min="8" max="8" width="24.29"/>
    <col customWidth="1" min="9" max="9" width="23.71"/>
    <col customWidth="1" min="10" max="10" width="21.71"/>
    <col customWidth="1" min="11" max="20" width="8.71"/>
  </cols>
  <sheetData>
    <row r="1" ht="14.25" customHeight="1">
      <c r="A1" s="28" t="s">
        <v>7813</v>
      </c>
      <c r="B1" s="28" t="s">
        <v>7809</v>
      </c>
      <c r="F1" s="29" t="s">
        <v>7814</v>
      </c>
      <c r="G1" s="29" t="s">
        <v>7815</v>
      </c>
      <c r="H1" s="29" t="s">
        <v>7816</v>
      </c>
      <c r="I1" s="29" t="s">
        <v>7817</v>
      </c>
      <c r="J1" s="30" t="s">
        <v>7812</v>
      </c>
    </row>
    <row r="2" ht="14.25" customHeight="1">
      <c r="A2" s="8" t="s">
        <v>16</v>
      </c>
      <c r="B2" s="8">
        <v>7.9</v>
      </c>
      <c r="F2" s="4" t="s">
        <v>16</v>
      </c>
      <c r="G2" s="4">
        <f t="shared" ref="G2:G38" si="1">COUNTIF(A:A,F2)</f>
        <v>3668</v>
      </c>
      <c r="H2" s="15">
        <f t="shared" ref="H2:H38" si="2">AVERAGEIF(A:A,F2,B:B)</f>
        <v>6.423909487</v>
      </c>
      <c r="I2" s="15">
        <f t="array" ref="I2">MEDIAN(IF(A:A=F2,B:B))</f>
        <v>6.5</v>
      </c>
      <c r="J2" s="15">
        <f t="shared" ref="J2:J8" si="3">STDEV($A2:$A3848,F2,$B2:B3848)</f>
        <v>1.053420054</v>
      </c>
    </row>
    <row r="3" ht="14.25" customHeight="1">
      <c r="A3" s="8" t="s">
        <v>16</v>
      </c>
      <c r="B3" s="8">
        <v>7.1</v>
      </c>
      <c r="F3" s="4" t="s">
        <v>1189</v>
      </c>
      <c r="G3" s="4">
        <f t="shared" si="1"/>
        <v>37</v>
      </c>
      <c r="H3" s="15">
        <f t="shared" si="2"/>
        <v>7.286486486</v>
      </c>
      <c r="I3" s="15">
        <f t="array" ref="I3">MEDIAN(IF(A:A=F3,B:B))</f>
        <v>7.2</v>
      </c>
      <c r="J3" s="15">
        <f t="shared" si="3"/>
        <v>1.053302283</v>
      </c>
    </row>
    <row r="4" ht="14.25" customHeight="1">
      <c r="A4" s="8" t="s">
        <v>16</v>
      </c>
      <c r="B4" s="8">
        <v>6.8</v>
      </c>
      <c r="F4" s="4" t="s">
        <v>1144</v>
      </c>
      <c r="G4" s="4">
        <f t="shared" si="1"/>
        <v>26</v>
      </c>
      <c r="H4" s="15">
        <f t="shared" si="2"/>
        <v>7.05</v>
      </c>
      <c r="I4" s="15">
        <f t="array" ref="I4">MEDIAN(IF(A:A=F4,B:B))</f>
        <v>7.15</v>
      </c>
      <c r="J4" s="15">
        <f t="shared" si="3"/>
        <v>1.053389205</v>
      </c>
    </row>
    <row r="5" ht="14.25" customHeight="1">
      <c r="A5" s="8" t="s">
        <v>16</v>
      </c>
      <c r="B5" s="8">
        <v>8.5</v>
      </c>
      <c r="F5" s="4" t="s">
        <v>816</v>
      </c>
      <c r="G5" s="4">
        <f t="shared" si="1"/>
        <v>14</v>
      </c>
      <c r="H5" s="15">
        <f t="shared" si="2"/>
        <v>7.021428571</v>
      </c>
      <c r="I5" s="15">
        <f t="array" ref="I5">MEDIAN(IF(A:A=F5,B:B))</f>
        <v>7.25</v>
      </c>
      <c r="J5" s="15">
        <f t="shared" si="3"/>
        <v>1.053512227</v>
      </c>
    </row>
    <row r="6" ht="14.25" customHeight="1">
      <c r="A6" s="8" t="s">
        <v>16</v>
      </c>
      <c r="B6" s="8">
        <v>6.6</v>
      </c>
      <c r="F6" s="4" t="s">
        <v>4449</v>
      </c>
      <c r="G6" s="4">
        <f t="shared" si="1"/>
        <v>13</v>
      </c>
      <c r="H6" s="15">
        <f t="shared" si="2"/>
        <v>7.692307692</v>
      </c>
      <c r="I6" s="15">
        <f t="array" ref="I6">MEDIAN(IF(A:A=F6,B:B))</f>
        <v>7.7</v>
      </c>
      <c r="J6" s="15">
        <f t="shared" si="3"/>
        <v>1.053136563</v>
      </c>
    </row>
    <row r="7" ht="14.25" customHeight="1">
      <c r="A7" s="8" t="s">
        <v>16</v>
      </c>
      <c r="B7" s="8">
        <v>6.2</v>
      </c>
      <c r="F7" s="4" t="s">
        <v>3076</v>
      </c>
      <c r="G7" s="4">
        <f t="shared" si="1"/>
        <v>12</v>
      </c>
      <c r="H7" s="15">
        <f t="shared" si="2"/>
        <v>7.625</v>
      </c>
      <c r="I7" s="15">
        <f t="array" ref="I7">MEDIAN(IF(A:A=F7,B:B))</f>
        <v>7.8</v>
      </c>
      <c r="J7" s="15">
        <f t="shared" si="3"/>
        <v>1.053271308</v>
      </c>
    </row>
    <row r="8" ht="14.25" customHeight="1">
      <c r="A8" s="8" t="s">
        <v>16</v>
      </c>
      <c r="B8" s="8">
        <v>7.8</v>
      </c>
      <c r="F8" s="4" t="s">
        <v>5555</v>
      </c>
      <c r="G8" s="4">
        <f t="shared" si="1"/>
        <v>10</v>
      </c>
      <c r="H8" s="15">
        <f t="shared" si="2"/>
        <v>6.76</v>
      </c>
      <c r="I8" s="15">
        <f t="array" ref="I8">MEDIAN(IF(A:A=F8,B:B))</f>
        <v>7.05</v>
      </c>
      <c r="J8" s="15">
        <f t="shared" si="3"/>
        <v>1.053399928</v>
      </c>
    </row>
    <row r="9" ht="14.25" customHeight="1">
      <c r="A9" s="8" t="s">
        <v>16</v>
      </c>
      <c r="B9" s="8">
        <v>7.5</v>
      </c>
      <c r="F9" s="4" t="s">
        <v>2884</v>
      </c>
      <c r="G9" s="4">
        <f t="shared" si="1"/>
        <v>8</v>
      </c>
      <c r="H9" s="15">
        <f t="shared" si="2"/>
        <v>7.2375</v>
      </c>
      <c r="I9" s="15">
        <f t="array" ref="I9">MEDIAN(IF(A:A=F9,B:B))</f>
        <v>7.3</v>
      </c>
      <c r="J9" s="15">
        <f>STDEV($A9:$A3855,F9,$B9:$B3855)</f>
        <v>1.053315887</v>
      </c>
    </row>
    <row r="10" ht="14.25" customHeight="1">
      <c r="A10" s="8" t="s">
        <v>16</v>
      </c>
      <c r="B10" s="8">
        <v>7.5</v>
      </c>
      <c r="F10" s="4" t="s">
        <v>3818</v>
      </c>
      <c r="G10" s="4">
        <f t="shared" si="1"/>
        <v>7</v>
      </c>
      <c r="H10" s="15">
        <f t="shared" si="2"/>
        <v>7.185714286</v>
      </c>
      <c r="I10" s="15">
        <f t="array" ref="I10">MEDIAN(IF(A:A=F10,B:B))</f>
        <v>7</v>
      </c>
      <c r="J10" s="15">
        <f t="shared" ref="J10:J18" si="4">STDEV($A10:$A3856,F10,$B10:B3856)</f>
        <v>1.053319855</v>
      </c>
    </row>
    <row r="11" ht="14.25" customHeight="1">
      <c r="A11" s="8" t="s">
        <v>16</v>
      </c>
      <c r="B11" s="8">
        <v>6.9</v>
      </c>
      <c r="F11" s="4" t="s">
        <v>5316</v>
      </c>
      <c r="G11" s="4">
        <f t="shared" si="1"/>
        <v>5</v>
      </c>
      <c r="H11" s="15">
        <f t="shared" si="2"/>
        <v>7.7</v>
      </c>
      <c r="I11" s="15">
        <f t="array" ref="I11">MEDIAN(IF(A:A=F11,B:B))</f>
        <v>7.7</v>
      </c>
      <c r="J11" s="15">
        <f t="shared" si="4"/>
        <v>1.053323756</v>
      </c>
    </row>
    <row r="12" ht="14.25" customHeight="1">
      <c r="A12" s="8" t="s">
        <v>16</v>
      </c>
      <c r="B12" s="8">
        <v>6.1</v>
      </c>
      <c r="F12" s="4" t="s">
        <v>6182</v>
      </c>
      <c r="G12" s="4">
        <f t="shared" si="1"/>
        <v>5</v>
      </c>
      <c r="H12" s="15">
        <f t="shared" si="2"/>
        <v>7.76</v>
      </c>
      <c r="I12" s="15">
        <f t="array" ref="I12">MEDIAN(IF(A:A=F12,B:B))</f>
        <v>8</v>
      </c>
      <c r="J12" s="15">
        <f t="shared" si="4"/>
        <v>1.053437258</v>
      </c>
    </row>
    <row r="13" ht="14.25" customHeight="1">
      <c r="A13" s="8" t="s">
        <v>16</v>
      </c>
      <c r="B13" s="8">
        <v>6.7</v>
      </c>
      <c r="F13" s="4" t="s">
        <v>6375</v>
      </c>
      <c r="G13" s="4">
        <f t="shared" si="1"/>
        <v>4</v>
      </c>
      <c r="H13" s="15">
        <f t="shared" si="2"/>
        <v>7.15</v>
      </c>
      <c r="I13" s="15">
        <f t="array" ref="I13">MEDIAN(IF(A:A=F13,B:B))</f>
        <v>7.3</v>
      </c>
      <c r="J13" s="15">
        <f t="shared" si="4"/>
        <v>1.053558417</v>
      </c>
    </row>
    <row r="14" ht="14.25" customHeight="1">
      <c r="A14" s="8" t="s">
        <v>16</v>
      </c>
      <c r="B14" s="8">
        <v>7.3</v>
      </c>
      <c r="F14" s="4" t="s">
        <v>5892</v>
      </c>
      <c r="G14" s="4">
        <f t="shared" si="1"/>
        <v>3</v>
      </c>
      <c r="H14" s="15">
        <f t="shared" si="2"/>
        <v>7.9</v>
      </c>
      <c r="I14" s="15">
        <f t="array" ref="I14">MEDIAN(IF(A:A=F14,B:B))</f>
        <v>8.1</v>
      </c>
      <c r="J14" s="15">
        <f t="shared" si="4"/>
        <v>1.053688769</v>
      </c>
    </row>
    <row r="15" ht="14.25" customHeight="1">
      <c r="A15" s="8" t="s">
        <v>16</v>
      </c>
      <c r="B15" s="8">
        <v>6.5</v>
      </c>
      <c r="F15" s="4" t="s">
        <v>4061</v>
      </c>
      <c r="G15" s="4">
        <f t="shared" si="1"/>
        <v>3</v>
      </c>
      <c r="H15" s="15">
        <f t="shared" si="2"/>
        <v>7.566666667</v>
      </c>
      <c r="I15" s="15">
        <f t="array" ref="I15">MEDIAN(IF(A:A=F15,B:B))</f>
        <v>7.8</v>
      </c>
      <c r="J15" s="15">
        <f t="shared" si="4"/>
        <v>1.053739161</v>
      </c>
    </row>
    <row r="16" ht="14.25" customHeight="1">
      <c r="A16" s="8" t="s">
        <v>16</v>
      </c>
      <c r="B16" s="8">
        <v>7.2</v>
      </c>
      <c r="F16" s="4" t="s">
        <v>7043</v>
      </c>
      <c r="G16" s="4">
        <f t="shared" si="1"/>
        <v>3</v>
      </c>
      <c r="H16" s="15">
        <f t="shared" si="2"/>
        <v>7.5</v>
      </c>
      <c r="I16" s="15">
        <f t="array" ref="I16">MEDIAN(IF(A:A=F16,B:B))</f>
        <v>7.3</v>
      </c>
      <c r="J16" s="15">
        <f t="shared" si="4"/>
        <v>1.053876459</v>
      </c>
    </row>
    <row r="17" ht="14.25" customHeight="1">
      <c r="A17" s="8" t="s">
        <v>16</v>
      </c>
      <c r="B17" s="8">
        <v>6.6</v>
      </c>
      <c r="F17" s="4" t="s">
        <v>7414</v>
      </c>
      <c r="G17" s="4">
        <f t="shared" si="1"/>
        <v>3</v>
      </c>
      <c r="H17" s="15">
        <f t="shared" si="2"/>
        <v>8.133333333</v>
      </c>
      <c r="I17" s="15">
        <f t="array" ref="I17">MEDIAN(IF(A:A=F17,B:B))</f>
        <v>8.4</v>
      </c>
      <c r="J17" s="15">
        <f t="shared" si="4"/>
        <v>1.053946409</v>
      </c>
    </row>
    <row r="18" ht="14.25" customHeight="1">
      <c r="A18" s="8" t="s">
        <v>16</v>
      </c>
      <c r="B18" s="8">
        <v>8.1</v>
      </c>
      <c r="F18" s="4" t="s">
        <v>5059</v>
      </c>
      <c r="G18" s="4">
        <f t="shared" si="1"/>
        <v>3</v>
      </c>
      <c r="H18" s="15">
        <f t="shared" si="2"/>
        <v>6.633333333</v>
      </c>
      <c r="I18" s="15">
        <f t="array" ref="I18">MEDIAN(IF(A:A=F18,B:B))</f>
        <v>6.6</v>
      </c>
      <c r="J18" s="15">
        <f t="shared" si="4"/>
        <v>1.054081601</v>
      </c>
    </row>
    <row r="19" ht="14.25" customHeight="1">
      <c r="A19" s="8" t="s">
        <v>16</v>
      </c>
      <c r="B19" s="8">
        <v>6.7</v>
      </c>
      <c r="F19" s="4" t="s">
        <v>941</v>
      </c>
      <c r="G19" s="4">
        <f t="shared" si="1"/>
        <v>2</v>
      </c>
      <c r="H19" s="15">
        <f t="shared" si="2"/>
        <v>6.95</v>
      </c>
      <c r="I19" s="15">
        <f t="array" ref="I19">MEDIAN(IF(A:A=F19,B:B))</f>
        <v>6.95</v>
      </c>
      <c r="J19" s="15">
        <f>STDEV($A19:$A3865,F19,$B19:$B3865)</f>
        <v>1.053886385</v>
      </c>
    </row>
    <row r="20" ht="14.25" customHeight="1">
      <c r="A20" s="8" t="s">
        <v>16</v>
      </c>
      <c r="B20" s="8">
        <v>6.8</v>
      </c>
      <c r="F20" s="4" t="s">
        <v>4300</v>
      </c>
      <c r="G20" s="4">
        <f t="shared" si="1"/>
        <v>2</v>
      </c>
      <c r="H20" s="15">
        <f t="shared" si="2"/>
        <v>7.5</v>
      </c>
      <c r="I20" s="15">
        <f t="array" ref="I20">MEDIAN(IF(A:A=F20,B:B))</f>
        <v>7.5</v>
      </c>
      <c r="J20" s="15">
        <f t="shared" ref="J20:J21" si="5">STDEV($A20:$A3866,F20,$B20:B3866)</f>
        <v>1.05401693</v>
      </c>
    </row>
    <row r="21" ht="14.25" customHeight="1">
      <c r="A21" s="8" t="s">
        <v>16</v>
      </c>
      <c r="B21" s="8">
        <v>7.5</v>
      </c>
      <c r="F21" s="4" t="s">
        <v>7276</v>
      </c>
      <c r="G21" s="4">
        <f t="shared" si="1"/>
        <v>2</v>
      </c>
      <c r="H21" s="15">
        <f t="shared" si="2"/>
        <v>7.9</v>
      </c>
      <c r="I21" s="15">
        <f t="array" ref="I21">MEDIAN(IF(A:A=F21,B:B))</f>
        <v>7.9</v>
      </c>
      <c r="J21" s="15">
        <f t="shared" si="5"/>
        <v>1.054140348</v>
      </c>
    </row>
    <row r="22" ht="14.25" customHeight="1">
      <c r="A22" s="8" t="s">
        <v>16</v>
      </c>
      <c r="B22" s="8">
        <v>7.0</v>
      </c>
      <c r="F22" s="4" t="s">
        <v>7140</v>
      </c>
      <c r="G22" s="4">
        <f t="shared" si="1"/>
        <v>1</v>
      </c>
      <c r="H22" s="15">
        <f t="shared" si="2"/>
        <v>7.2</v>
      </c>
      <c r="I22" s="15">
        <f t="array" ref="I22">MEDIAN(IF(A:A=F22,B:B))</f>
        <v>7.2</v>
      </c>
      <c r="J22" s="15">
        <f t="shared" ref="J22:J25" si="6">STDEV($A22:$A3868,F22,$B22:$B3868)</f>
        <v>1.054144113</v>
      </c>
    </row>
    <row r="23" ht="14.25" customHeight="1">
      <c r="A23" s="8" t="s">
        <v>16</v>
      </c>
      <c r="B23" s="8">
        <v>6.7</v>
      </c>
      <c r="F23" s="4" t="s">
        <v>3659</v>
      </c>
      <c r="G23" s="4">
        <f t="shared" si="1"/>
        <v>1</v>
      </c>
      <c r="H23" s="15">
        <f t="shared" si="2"/>
        <v>7.1</v>
      </c>
      <c r="I23" s="15">
        <f t="array" ref="I23">MEDIAN(IF(A:A=F23,B:B))</f>
        <v>7.1</v>
      </c>
      <c r="J23" s="15">
        <f t="shared" si="6"/>
        <v>1.054245766</v>
      </c>
    </row>
    <row r="24" ht="14.25" customHeight="1">
      <c r="A24" s="8" t="s">
        <v>16</v>
      </c>
      <c r="B24" s="8">
        <v>7.9</v>
      </c>
      <c r="F24" s="4" t="s">
        <v>5276</v>
      </c>
      <c r="G24" s="4">
        <f t="shared" si="1"/>
        <v>1</v>
      </c>
      <c r="H24" s="15">
        <f t="shared" si="2"/>
        <v>4.3</v>
      </c>
      <c r="I24" s="15">
        <f t="array" ref="I24">MEDIAN(IF(A:A=F24,B:B))</f>
        <v>4.3</v>
      </c>
      <c r="J24" s="15">
        <f t="shared" si="6"/>
        <v>1.054376464</v>
      </c>
    </row>
    <row r="25" ht="14.25" customHeight="1">
      <c r="A25" s="8" t="s">
        <v>16</v>
      </c>
      <c r="B25" s="8">
        <v>6.1</v>
      </c>
      <c r="F25" s="4" t="s">
        <v>6539</v>
      </c>
      <c r="G25" s="4">
        <f t="shared" si="1"/>
        <v>1</v>
      </c>
      <c r="H25" s="15">
        <f t="shared" si="2"/>
        <v>7.4</v>
      </c>
      <c r="I25" s="15">
        <f t="array" ref="I25">MEDIAN(IF(A:A=F25,B:B))</f>
        <v>7.4</v>
      </c>
      <c r="J25" s="15">
        <f t="shared" si="6"/>
        <v>1.054257084</v>
      </c>
    </row>
    <row r="26" ht="14.25" customHeight="1">
      <c r="A26" s="8" t="s">
        <v>16</v>
      </c>
      <c r="B26" s="8">
        <v>7.2</v>
      </c>
      <c r="F26" s="4" t="s">
        <v>7116</v>
      </c>
      <c r="G26" s="4">
        <f t="shared" si="1"/>
        <v>1</v>
      </c>
      <c r="H26" s="15">
        <f t="shared" si="2"/>
        <v>7.5</v>
      </c>
      <c r="I26" s="15">
        <f t="array" ref="I26">MEDIAN(IF(A:A=F26,B:B))</f>
        <v>7.5</v>
      </c>
      <c r="J26" s="15">
        <f t="shared" ref="J26:J38" si="7">STDEV($A26:$A3872,F26,$B26:B3872)</f>
        <v>1.054378942</v>
      </c>
    </row>
    <row r="27" ht="14.25" customHeight="1">
      <c r="A27" s="8" t="s">
        <v>16</v>
      </c>
      <c r="B27" s="8">
        <v>7.7</v>
      </c>
      <c r="F27" s="4" t="s">
        <v>1805</v>
      </c>
      <c r="G27" s="4">
        <f t="shared" si="1"/>
        <v>1</v>
      </c>
      <c r="H27" s="15">
        <f t="shared" si="2"/>
        <v>6.7</v>
      </c>
      <c r="I27" s="15">
        <f t="array" ref="I27">MEDIAN(IF(A:A=F27,B:B))</f>
        <v>6.7</v>
      </c>
      <c r="J27" s="15">
        <f t="shared" si="7"/>
        <v>1.054448885</v>
      </c>
    </row>
    <row r="28" ht="14.25" customHeight="1">
      <c r="A28" s="8" t="s">
        <v>16</v>
      </c>
      <c r="B28" s="8">
        <v>8.2</v>
      </c>
      <c r="F28" s="4" t="s">
        <v>5465</v>
      </c>
      <c r="G28" s="4">
        <f t="shared" si="1"/>
        <v>1</v>
      </c>
      <c r="H28" s="15">
        <f t="shared" si="2"/>
        <v>7.1</v>
      </c>
      <c r="I28" s="15">
        <f t="array" ref="I28">MEDIAN(IF(A:A=F28,B:B))</f>
        <v>7.1</v>
      </c>
      <c r="J28" s="15">
        <f t="shared" si="7"/>
        <v>1.054395848</v>
      </c>
    </row>
    <row r="29" ht="14.25" customHeight="1">
      <c r="A29" s="8" t="s">
        <v>16</v>
      </c>
      <c r="B29" s="8">
        <v>5.9</v>
      </c>
      <c r="F29" s="4" t="s">
        <v>5822</v>
      </c>
      <c r="G29" s="4">
        <f t="shared" si="1"/>
        <v>1</v>
      </c>
      <c r="H29" s="15">
        <f t="shared" si="2"/>
        <v>6.9</v>
      </c>
      <c r="I29" s="15">
        <f t="array" ref="I29">MEDIAN(IF(A:A=F29,B:B))</f>
        <v>6.9</v>
      </c>
      <c r="J29" s="15">
        <f t="shared" si="7"/>
        <v>1.054157497</v>
      </c>
    </row>
    <row r="30" ht="14.25" customHeight="1">
      <c r="A30" s="8" t="s">
        <v>16</v>
      </c>
      <c r="B30" s="8">
        <v>7.0</v>
      </c>
      <c r="F30" s="4" t="s">
        <v>2749</v>
      </c>
      <c r="G30" s="4">
        <f t="shared" si="1"/>
        <v>1</v>
      </c>
      <c r="H30" s="15">
        <f t="shared" si="2"/>
        <v>6</v>
      </c>
      <c r="I30" s="15">
        <f t="array" ref="I30">MEDIAN(IF(A:A=F30,B:B))</f>
        <v>6</v>
      </c>
      <c r="J30" s="15">
        <f t="shared" si="7"/>
        <v>1.054256745</v>
      </c>
    </row>
    <row r="31" ht="14.25" customHeight="1">
      <c r="A31" s="8" t="s">
        <v>16</v>
      </c>
      <c r="B31" s="8">
        <v>7.8</v>
      </c>
      <c r="F31" s="4" t="s">
        <v>2573</v>
      </c>
      <c r="G31" s="4">
        <f t="shared" si="1"/>
        <v>1</v>
      </c>
      <c r="H31" s="15">
        <f t="shared" si="2"/>
        <v>7.8</v>
      </c>
      <c r="I31" s="15">
        <f t="array" ref="I31">MEDIAN(IF(A:A=F31,B:B))</f>
        <v>7.8</v>
      </c>
      <c r="J31" s="15">
        <f t="shared" si="7"/>
        <v>1.054358453</v>
      </c>
    </row>
    <row r="32" ht="14.25" customHeight="1">
      <c r="A32" s="8" t="s">
        <v>16</v>
      </c>
      <c r="B32" s="8">
        <v>7.3</v>
      </c>
      <c r="F32" s="4" t="s">
        <v>4606</v>
      </c>
      <c r="G32" s="4">
        <f t="shared" si="1"/>
        <v>1</v>
      </c>
      <c r="H32" s="15">
        <f t="shared" si="2"/>
        <v>7.3</v>
      </c>
      <c r="I32" s="15">
        <f t="array" ref="I32">MEDIAN(IF(A:A=F32,B:B))</f>
        <v>7.3</v>
      </c>
      <c r="J32" s="15">
        <f t="shared" si="7"/>
        <v>1.05427299</v>
      </c>
    </row>
    <row r="33" ht="14.25" customHeight="1">
      <c r="A33" s="8" t="s">
        <v>16</v>
      </c>
      <c r="B33" s="8">
        <v>7.2</v>
      </c>
      <c r="F33" s="4" t="s">
        <v>7391</v>
      </c>
      <c r="G33" s="4">
        <f t="shared" si="1"/>
        <v>1</v>
      </c>
      <c r="H33" s="15">
        <f t="shared" si="2"/>
        <v>7.9</v>
      </c>
      <c r="I33" s="15">
        <f t="array" ref="I33">MEDIAN(IF(A:A=F33,B:B))</f>
        <v>7.9</v>
      </c>
      <c r="J33" s="15">
        <f t="shared" si="7"/>
        <v>1.054323094</v>
      </c>
    </row>
    <row r="34" ht="14.25" customHeight="1">
      <c r="A34" s="8" t="s">
        <v>16</v>
      </c>
      <c r="B34" s="8">
        <v>6.5</v>
      </c>
      <c r="F34" s="4" t="s">
        <v>6599</v>
      </c>
      <c r="G34" s="4">
        <f t="shared" si="1"/>
        <v>1</v>
      </c>
      <c r="H34" s="15">
        <f t="shared" si="2"/>
        <v>6.5</v>
      </c>
      <c r="I34" s="15">
        <f t="array" ref="I34">MEDIAN(IF(A:A=F34,B:B))</f>
        <v>6.5</v>
      </c>
      <c r="J34" s="15">
        <f t="shared" si="7"/>
        <v>1.054392871</v>
      </c>
    </row>
    <row r="35" ht="14.25" customHeight="1">
      <c r="A35" s="8" t="s">
        <v>16</v>
      </c>
      <c r="B35" s="8">
        <v>6.8</v>
      </c>
      <c r="F35" s="4" t="s">
        <v>7558</v>
      </c>
      <c r="G35" s="4">
        <f t="shared" si="1"/>
        <v>1</v>
      </c>
      <c r="H35" s="15">
        <f t="shared" si="2"/>
        <v>7.6</v>
      </c>
      <c r="I35" s="15">
        <f t="array" ref="I35">MEDIAN(IF(A:A=F35,B:B))</f>
        <v>7.6</v>
      </c>
      <c r="J35" s="15">
        <f t="shared" si="7"/>
        <v>1.054530905</v>
      </c>
    </row>
    <row r="36" ht="14.25" customHeight="1">
      <c r="A36" s="8" t="s">
        <v>16</v>
      </c>
      <c r="B36" s="8">
        <v>7.3</v>
      </c>
      <c r="F36" s="4" t="s">
        <v>2758</v>
      </c>
      <c r="G36" s="4">
        <f t="shared" si="1"/>
        <v>1</v>
      </c>
      <c r="H36" s="15">
        <f t="shared" si="2"/>
        <v>8.4</v>
      </c>
      <c r="I36" s="15">
        <f t="array" ref="I36">MEDIAN(IF(A:A=F36,B:B))</f>
        <v>8.4</v>
      </c>
      <c r="J36" s="15">
        <f t="shared" si="7"/>
        <v>1.054654663</v>
      </c>
    </row>
    <row r="37" ht="14.25" customHeight="1">
      <c r="A37" s="8" t="s">
        <v>16</v>
      </c>
      <c r="B37" s="8">
        <v>6.0</v>
      </c>
      <c r="F37" s="4" t="s">
        <v>7211</v>
      </c>
      <c r="G37" s="4">
        <f t="shared" si="1"/>
        <v>1</v>
      </c>
      <c r="H37" s="15">
        <f t="shared" si="2"/>
        <v>7.4</v>
      </c>
      <c r="I37" s="15">
        <f t="array" ref="I37">MEDIAN(IF(A:A=F37,B:B))</f>
        <v>7.4</v>
      </c>
      <c r="J37" s="15">
        <f t="shared" si="7"/>
        <v>1.054704794</v>
      </c>
    </row>
    <row r="38" ht="14.25" customHeight="1">
      <c r="A38" s="8" t="s">
        <v>16</v>
      </c>
      <c r="B38" s="8">
        <v>5.7</v>
      </c>
      <c r="F38" s="4" t="s">
        <v>6846</v>
      </c>
      <c r="G38" s="4">
        <f t="shared" si="1"/>
        <v>1</v>
      </c>
      <c r="H38" s="15">
        <f t="shared" si="2"/>
        <v>7.3</v>
      </c>
      <c r="I38" s="15">
        <f t="array" ref="I38">MEDIAN(IF(A:A=F38,B:B))</f>
        <v>7.3</v>
      </c>
      <c r="J38" s="15">
        <f t="shared" si="7"/>
        <v>1.054817129</v>
      </c>
    </row>
    <row r="39" ht="14.25" customHeight="1">
      <c r="A39" s="8" t="s">
        <v>16</v>
      </c>
      <c r="B39" s="8">
        <v>6.4</v>
      </c>
      <c r="F39" s="4"/>
      <c r="G39" s="4"/>
      <c r="H39" s="4"/>
      <c r="I39" s="15"/>
      <c r="J39" s="4"/>
    </row>
    <row r="40" ht="14.25" customHeight="1">
      <c r="A40" s="8" t="s">
        <v>16</v>
      </c>
      <c r="B40" s="8">
        <v>6.7</v>
      </c>
      <c r="F40" s="4"/>
      <c r="G40" s="4"/>
      <c r="H40" s="4"/>
      <c r="I40" s="15"/>
      <c r="J40" s="4"/>
    </row>
    <row r="41" ht="14.25" customHeight="1">
      <c r="A41" s="8" t="s">
        <v>16</v>
      </c>
      <c r="B41" s="8">
        <v>6.8</v>
      </c>
      <c r="F41" s="4"/>
      <c r="G41" s="4"/>
      <c r="H41" s="4"/>
      <c r="I41" s="15"/>
      <c r="J41" s="4"/>
    </row>
    <row r="42" ht="14.25" customHeight="1">
      <c r="A42" s="8" t="s">
        <v>16</v>
      </c>
      <c r="B42" s="8">
        <v>6.3</v>
      </c>
      <c r="F42" s="4"/>
      <c r="G42" s="4"/>
      <c r="H42" s="4"/>
      <c r="I42" s="15"/>
      <c r="J42" s="4"/>
    </row>
    <row r="43" ht="14.25" customHeight="1">
      <c r="A43" s="8" t="s">
        <v>16</v>
      </c>
      <c r="B43" s="8">
        <v>5.6</v>
      </c>
      <c r="F43" s="4"/>
      <c r="G43" s="4"/>
      <c r="H43" s="4"/>
      <c r="I43" s="15"/>
      <c r="J43" s="4"/>
    </row>
    <row r="44" ht="14.25" customHeight="1">
      <c r="A44" s="8" t="s">
        <v>16</v>
      </c>
      <c r="B44" s="8">
        <v>8.3</v>
      </c>
      <c r="F44" s="4"/>
      <c r="G44" s="4"/>
      <c r="H44" s="4"/>
      <c r="I44" s="15"/>
      <c r="J44" s="4"/>
    </row>
    <row r="45" ht="14.25" customHeight="1">
      <c r="A45" s="8" t="s">
        <v>16</v>
      </c>
      <c r="B45" s="8">
        <v>6.6</v>
      </c>
      <c r="F45" s="4"/>
      <c r="G45" s="4"/>
      <c r="H45" s="4"/>
      <c r="I45" s="15"/>
      <c r="J45" s="4"/>
    </row>
    <row r="46" ht="14.25" customHeight="1">
      <c r="A46" s="8" t="s">
        <v>16</v>
      </c>
      <c r="B46" s="8">
        <v>7.2</v>
      </c>
      <c r="F46" s="4"/>
      <c r="G46" s="4"/>
      <c r="H46" s="4"/>
      <c r="I46" s="15"/>
      <c r="J46" s="4"/>
    </row>
    <row r="47" ht="14.25" customHeight="1">
      <c r="A47" s="8" t="s">
        <v>16</v>
      </c>
      <c r="B47" s="8">
        <v>7.0</v>
      </c>
      <c r="F47" s="4"/>
      <c r="G47" s="4"/>
      <c r="H47" s="4"/>
      <c r="I47" s="15"/>
      <c r="J47" s="4"/>
    </row>
    <row r="48" ht="14.25" customHeight="1">
      <c r="A48" s="8" t="s">
        <v>16</v>
      </c>
      <c r="B48" s="8">
        <v>8.0</v>
      </c>
      <c r="F48" s="4"/>
      <c r="G48" s="4"/>
      <c r="H48" s="4"/>
      <c r="I48" s="15"/>
      <c r="J48" s="4"/>
    </row>
    <row r="49" ht="14.25" customHeight="1">
      <c r="A49" s="8" t="s">
        <v>16</v>
      </c>
      <c r="B49" s="8">
        <v>7.8</v>
      </c>
      <c r="F49" s="4"/>
      <c r="G49" s="4"/>
      <c r="H49" s="4"/>
      <c r="I49" s="15"/>
      <c r="J49" s="4"/>
    </row>
    <row r="50" ht="14.25" customHeight="1">
      <c r="A50" s="8" t="s">
        <v>16</v>
      </c>
      <c r="B50" s="8">
        <v>6.3</v>
      </c>
      <c r="F50" s="4"/>
      <c r="G50" s="4"/>
      <c r="H50" s="4"/>
      <c r="I50" s="15"/>
      <c r="J50" s="4"/>
    </row>
    <row r="51" ht="14.25" customHeight="1">
      <c r="A51" s="8" t="s">
        <v>16</v>
      </c>
      <c r="B51" s="8">
        <v>7.3</v>
      </c>
      <c r="F51" s="4"/>
      <c r="G51" s="4"/>
      <c r="H51" s="4"/>
      <c r="I51" s="15"/>
      <c r="J51" s="4"/>
    </row>
    <row r="52" ht="14.25" customHeight="1">
      <c r="A52" s="8" t="s">
        <v>16</v>
      </c>
      <c r="B52" s="8">
        <v>6.6</v>
      </c>
      <c r="F52" s="4"/>
      <c r="G52" s="4"/>
      <c r="H52" s="4"/>
      <c r="I52" s="15"/>
      <c r="J52" s="4"/>
    </row>
    <row r="53" ht="14.25" customHeight="1">
      <c r="A53" s="8" t="s">
        <v>16</v>
      </c>
      <c r="B53" s="8">
        <v>7.0</v>
      </c>
      <c r="F53" s="4"/>
      <c r="G53" s="4"/>
      <c r="H53" s="4"/>
      <c r="I53" s="15"/>
      <c r="J53" s="4"/>
    </row>
    <row r="54" ht="14.25" customHeight="1">
      <c r="A54" s="8" t="s">
        <v>16</v>
      </c>
      <c r="B54" s="8">
        <v>6.3</v>
      </c>
      <c r="F54" s="4"/>
      <c r="G54" s="4"/>
      <c r="H54" s="4"/>
      <c r="I54" s="15"/>
      <c r="J54" s="4"/>
    </row>
    <row r="55" ht="14.25" customHeight="1">
      <c r="A55" s="8" t="s">
        <v>16</v>
      </c>
      <c r="B55" s="8">
        <v>6.2</v>
      </c>
      <c r="F55" s="4"/>
      <c r="G55" s="4"/>
      <c r="H55" s="4"/>
      <c r="I55" s="15"/>
      <c r="J55" s="4"/>
    </row>
    <row r="56" ht="14.25" customHeight="1">
      <c r="A56" s="8" t="s">
        <v>16</v>
      </c>
      <c r="B56" s="8">
        <v>7.2</v>
      </c>
      <c r="F56" s="4"/>
      <c r="G56" s="4"/>
      <c r="H56" s="4"/>
      <c r="I56" s="15"/>
      <c r="J56" s="4"/>
    </row>
    <row r="57" ht="14.25" customHeight="1">
      <c r="A57" s="8" t="s">
        <v>16</v>
      </c>
      <c r="B57" s="8">
        <v>7.5</v>
      </c>
      <c r="F57" s="4"/>
      <c r="G57" s="4"/>
      <c r="H57" s="4"/>
      <c r="I57" s="15"/>
      <c r="J57" s="4"/>
    </row>
    <row r="58" ht="14.25" customHeight="1">
      <c r="A58" s="8" t="s">
        <v>16</v>
      </c>
      <c r="B58" s="8">
        <v>8.4</v>
      </c>
      <c r="F58" s="4"/>
      <c r="G58" s="4"/>
      <c r="H58" s="4"/>
      <c r="I58" s="15"/>
      <c r="J58" s="4"/>
    </row>
    <row r="59" ht="14.25" customHeight="1">
      <c r="A59" s="8" t="s">
        <v>16</v>
      </c>
      <c r="B59" s="8">
        <v>6.2</v>
      </c>
      <c r="F59" s="4"/>
      <c r="G59" s="4"/>
      <c r="H59" s="4"/>
      <c r="I59" s="15"/>
      <c r="J59" s="4"/>
    </row>
    <row r="60" ht="14.25" customHeight="1">
      <c r="A60" s="8" t="s">
        <v>16</v>
      </c>
      <c r="B60" s="8">
        <v>5.8</v>
      </c>
      <c r="F60" s="4"/>
      <c r="G60" s="4"/>
      <c r="H60" s="4"/>
      <c r="I60" s="15"/>
      <c r="J60" s="4"/>
    </row>
    <row r="61" ht="14.25" customHeight="1">
      <c r="A61" s="8" t="s">
        <v>16</v>
      </c>
      <c r="B61" s="8">
        <v>6.8</v>
      </c>
      <c r="F61" s="4"/>
      <c r="G61" s="4"/>
      <c r="H61" s="4"/>
      <c r="I61" s="15"/>
      <c r="J61" s="4"/>
    </row>
    <row r="62" ht="14.25" customHeight="1">
      <c r="A62" s="8" t="s">
        <v>16</v>
      </c>
      <c r="B62" s="8">
        <v>5.4</v>
      </c>
      <c r="F62" s="4"/>
      <c r="G62" s="4"/>
      <c r="H62" s="4"/>
      <c r="I62" s="15"/>
      <c r="J62" s="4"/>
    </row>
    <row r="63" ht="14.25" customHeight="1">
      <c r="A63" s="8" t="s">
        <v>16</v>
      </c>
      <c r="B63" s="8">
        <v>6.6</v>
      </c>
      <c r="F63" s="4"/>
      <c r="G63" s="4"/>
      <c r="H63" s="4"/>
      <c r="I63" s="15"/>
      <c r="J63" s="4"/>
    </row>
    <row r="64" ht="14.25" customHeight="1">
      <c r="A64" s="8" t="s">
        <v>16</v>
      </c>
      <c r="B64" s="8">
        <v>6.9</v>
      </c>
      <c r="F64" s="4"/>
      <c r="G64" s="4"/>
      <c r="H64" s="4"/>
      <c r="I64" s="15"/>
      <c r="J64" s="4"/>
    </row>
    <row r="65" ht="14.25" customHeight="1">
      <c r="A65" s="8" t="s">
        <v>16</v>
      </c>
      <c r="B65" s="8">
        <v>7.3</v>
      </c>
      <c r="F65" s="4"/>
      <c r="G65" s="4"/>
      <c r="H65" s="4"/>
      <c r="I65" s="15"/>
      <c r="J65" s="4"/>
    </row>
    <row r="66" ht="14.25" customHeight="1">
      <c r="A66" s="8" t="s">
        <v>16</v>
      </c>
      <c r="B66" s="8">
        <v>9.0</v>
      </c>
      <c r="F66" s="4"/>
      <c r="G66" s="4"/>
      <c r="H66" s="4"/>
      <c r="I66" s="15"/>
      <c r="J66" s="4"/>
    </row>
    <row r="67" ht="14.25" customHeight="1">
      <c r="A67" s="8" t="s">
        <v>16</v>
      </c>
      <c r="B67" s="8">
        <v>8.3</v>
      </c>
      <c r="F67" s="4"/>
      <c r="G67" s="4"/>
      <c r="H67" s="4"/>
      <c r="I67" s="15"/>
      <c r="J67" s="4"/>
    </row>
    <row r="68" ht="14.25" customHeight="1">
      <c r="A68" s="8" t="s">
        <v>16</v>
      </c>
      <c r="B68" s="8">
        <v>6.5</v>
      </c>
      <c r="F68" s="4"/>
      <c r="G68" s="4"/>
      <c r="H68" s="4"/>
      <c r="I68" s="15"/>
      <c r="J68" s="4"/>
    </row>
    <row r="69" ht="14.25" customHeight="1">
      <c r="A69" s="8" t="s">
        <v>16</v>
      </c>
      <c r="B69" s="8">
        <v>7.9</v>
      </c>
      <c r="F69" s="4"/>
      <c r="G69" s="4"/>
      <c r="H69" s="4"/>
      <c r="I69" s="15"/>
      <c r="J69" s="4"/>
    </row>
    <row r="70" ht="14.25" customHeight="1">
      <c r="A70" s="8" t="s">
        <v>16</v>
      </c>
      <c r="B70" s="8">
        <v>7.5</v>
      </c>
      <c r="F70" s="4"/>
      <c r="G70" s="4"/>
      <c r="H70" s="4"/>
      <c r="I70" s="15"/>
      <c r="J70" s="4"/>
    </row>
    <row r="71" ht="14.25" customHeight="1">
      <c r="A71" s="8" t="s">
        <v>16</v>
      </c>
      <c r="B71" s="8">
        <v>4.8</v>
      </c>
      <c r="F71" s="4"/>
      <c r="G71" s="4"/>
      <c r="H71" s="4"/>
      <c r="I71" s="15"/>
      <c r="J71" s="4"/>
    </row>
    <row r="72" ht="14.25" customHeight="1">
      <c r="A72" s="8" t="s">
        <v>16</v>
      </c>
      <c r="B72" s="8">
        <v>5.2</v>
      </c>
      <c r="F72" s="4"/>
      <c r="G72" s="4"/>
      <c r="H72" s="4"/>
      <c r="I72" s="15"/>
      <c r="J72" s="4"/>
    </row>
    <row r="73" ht="14.25" customHeight="1">
      <c r="A73" s="8" t="s">
        <v>16</v>
      </c>
      <c r="B73" s="8">
        <v>6.9</v>
      </c>
      <c r="F73" s="4"/>
      <c r="G73" s="4"/>
      <c r="H73" s="4"/>
      <c r="I73" s="15"/>
      <c r="J73" s="4"/>
    </row>
    <row r="74" ht="14.25" customHeight="1">
      <c r="A74" s="8" t="s">
        <v>16</v>
      </c>
      <c r="B74" s="8">
        <v>5.4</v>
      </c>
      <c r="F74" s="4"/>
      <c r="G74" s="4"/>
      <c r="H74" s="4"/>
      <c r="I74" s="15"/>
      <c r="J74" s="4"/>
    </row>
    <row r="75" ht="14.25" customHeight="1">
      <c r="A75" s="8" t="s">
        <v>16</v>
      </c>
      <c r="B75" s="8">
        <v>7.9</v>
      </c>
      <c r="F75" s="4"/>
      <c r="G75" s="4"/>
      <c r="H75" s="4"/>
      <c r="I75" s="15"/>
      <c r="J75" s="4"/>
    </row>
    <row r="76" ht="14.25" customHeight="1">
      <c r="A76" s="8" t="s">
        <v>16</v>
      </c>
      <c r="B76" s="8">
        <v>6.1</v>
      </c>
      <c r="F76" s="4"/>
      <c r="G76" s="4"/>
      <c r="H76" s="4"/>
      <c r="I76" s="15"/>
      <c r="J76" s="4"/>
    </row>
    <row r="77" ht="14.25" customHeight="1">
      <c r="A77" s="8" t="s">
        <v>16</v>
      </c>
      <c r="B77" s="8">
        <v>5.8</v>
      </c>
      <c r="F77" s="4"/>
      <c r="G77" s="4"/>
      <c r="H77" s="4"/>
      <c r="I77" s="15"/>
      <c r="J77" s="4"/>
    </row>
    <row r="78" ht="14.25" customHeight="1">
      <c r="A78" s="8" t="s">
        <v>16</v>
      </c>
      <c r="B78" s="8">
        <v>8.3</v>
      </c>
      <c r="F78" s="4"/>
      <c r="G78" s="4"/>
      <c r="H78" s="4"/>
      <c r="I78" s="15"/>
      <c r="J78" s="4"/>
    </row>
    <row r="79" ht="14.25" customHeight="1">
      <c r="A79" s="8" t="s">
        <v>16</v>
      </c>
      <c r="B79" s="8">
        <v>7.8</v>
      </c>
      <c r="F79" s="4"/>
      <c r="G79" s="4"/>
      <c r="H79" s="4"/>
      <c r="I79" s="15"/>
      <c r="J79" s="4"/>
    </row>
    <row r="80" ht="14.25" customHeight="1">
      <c r="A80" s="8" t="s">
        <v>16</v>
      </c>
      <c r="B80" s="8">
        <v>7.0</v>
      </c>
      <c r="F80" s="4"/>
      <c r="G80" s="4"/>
      <c r="H80" s="4"/>
      <c r="I80" s="15"/>
      <c r="J80" s="4"/>
    </row>
    <row r="81" ht="14.25" customHeight="1">
      <c r="A81" s="8" t="s">
        <v>16</v>
      </c>
      <c r="B81" s="8">
        <v>6.1</v>
      </c>
      <c r="F81" s="4"/>
      <c r="G81" s="4"/>
      <c r="H81" s="4"/>
      <c r="I81" s="15"/>
      <c r="J81" s="4"/>
    </row>
    <row r="82" ht="14.25" customHeight="1">
      <c r="A82" s="8" t="s">
        <v>16</v>
      </c>
      <c r="B82" s="8">
        <v>7.0</v>
      </c>
      <c r="F82" s="4"/>
      <c r="G82" s="4"/>
      <c r="H82" s="4"/>
      <c r="I82" s="15"/>
      <c r="J82" s="4"/>
    </row>
    <row r="83" ht="14.25" customHeight="1">
      <c r="A83" s="8" t="s">
        <v>16</v>
      </c>
      <c r="B83" s="8">
        <v>7.6</v>
      </c>
      <c r="F83" s="4"/>
      <c r="G83" s="4"/>
      <c r="H83" s="4"/>
      <c r="I83" s="15"/>
      <c r="J83" s="4"/>
    </row>
    <row r="84" ht="14.25" customHeight="1">
      <c r="A84" s="8" t="s">
        <v>16</v>
      </c>
      <c r="B84" s="8">
        <v>6.3</v>
      </c>
      <c r="F84" s="4"/>
      <c r="G84" s="4"/>
      <c r="H84" s="4"/>
      <c r="I84" s="15"/>
      <c r="J84" s="4"/>
    </row>
    <row r="85" ht="14.25" customHeight="1">
      <c r="A85" s="8" t="s">
        <v>16</v>
      </c>
      <c r="B85" s="8">
        <v>7.8</v>
      </c>
      <c r="F85" s="4"/>
      <c r="G85" s="4"/>
      <c r="H85" s="4"/>
      <c r="I85" s="15"/>
      <c r="J85" s="4"/>
    </row>
    <row r="86" ht="14.25" customHeight="1">
      <c r="A86" s="8" t="s">
        <v>16</v>
      </c>
      <c r="B86" s="8">
        <v>6.4</v>
      </c>
      <c r="F86" s="4"/>
      <c r="G86" s="4"/>
      <c r="H86" s="4"/>
      <c r="I86" s="15"/>
      <c r="J86" s="4"/>
    </row>
    <row r="87" ht="14.25" customHeight="1">
      <c r="A87" s="8" t="s">
        <v>16</v>
      </c>
      <c r="B87" s="8">
        <v>6.5</v>
      </c>
      <c r="F87" s="4"/>
      <c r="G87" s="4"/>
      <c r="H87" s="4"/>
      <c r="I87" s="15"/>
      <c r="J87" s="4"/>
    </row>
    <row r="88" ht="14.25" customHeight="1">
      <c r="A88" s="8" t="s">
        <v>16</v>
      </c>
      <c r="B88" s="8">
        <v>7.9</v>
      </c>
      <c r="F88" s="4"/>
      <c r="G88" s="4"/>
      <c r="H88" s="4"/>
      <c r="I88" s="15"/>
      <c r="J88" s="4"/>
    </row>
    <row r="89" ht="14.25" customHeight="1">
      <c r="A89" s="8" t="s">
        <v>16</v>
      </c>
      <c r="B89" s="8">
        <v>7.8</v>
      </c>
      <c r="F89" s="4"/>
      <c r="G89" s="4"/>
      <c r="H89" s="4"/>
      <c r="I89" s="15"/>
      <c r="J89" s="4"/>
    </row>
    <row r="90" ht="14.25" customHeight="1">
      <c r="A90" s="8" t="s">
        <v>16</v>
      </c>
      <c r="B90" s="8">
        <v>6.6</v>
      </c>
      <c r="F90" s="4"/>
      <c r="G90" s="4"/>
      <c r="H90" s="4"/>
      <c r="I90" s="15"/>
      <c r="J90" s="4"/>
    </row>
    <row r="91" ht="14.25" customHeight="1">
      <c r="A91" s="8" t="s">
        <v>16</v>
      </c>
      <c r="B91" s="8">
        <v>5.5</v>
      </c>
      <c r="F91" s="4"/>
      <c r="G91" s="4"/>
      <c r="H91" s="4"/>
      <c r="I91" s="15"/>
      <c r="J91" s="4"/>
    </row>
    <row r="92" ht="14.25" customHeight="1">
      <c r="A92" s="8" t="s">
        <v>16</v>
      </c>
      <c r="B92" s="8">
        <v>8.2</v>
      </c>
      <c r="F92" s="4"/>
      <c r="G92" s="4"/>
      <c r="H92" s="4"/>
      <c r="I92" s="15"/>
      <c r="J92" s="4"/>
    </row>
    <row r="93" ht="14.25" customHeight="1">
      <c r="A93" s="8" t="s">
        <v>16</v>
      </c>
      <c r="B93" s="8">
        <v>6.4</v>
      </c>
      <c r="F93" s="4"/>
      <c r="G93" s="4"/>
      <c r="H93" s="4"/>
      <c r="I93" s="15"/>
      <c r="J93" s="4"/>
    </row>
    <row r="94" ht="14.25" customHeight="1">
      <c r="A94" s="8" t="s">
        <v>16</v>
      </c>
      <c r="B94" s="8">
        <v>8.1</v>
      </c>
      <c r="F94" s="4"/>
      <c r="G94" s="4"/>
      <c r="H94" s="4"/>
      <c r="I94" s="15"/>
      <c r="J94" s="4"/>
    </row>
    <row r="95" ht="14.25" customHeight="1">
      <c r="A95" s="8" t="s">
        <v>16</v>
      </c>
      <c r="B95" s="8">
        <v>8.6</v>
      </c>
      <c r="F95" s="4"/>
      <c r="G95" s="4"/>
      <c r="H95" s="4"/>
      <c r="I95" s="15"/>
      <c r="J95" s="4"/>
    </row>
    <row r="96" ht="14.25" customHeight="1">
      <c r="A96" s="8" t="s">
        <v>16</v>
      </c>
      <c r="B96" s="8">
        <v>8.8</v>
      </c>
      <c r="F96" s="4"/>
      <c r="G96" s="4"/>
      <c r="H96" s="4"/>
      <c r="I96" s="15"/>
      <c r="J96" s="4"/>
    </row>
    <row r="97" ht="14.25" customHeight="1">
      <c r="A97" s="8" t="s">
        <v>16</v>
      </c>
      <c r="B97" s="8">
        <v>7.9</v>
      </c>
      <c r="F97" s="4"/>
      <c r="G97" s="4"/>
      <c r="H97" s="4"/>
      <c r="I97" s="15"/>
      <c r="J97" s="4"/>
    </row>
    <row r="98" ht="14.25" customHeight="1">
      <c r="A98" s="8" t="s">
        <v>16</v>
      </c>
      <c r="B98" s="8">
        <v>6.7</v>
      </c>
      <c r="F98" s="4"/>
      <c r="G98" s="4"/>
      <c r="H98" s="4"/>
      <c r="I98" s="15"/>
      <c r="J98" s="4"/>
    </row>
    <row r="99" ht="14.25" customHeight="1">
      <c r="A99" s="8" t="s">
        <v>16</v>
      </c>
      <c r="B99" s="8">
        <v>7.8</v>
      </c>
      <c r="F99" s="4"/>
      <c r="G99" s="4"/>
      <c r="H99" s="4"/>
      <c r="I99" s="15"/>
      <c r="J99" s="4"/>
    </row>
    <row r="100" ht="14.25" customHeight="1">
      <c r="A100" s="8" t="s">
        <v>16</v>
      </c>
      <c r="B100" s="8">
        <v>7.8</v>
      </c>
      <c r="F100" s="4"/>
      <c r="G100" s="4"/>
      <c r="H100" s="4"/>
      <c r="I100" s="15"/>
      <c r="J100" s="4"/>
    </row>
    <row r="101" ht="14.25" customHeight="1">
      <c r="A101" s="8" t="s">
        <v>16</v>
      </c>
      <c r="B101" s="8">
        <v>6.6</v>
      </c>
      <c r="F101" s="4"/>
      <c r="G101" s="4"/>
      <c r="H101" s="4"/>
      <c r="I101" s="15"/>
      <c r="J101" s="4"/>
    </row>
    <row r="102" ht="14.25" customHeight="1">
      <c r="A102" s="8" t="s">
        <v>16</v>
      </c>
      <c r="B102" s="8">
        <v>6.1</v>
      </c>
      <c r="F102" s="4"/>
      <c r="G102" s="4"/>
      <c r="H102" s="4"/>
      <c r="I102" s="15"/>
      <c r="J102" s="4"/>
    </row>
    <row r="103" ht="14.25" customHeight="1">
      <c r="A103" s="8" t="s">
        <v>16</v>
      </c>
      <c r="B103" s="8">
        <v>5.6</v>
      </c>
      <c r="F103" s="4"/>
      <c r="G103" s="4"/>
      <c r="H103" s="4"/>
      <c r="I103" s="15"/>
      <c r="J103" s="4"/>
    </row>
    <row r="104" ht="14.25" customHeight="1">
      <c r="A104" s="8" t="s">
        <v>16</v>
      </c>
      <c r="B104" s="8">
        <v>6.4</v>
      </c>
      <c r="F104" s="4"/>
      <c r="G104" s="4"/>
      <c r="H104" s="4"/>
      <c r="I104" s="15"/>
      <c r="J104" s="4"/>
    </row>
    <row r="105" ht="14.25" customHeight="1">
      <c r="A105" s="8" t="s">
        <v>16</v>
      </c>
      <c r="B105" s="8">
        <v>6.1</v>
      </c>
      <c r="F105" s="4"/>
      <c r="G105" s="4"/>
      <c r="H105" s="4"/>
      <c r="I105" s="15"/>
      <c r="J105" s="4"/>
    </row>
    <row r="106" ht="14.25" customHeight="1">
      <c r="A106" s="8" t="s">
        <v>16</v>
      </c>
      <c r="B106" s="8">
        <v>7.3</v>
      </c>
      <c r="F106" s="4"/>
      <c r="G106" s="4"/>
      <c r="H106" s="4"/>
      <c r="I106" s="15"/>
      <c r="J106" s="4"/>
    </row>
    <row r="107" ht="14.25" customHeight="1">
      <c r="A107" s="8" t="s">
        <v>16</v>
      </c>
      <c r="B107" s="8">
        <v>6.6</v>
      </c>
      <c r="F107" s="4"/>
      <c r="G107" s="4"/>
      <c r="H107" s="4"/>
      <c r="I107" s="15"/>
      <c r="J107" s="4"/>
    </row>
    <row r="108" ht="14.25" customHeight="1">
      <c r="A108" s="8" t="s">
        <v>16</v>
      </c>
      <c r="B108" s="8">
        <v>6.3</v>
      </c>
      <c r="F108" s="4"/>
      <c r="G108" s="4"/>
      <c r="H108" s="4"/>
      <c r="I108" s="15"/>
      <c r="J108" s="4"/>
    </row>
    <row r="109" ht="14.25" customHeight="1">
      <c r="A109" s="8" t="s">
        <v>16</v>
      </c>
      <c r="B109" s="8">
        <v>6.1</v>
      </c>
      <c r="F109" s="4"/>
      <c r="G109" s="4"/>
      <c r="H109" s="4"/>
      <c r="I109" s="15"/>
      <c r="J109" s="4"/>
    </row>
    <row r="110" ht="14.25" customHeight="1">
      <c r="A110" s="8" t="s">
        <v>16</v>
      </c>
      <c r="B110" s="8">
        <v>7.1</v>
      </c>
      <c r="F110" s="4"/>
      <c r="G110" s="4"/>
      <c r="H110" s="4"/>
      <c r="I110" s="15"/>
      <c r="J110" s="4"/>
    </row>
    <row r="111" ht="14.25" customHeight="1">
      <c r="A111" s="8" t="s">
        <v>16</v>
      </c>
      <c r="B111" s="8">
        <v>5.5</v>
      </c>
      <c r="F111" s="4"/>
      <c r="G111" s="4"/>
      <c r="H111" s="4"/>
      <c r="I111" s="15"/>
      <c r="J111" s="4"/>
    </row>
    <row r="112" ht="14.25" customHeight="1">
      <c r="A112" s="8" t="s">
        <v>16</v>
      </c>
      <c r="B112" s="8">
        <v>7.5</v>
      </c>
      <c r="F112" s="4"/>
      <c r="G112" s="4"/>
      <c r="H112" s="4"/>
      <c r="I112" s="15"/>
      <c r="J112" s="4"/>
    </row>
    <row r="113" ht="14.25" customHeight="1">
      <c r="A113" s="8" t="s">
        <v>16</v>
      </c>
      <c r="B113" s="8">
        <v>7.6</v>
      </c>
      <c r="F113" s="4"/>
      <c r="G113" s="4"/>
      <c r="H113" s="4"/>
      <c r="I113" s="15"/>
      <c r="J113" s="4"/>
    </row>
    <row r="114" ht="14.25" customHeight="1">
      <c r="A114" s="8" t="s">
        <v>16</v>
      </c>
      <c r="B114" s="8">
        <v>6.4</v>
      </c>
      <c r="F114" s="4"/>
      <c r="G114" s="4"/>
      <c r="H114" s="4"/>
      <c r="I114" s="15"/>
      <c r="J114" s="4"/>
    </row>
    <row r="115" ht="14.25" customHeight="1">
      <c r="A115" s="8" t="s">
        <v>16</v>
      </c>
      <c r="B115" s="8">
        <v>7.2</v>
      </c>
      <c r="F115" s="4"/>
      <c r="G115" s="4"/>
      <c r="H115" s="4"/>
      <c r="I115" s="15"/>
      <c r="J115" s="4"/>
    </row>
    <row r="116" ht="14.25" customHeight="1">
      <c r="A116" s="8" t="s">
        <v>16</v>
      </c>
      <c r="B116" s="8">
        <v>6.7</v>
      </c>
      <c r="F116" s="4"/>
      <c r="G116" s="4"/>
      <c r="H116" s="4"/>
      <c r="I116" s="15"/>
      <c r="J116" s="4"/>
    </row>
    <row r="117" ht="14.25" customHeight="1">
      <c r="A117" s="8" t="s">
        <v>16</v>
      </c>
      <c r="B117" s="8">
        <v>8.0</v>
      </c>
      <c r="F117" s="4"/>
      <c r="G117" s="4"/>
      <c r="H117" s="4"/>
      <c r="I117" s="15"/>
      <c r="J117" s="4"/>
    </row>
    <row r="118" ht="14.25" customHeight="1">
      <c r="A118" s="8" t="s">
        <v>16</v>
      </c>
      <c r="B118" s="8">
        <v>8.3</v>
      </c>
      <c r="F118" s="4"/>
      <c r="G118" s="4"/>
      <c r="H118" s="4"/>
      <c r="I118" s="15"/>
      <c r="J118" s="4"/>
    </row>
    <row r="119" ht="14.25" customHeight="1">
      <c r="A119" s="8" t="s">
        <v>16</v>
      </c>
      <c r="B119" s="8">
        <v>6.7</v>
      </c>
      <c r="F119" s="4"/>
      <c r="G119" s="4"/>
      <c r="H119" s="4"/>
      <c r="I119" s="15"/>
      <c r="J119" s="4"/>
    </row>
    <row r="120" ht="14.25" customHeight="1">
      <c r="A120" s="8" t="s">
        <v>16</v>
      </c>
      <c r="B120" s="8">
        <v>5.9</v>
      </c>
      <c r="F120" s="4"/>
      <c r="G120" s="4"/>
      <c r="H120" s="4"/>
      <c r="I120" s="15"/>
      <c r="J120" s="4"/>
    </row>
    <row r="121" ht="14.25" customHeight="1">
      <c r="A121" s="8" t="s">
        <v>16</v>
      </c>
      <c r="B121" s="8">
        <v>6.7</v>
      </c>
      <c r="F121" s="4"/>
      <c r="G121" s="4"/>
      <c r="H121" s="4"/>
      <c r="I121" s="15"/>
      <c r="J121" s="4"/>
    </row>
    <row r="122" ht="14.25" customHeight="1">
      <c r="A122" s="8" t="s">
        <v>16</v>
      </c>
      <c r="B122" s="8">
        <v>6.7</v>
      </c>
      <c r="F122" s="4"/>
      <c r="G122" s="4"/>
      <c r="H122" s="4"/>
      <c r="I122" s="15"/>
      <c r="J122" s="4"/>
    </row>
    <row r="123" ht="14.25" customHeight="1">
      <c r="A123" s="8" t="s">
        <v>16</v>
      </c>
      <c r="B123" s="8">
        <v>7.6</v>
      </c>
      <c r="F123" s="4"/>
      <c r="G123" s="4"/>
      <c r="H123" s="4"/>
      <c r="I123" s="15"/>
      <c r="J123" s="4"/>
    </row>
    <row r="124" ht="14.25" customHeight="1">
      <c r="A124" s="8" t="s">
        <v>16</v>
      </c>
      <c r="B124" s="8">
        <v>7.2</v>
      </c>
      <c r="F124" s="4"/>
      <c r="G124" s="4"/>
      <c r="H124" s="4"/>
      <c r="I124" s="15"/>
      <c r="J124" s="4"/>
    </row>
    <row r="125" ht="14.25" customHeight="1">
      <c r="A125" s="8" t="s">
        <v>16</v>
      </c>
      <c r="B125" s="8">
        <v>7.1</v>
      </c>
      <c r="F125" s="4"/>
      <c r="G125" s="4"/>
      <c r="H125" s="4"/>
      <c r="I125" s="15"/>
      <c r="J125" s="4"/>
    </row>
    <row r="126" ht="14.25" customHeight="1">
      <c r="A126" s="8" t="s">
        <v>16</v>
      </c>
      <c r="B126" s="8">
        <v>8.1</v>
      </c>
      <c r="F126" s="4"/>
      <c r="G126" s="4"/>
      <c r="H126" s="4"/>
      <c r="I126" s="15"/>
      <c r="J126" s="4"/>
    </row>
    <row r="127" ht="14.25" customHeight="1">
      <c r="A127" s="8" t="s">
        <v>16</v>
      </c>
      <c r="B127" s="8">
        <v>6.7</v>
      </c>
      <c r="F127" s="4"/>
      <c r="G127" s="4"/>
      <c r="H127" s="4"/>
      <c r="I127" s="15"/>
      <c r="J127" s="4"/>
    </row>
    <row r="128" ht="14.25" customHeight="1">
      <c r="A128" s="8" t="s">
        <v>16</v>
      </c>
      <c r="B128" s="8">
        <v>7.0</v>
      </c>
      <c r="F128" s="4"/>
      <c r="G128" s="4"/>
      <c r="H128" s="4"/>
      <c r="I128" s="15"/>
      <c r="J128" s="4"/>
    </row>
    <row r="129" ht="14.25" customHeight="1">
      <c r="A129" s="8" t="s">
        <v>16</v>
      </c>
      <c r="B129" s="8">
        <v>6.9</v>
      </c>
      <c r="F129" s="4"/>
      <c r="G129" s="4"/>
      <c r="H129" s="4"/>
      <c r="I129" s="15"/>
      <c r="J129" s="4"/>
    </row>
    <row r="130" ht="14.25" customHeight="1">
      <c r="A130" s="8" t="s">
        <v>16</v>
      </c>
      <c r="B130" s="8">
        <v>5.1</v>
      </c>
      <c r="F130" s="4"/>
      <c r="G130" s="4"/>
      <c r="H130" s="4"/>
      <c r="I130" s="15"/>
      <c r="J130" s="4"/>
    </row>
    <row r="131" ht="14.25" customHeight="1">
      <c r="A131" s="8" t="s">
        <v>16</v>
      </c>
      <c r="B131" s="8">
        <v>5.8</v>
      </c>
      <c r="F131" s="4"/>
      <c r="G131" s="4"/>
      <c r="H131" s="4"/>
      <c r="I131" s="15"/>
      <c r="J131" s="4"/>
    </row>
    <row r="132" ht="14.25" customHeight="1">
      <c r="A132" s="8" t="s">
        <v>16</v>
      </c>
      <c r="B132" s="8">
        <v>6.2</v>
      </c>
      <c r="F132" s="4"/>
      <c r="G132" s="4"/>
      <c r="H132" s="4"/>
      <c r="I132" s="15"/>
      <c r="J132" s="4"/>
    </row>
    <row r="133" ht="14.25" customHeight="1">
      <c r="A133" s="8" t="s">
        <v>16</v>
      </c>
      <c r="B133" s="8">
        <v>7.4</v>
      </c>
      <c r="F133" s="4"/>
      <c r="G133" s="4"/>
      <c r="H133" s="4"/>
      <c r="I133" s="15"/>
      <c r="J133" s="4"/>
    </row>
    <row r="134" ht="14.25" customHeight="1">
      <c r="A134" s="8" t="s">
        <v>16</v>
      </c>
      <c r="B134" s="8">
        <v>5.8</v>
      </c>
      <c r="F134" s="4"/>
      <c r="G134" s="4"/>
      <c r="H134" s="4"/>
      <c r="I134" s="15"/>
      <c r="J134" s="4"/>
    </row>
    <row r="135" ht="14.25" customHeight="1">
      <c r="A135" s="8" t="s">
        <v>16</v>
      </c>
      <c r="B135" s="8">
        <v>6.2</v>
      </c>
      <c r="F135" s="4"/>
      <c r="G135" s="4"/>
      <c r="H135" s="4"/>
      <c r="I135" s="15"/>
      <c r="J135" s="4"/>
    </row>
    <row r="136" ht="14.25" customHeight="1">
      <c r="A136" s="8" t="s">
        <v>16</v>
      </c>
      <c r="B136" s="8">
        <v>7.3</v>
      </c>
      <c r="F136" s="4"/>
      <c r="G136" s="4"/>
      <c r="H136" s="4"/>
      <c r="I136" s="15"/>
      <c r="J136" s="4"/>
    </row>
    <row r="137" ht="14.25" customHeight="1">
      <c r="A137" s="8" t="s">
        <v>16</v>
      </c>
      <c r="B137" s="8">
        <v>4.2</v>
      </c>
      <c r="F137" s="4"/>
      <c r="G137" s="4"/>
      <c r="H137" s="4"/>
      <c r="I137" s="15"/>
      <c r="J137" s="4"/>
    </row>
    <row r="138" ht="14.25" customHeight="1">
      <c r="A138" s="8" t="s">
        <v>16</v>
      </c>
      <c r="B138" s="8">
        <v>6.9</v>
      </c>
      <c r="F138" s="4"/>
      <c r="G138" s="4"/>
      <c r="H138" s="4"/>
      <c r="I138" s="15"/>
      <c r="J138" s="4"/>
    </row>
    <row r="139" ht="14.25" customHeight="1">
      <c r="A139" s="8" t="s">
        <v>16</v>
      </c>
      <c r="B139" s="8">
        <v>6.4</v>
      </c>
      <c r="F139" s="4"/>
      <c r="G139" s="4"/>
      <c r="H139" s="4"/>
      <c r="I139" s="15"/>
      <c r="J139" s="4"/>
    </row>
    <row r="140" ht="14.25" customHeight="1">
      <c r="A140" s="8" t="s">
        <v>16</v>
      </c>
      <c r="B140" s="8">
        <v>5.4</v>
      </c>
      <c r="F140" s="4"/>
      <c r="G140" s="4"/>
      <c r="H140" s="4"/>
      <c r="I140" s="15"/>
      <c r="J140" s="4"/>
    </row>
    <row r="141" ht="14.25" customHeight="1">
      <c r="A141" s="8" t="s">
        <v>16</v>
      </c>
      <c r="B141" s="8">
        <v>6.7</v>
      </c>
      <c r="F141" s="4"/>
      <c r="G141" s="4"/>
      <c r="H141" s="4"/>
      <c r="I141" s="15"/>
      <c r="J141" s="4"/>
    </row>
    <row r="142" ht="14.25" customHeight="1">
      <c r="A142" s="8" t="s">
        <v>16</v>
      </c>
      <c r="B142" s="8">
        <v>5.8</v>
      </c>
      <c r="F142" s="4"/>
      <c r="G142" s="4"/>
      <c r="H142" s="4"/>
      <c r="I142" s="15"/>
      <c r="J142" s="4"/>
    </row>
    <row r="143" ht="14.25" customHeight="1">
      <c r="A143" s="8" t="s">
        <v>16</v>
      </c>
      <c r="B143" s="8">
        <v>6.9</v>
      </c>
      <c r="F143" s="4"/>
      <c r="G143" s="4"/>
      <c r="H143" s="4"/>
      <c r="I143" s="15"/>
      <c r="J143" s="4"/>
    </row>
    <row r="144" ht="14.25" customHeight="1">
      <c r="A144" s="8" t="s">
        <v>16</v>
      </c>
      <c r="B144" s="8">
        <v>7.2</v>
      </c>
      <c r="F144" s="4"/>
      <c r="G144" s="4"/>
      <c r="H144" s="4"/>
      <c r="I144" s="15"/>
      <c r="J144" s="4"/>
    </row>
    <row r="145" ht="14.25" customHeight="1">
      <c r="A145" s="8" t="s">
        <v>16</v>
      </c>
      <c r="B145" s="8">
        <v>6.9</v>
      </c>
      <c r="F145" s="4"/>
      <c r="G145" s="4"/>
      <c r="H145" s="4"/>
      <c r="I145" s="15"/>
      <c r="J145" s="4"/>
    </row>
    <row r="146" ht="14.25" customHeight="1">
      <c r="A146" s="8" t="s">
        <v>16</v>
      </c>
      <c r="B146" s="8">
        <v>6.1</v>
      </c>
      <c r="F146" s="4"/>
      <c r="G146" s="4"/>
      <c r="H146" s="4"/>
      <c r="I146" s="15"/>
      <c r="J146" s="4"/>
    </row>
    <row r="147" ht="14.25" customHeight="1">
      <c r="A147" s="8" t="s">
        <v>16</v>
      </c>
      <c r="B147" s="8">
        <v>5.5</v>
      </c>
      <c r="F147" s="4"/>
      <c r="G147" s="4"/>
      <c r="H147" s="4"/>
      <c r="I147" s="15"/>
      <c r="J147" s="4"/>
    </row>
    <row r="148" ht="14.25" customHeight="1">
      <c r="A148" s="8" t="s">
        <v>16</v>
      </c>
      <c r="B148" s="8">
        <v>6.6</v>
      </c>
      <c r="F148" s="4"/>
      <c r="G148" s="4"/>
      <c r="H148" s="4"/>
      <c r="I148" s="15"/>
      <c r="J148" s="4"/>
    </row>
    <row r="149" ht="14.25" customHeight="1">
      <c r="A149" s="8" t="s">
        <v>16</v>
      </c>
      <c r="B149" s="8">
        <v>6.1</v>
      </c>
      <c r="F149" s="4"/>
      <c r="G149" s="4"/>
      <c r="H149" s="4"/>
      <c r="I149" s="15"/>
      <c r="J149" s="4"/>
    </row>
    <row r="150" ht="14.25" customHeight="1">
      <c r="A150" s="8" t="s">
        <v>16</v>
      </c>
      <c r="B150" s="8">
        <v>6.3</v>
      </c>
      <c r="F150" s="4"/>
      <c r="G150" s="4"/>
      <c r="H150" s="4"/>
      <c r="I150" s="15"/>
      <c r="J150" s="4"/>
    </row>
    <row r="151" ht="14.25" customHeight="1">
      <c r="A151" s="8" t="s">
        <v>16</v>
      </c>
      <c r="B151" s="8">
        <v>7.2</v>
      </c>
      <c r="F151" s="4"/>
      <c r="G151" s="4"/>
      <c r="H151" s="4"/>
      <c r="I151" s="15"/>
      <c r="J151" s="4"/>
    </row>
    <row r="152" ht="14.25" customHeight="1">
      <c r="A152" s="8" t="s">
        <v>16</v>
      </c>
      <c r="B152" s="8">
        <v>7.4</v>
      </c>
      <c r="F152" s="4"/>
      <c r="G152" s="4"/>
      <c r="H152" s="4"/>
      <c r="I152" s="15"/>
      <c r="J152" s="4"/>
    </row>
    <row r="153" ht="14.25" customHeight="1">
      <c r="A153" s="8" t="s">
        <v>16</v>
      </c>
      <c r="B153" s="8">
        <v>7.3</v>
      </c>
      <c r="F153" s="4"/>
      <c r="G153" s="4"/>
      <c r="H153" s="4"/>
      <c r="I153" s="15"/>
      <c r="J153" s="4"/>
    </row>
    <row r="154" ht="14.25" customHeight="1">
      <c r="A154" s="8" t="s">
        <v>16</v>
      </c>
      <c r="B154" s="8">
        <v>6.1</v>
      </c>
      <c r="F154" s="4"/>
      <c r="G154" s="4"/>
      <c r="H154" s="4"/>
      <c r="I154" s="15"/>
      <c r="J154" s="4"/>
    </row>
    <row r="155" ht="14.25" customHeight="1">
      <c r="A155" s="8" t="s">
        <v>16</v>
      </c>
      <c r="B155" s="8">
        <v>7.7</v>
      </c>
      <c r="F155" s="4"/>
      <c r="G155" s="4"/>
      <c r="H155" s="4"/>
      <c r="I155" s="15"/>
      <c r="J155" s="4"/>
    </row>
    <row r="156" ht="14.25" customHeight="1">
      <c r="A156" s="8" t="s">
        <v>16</v>
      </c>
      <c r="B156" s="8">
        <v>6.1</v>
      </c>
      <c r="F156" s="4"/>
      <c r="G156" s="4"/>
      <c r="H156" s="4"/>
      <c r="I156" s="15"/>
      <c r="J156" s="4"/>
    </row>
    <row r="157" ht="14.25" customHeight="1">
      <c r="A157" s="8" t="s">
        <v>16</v>
      </c>
      <c r="B157" s="8">
        <v>8.0</v>
      </c>
      <c r="F157" s="4"/>
      <c r="G157" s="4"/>
      <c r="H157" s="4"/>
      <c r="I157" s="15"/>
      <c r="J157" s="4"/>
    </row>
    <row r="158" ht="14.25" customHeight="1">
      <c r="A158" s="8" t="s">
        <v>16</v>
      </c>
      <c r="B158" s="8">
        <v>7.3</v>
      </c>
      <c r="F158" s="4"/>
      <c r="G158" s="4"/>
      <c r="H158" s="4"/>
      <c r="I158" s="15"/>
      <c r="J158" s="4"/>
    </row>
    <row r="159" ht="14.25" customHeight="1">
      <c r="A159" s="8" t="s">
        <v>16</v>
      </c>
      <c r="B159" s="8">
        <v>7.9</v>
      </c>
      <c r="F159" s="4"/>
      <c r="G159" s="4"/>
      <c r="H159" s="4"/>
      <c r="I159" s="15"/>
      <c r="J159" s="4"/>
    </row>
    <row r="160" ht="14.25" customHeight="1">
      <c r="A160" s="8" t="s">
        <v>16</v>
      </c>
      <c r="B160" s="8">
        <v>5.5</v>
      </c>
      <c r="F160" s="4"/>
      <c r="G160" s="4"/>
      <c r="H160" s="4"/>
      <c r="I160" s="15"/>
      <c r="J160" s="4"/>
    </row>
    <row r="161" ht="14.25" customHeight="1">
      <c r="A161" s="8" t="s">
        <v>16</v>
      </c>
      <c r="B161" s="8">
        <v>5.0</v>
      </c>
      <c r="F161" s="4"/>
      <c r="G161" s="4"/>
      <c r="H161" s="4"/>
      <c r="I161" s="15"/>
      <c r="J161" s="4"/>
    </row>
    <row r="162" ht="14.25" customHeight="1">
      <c r="A162" s="8" t="s">
        <v>16</v>
      </c>
      <c r="B162" s="8">
        <v>7.7</v>
      </c>
      <c r="F162" s="4"/>
      <c r="G162" s="4"/>
      <c r="H162" s="4"/>
      <c r="I162" s="15"/>
      <c r="J162" s="4"/>
    </row>
    <row r="163" ht="14.25" customHeight="1">
      <c r="A163" s="8" t="s">
        <v>16</v>
      </c>
      <c r="B163" s="8">
        <v>6.6</v>
      </c>
      <c r="F163" s="4"/>
      <c r="G163" s="4"/>
      <c r="H163" s="4"/>
      <c r="I163" s="15"/>
      <c r="J163" s="4"/>
    </row>
    <row r="164" ht="14.25" customHeight="1">
      <c r="A164" s="8" t="s">
        <v>16</v>
      </c>
      <c r="B164" s="8">
        <v>5.7</v>
      </c>
      <c r="F164" s="4"/>
      <c r="G164" s="4"/>
      <c r="H164" s="4"/>
      <c r="I164" s="15"/>
      <c r="J164" s="4"/>
    </row>
    <row r="165" ht="14.25" customHeight="1">
      <c r="A165" s="8" t="s">
        <v>16</v>
      </c>
      <c r="B165" s="8">
        <v>5.8</v>
      </c>
      <c r="F165" s="4"/>
      <c r="G165" s="4"/>
      <c r="H165" s="4"/>
      <c r="I165" s="15"/>
      <c r="J165" s="4"/>
    </row>
    <row r="166" ht="14.25" customHeight="1">
      <c r="A166" s="8" t="s">
        <v>16</v>
      </c>
      <c r="B166" s="8">
        <v>6.0</v>
      </c>
      <c r="F166" s="4"/>
      <c r="G166" s="4"/>
      <c r="H166" s="4"/>
      <c r="I166" s="15"/>
      <c r="J166" s="4"/>
    </row>
    <row r="167" ht="14.25" customHeight="1">
      <c r="A167" s="8" t="s">
        <v>16</v>
      </c>
      <c r="B167" s="8">
        <v>6.4</v>
      </c>
      <c r="F167" s="4"/>
      <c r="G167" s="4"/>
      <c r="H167" s="4"/>
      <c r="I167" s="15"/>
      <c r="J167" s="4"/>
    </row>
    <row r="168" ht="14.25" customHeight="1">
      <c r="A168" s="8" t="s">
        <v>16</v>
      </c>
      <c r="B168" s="8">
        <v>6.9</v>
      </c>
      <c r="F168" s="4"/>
      <c r="G168" s="4"/>
      <c r="H168" s="4"/>
      <c r="I168" s="15"/>
      <c r="J168" s="4"/>
    </row>
    <row r="169" ht="14.25" customHeight="1">
      <c r="A169" s="8" t="s">
        <v>16</v>
      </c>
      <c r="B169" s="8">
        <v>6.4</v>
      </c>
      <c r="F169" s="4"/>
      <c r="G169" s="4"/>
      <c r="H169" s="4"/>
      <c r="I169" s="15"/>
      <c r="J169" s="4"/>
    </row>
    <row r="170" ht="14.25" customHeight="1">
      <c r="A170" s="8" t="s">
        <v>16</v>
      </c>
      <c r="B170" s="8">
        <v>7.4</v>
      </c>
      <c r="F170" s="4"/>
      <c r="G170" s="4"/>
      <c r="H170" s="4"/>
      <c r="I170" s="15"/>
      <c r="J170" s="4"/>
    </row>
    <row r="171" ht="14.25" customHeight="1">
      <c r="A171" s="8" t="s">
        <v>16</v>
      </c>
      <c r="B171" s="8">
        <v>5.5</v>
      </c>
      <c r="F171" s="4"/>
      <c r="G171" s="4"/>
      <c r="H171" s="4"/>
      <c r="I171" s="15"/>
      <c r="J171" s="4"/>
    </row>
    <row r="172" ht="14.25" customHeight="1">
      <c r="A172" s="8" t="s">
        <v>16</v>
      </c>
      <c r="B172" s="8">
        <v>5.9</v>
      </c>
      <c r="F172" s="4"/>
      <c r="G172" s="4"/>
      <c r="H172" s="4"/>
      <c r="I172" s="15"/>
      <c r="J172" s="4"/>
    </row>
    <row r="173" ht="14.25" customHeight="1">
      <c r="A173" s="8" t="s">
        <v>16</v>
      </c>
      <c r="B173" s="8">
        <v>6.8</v>
      </c>
      <c r="F173" s="4"/>
      <c r="G173" s="4"/>
      <c r="H173" s="4"/>
      <c r="I173" s="15"/>
      <c r="J173" s="4"/>
    </row>
    <row r="174" ht="14.25" customHeight="1">
      <c r="A174" s="8" t="s">
        <v>16</v>
      </c>
      <c r="B174" s="8">
        <v>6.8</v>
      </c>
      <c r="F174" s="4"/>
      <c r="G174" s="4"/>
      <c r="H174" s="4"/>
      <c r="I174" s="15"/>
      <c r="J174" s="4"/>
    </row>
    <row r="175" ht="14.25" customHeight="1">
      <c r="A175" s="8" t="s">
        <v>16</v>
      </c>
      <c r="B175" s="8">
        <v>8.1</v>
      </c>
      <c r="F175" s="4"/>
      <c r="G175" s="4"/>
      <c r="H175" s="4"/>
      <c r="I175" s="15"/>
      <c r="J175" s="4"/>
    </row>
    <row r="176" ht="14.25" customHeight="1">
      <c r="A176" s="8" t="s">
        <v>16</v>
      </c>
      <c r="B176" s="8">
        <v>6.5</v>
      </c>
      <c r="F176" s="4"/>
      <c r="G176" s="4"/>
      <c r="H176" s="4"/>
      <c r="I176" s="15"/>
      <c r="J176" s="4"/>
    </row>
    <row r="177" ht="14.25" customHeight="1">
      <c r="A177" s="8" t="s">
        <v>16</v>
      </c>
      <c r="B177" s="8">
        <v>7.2</v>
      </c>
      <c r="F177" s="4"/>
      <c r="G177" s="4"/>
      <c r="H177" s="4"/>
      <c r="I177" s="15"/>
      <c r="J177" s="4"/>
    </row>
    <row r="178" ht="14.25" customHeight="1">
      <c r="A178" s="8" t="s">
        <v>16</v>
      </c>
      <c r="B178" s="8">
        <v>6.7</v>
      </c>
      <c r="F178" s="4"/>
      <c r="G178" s="4"/>
      <c r="H178" s="4"/>
      <c r="I178" s="15"/>
      <c r="J178" s="4"/>
    </row>
    <row r="179" ht="14.25" customHeight="1">
      <c r="A179" s="8" t="s">
        <v>16</v>
      </c>
      <c r="B179" s="8">
        <v>8.1</v>
      </c>
      <c r="F179" s="4"/>
      <c r="G179" s="4"/>
      <c r="H179" s="4"/>
      <c r="I179" s="15"/>
      <c r="J179" s="4"/>
    </row>
    <row r="180" ht="14.25" customHeight="1">
      <c r="A180" s="8" t="s">
        <v>16</v>
      </c>
      <c r="B180" s="8">
        <v>7.6</v>
      </c>
      <c r="F180" s="4"/>
      <c r="G180" s="4"/>
      <c r="H180" s="4"/>
      <c r="I180" s="15"/>
      <c r="J180" s="4"/>
    </row>
    <row r="181" ht="14.25" customHeight="1">
      <c r="A181" s="8" t="s">
        <v>16</v>
      </c>
      <c r="B181" s="8">
        <v>7.4</v>
      </c>
      <c r="F181" s="4"/>
      <c r="G181" s="4"/>
      <c r="H181" s="4"/>
      <c r="I181" s="15"/>
      <c r="J181" s="4"/>
    </row>
    <row r="182" ht="14.25" customHeight="1">
      <c r="A182" s="8" t="s">
        <v>16</v>
      </c>
      <c r="B182" s="8">
        <v>7.6</v>
      </c>
      <c r="F182" s="4"/>
      <c r="G182" s="4"/>
      <c r="H182" s="4"/>
      <c r="I182" s="15"/>
      <c r="J182" s="4"/>
    </row>
    <row r="183" ht="14.25" customHeight="1">
      <c r="A183" s="8" t="s">
        <v>16</v>
      </c>
      <c r="B183" s="8">
        <v>6.7</v>
      </c>
      <c r="F183" s="4"/>
      <c r="G183" s="4"/>
      <c r="H183" s="4"/>
      <c r="I183" s="15"/>
      <c r="J183" s="4"/>
    </row>
    <row r="184" ht="14.25" customHeight="1">
      <c r="A184" s="8" t="s">
        <v>16</v>
      </c>
      <c r="B184" s="8">
        <v>6.5</v>
      </c>
      <c r="F184" s="4"/>
      <c r="G184" s="4"/>
      <c r="H184" s="4"/>
      <c r="I184" s="15"/>
      <c r="J184" s="4"/>
    </row>
    <row r="185" ht="14.25" customHeight="1">
      <c r="A185" s="8" t="s">
        <v>16</v>
      </c>
      <c r="B185" s="8">
        <v>6.6</v>
      </c>
      <c r="F185" s="4"/>
      <c r="G185" s="4"/>
      <c r="H185" s="4"/>
      <c r="I185" s="15"/>
      <c r="J185" s="4"/>
    </row>
    <row r="186" ht="14.25" customHeight="1">
      <c r="A186" s="8" t="s">
        <v>16</v>
      </c>
      <c r="B186" s="8">
        <v>6.7</v>
      </c>
      <c r="F186" s="4"/>
      <c r="G186" s="4"/>
      <c r="H186" s="4"/>
      <c r="I186" s="15"/>
      <c r="J186" s="4"/>
    </row>
    <row r="187" ht="14.25" customHeight="1">
      <c r="A187" s="8" t="s">
        <v>16</v>
      </c>
      <c r="B187" s="8">
        <v>6.4</v>
      </c>
      <c r="F187" s="4"/>
      <c r="G187" s="4"/>
      <c r="H187" s="4"/>
      <c r="I187" s="15"/>
      <c r="J187" s="4"/>
    </row>
    <row r="188" ht="14.25" customHeight="1">
      <c r="A188" s="8" t="s">
        <v>16</v>
      </c>
      <c r="B188" s="8">
        <v>5.8</v>
      </c>
      <c r="F188" s="4"/>
      <c r="G188" s="4"/>
      <c r="H188" s="4"/>
      <c r="I188" s="15"/>
      <c r="J188" s="4"/>
    </row>
    <row r="189" ht="14.25" customHeight="1">
      <c r="A189" s="8" t="s">
        <v>16</v>
      </c>
      <c r="B189" s="8">
        <v>7.4</v>
      </c>
      <c r="F189" s="4"/>
      <c r="G189" s="4"/>
      <c r="H189" s="4"/>
      <c r="I189" s="15"/>
      <c r="J189" s="4"/>
    </row>
    <row r="190" ht="14.25" customHeight="1">
      <c r="A190" s="8" t="s">
        <v>16</v>
      </c>
      <c r="B190" s="8">
        <v>7.8</v>
      </c>
      <c r="F190" s="4"/>
      <c r="G190" s="4"/>
      <c r="H190" s="4"/>
      <c r="I190" s="15"/>
      <c r="J190" s="4"/>
    </row>
    <row r="191" ht="14.25" customHeight="1">
      <c r="A191" s="8" t="s">
        <v>16</v>
      </c>
      <c r="B191" s="8">
        <v>6.6</v>
      </c>
      <c r="F191" s="4"/>
      <c r="G191" s="4"/>
      <c r="H191" s="4"/>
      <c r="I191" s="15"/>
      <c r="J191" s="4"/>
    </row>
    <row r="192" ht="14.25" customHeight="1">
      <c r="A192" s="8" t="s">
        <v>16</v>
      </c>
      <c r="B192" s="8">
        <v>4.9</v>
      </c>
      <c r="F192" s="4"/>
      <c r="G192" s="4"/>
      <c r="H192" s="4"/>
      <c r="I192" s="15"/>
      <c r="J192" s="4"/>
    </row>
    <row r="193" ht="14.25" customHeight="1">
      <c r="A193" s="8" t="s">
        <v>16</v>
      </c>
      <c r="B193" s="8">
        <v>6.5</v>
      </c>
      <c r="F193" s="4"/>
      <c r="G193" s="4"/>
      <c r="H193" s="4"/>
      <c r="I193" s="15"/>
      <c r="J193" s="4"/>
    </row>
    <row r="194" ht="14.25" customHeight="1">
      <c r="A194" s="8" t="s">
        <v>16</v>
      </c>
      <c r="B194" s="8">
        <v>6.2</v>
      </c>
      <c r="F194" s="4"/>
      <c r="G194" s="4"/>
      <c r="H194" s="4"/>
      <c r="I194" s="15"/>
      <c r="J194" s="4"/>
    </row>
    <row r="195" ht="14.25" customHeight="1">
      <c r="A195" s="8" t="s">
        <v>16</v>
      </c>
      <c r="B195" s="8">
        <v>7.3</v>
      </c>
      <c r="F195" s="4"/>
      <c r="G195" s="4"/>
      <c r="H195" s="4"/>
      <c r="I195" s="15"/>
      <c r="J195" s="4"/>
    </row>
    <row r="196" ht="14.25" customHeight="1">
      <c r="A196" s="8" t="s">
        <v>16</v>
      </c>
      <c r="B196" s="8">
        <v>7.5</v>
      </c>
      <c r="F196" s="4"/>
      <c r="G196" s="4"/>
      <c r="H196" s="4"/>
      <c r="I196" s="15"/>
      <c r="J196" s="4"/>
    </row>
    <row r="197" ht="14.25" customHeight="1">
      <c r="A197" s="8" t="s">
        <v>16</v>
      </c>
      <c r="B197" s="8">
        <v>5.6</v>
      </c>
      <c r="F197" s="4"/>
      <c r="G197" s="4"/>
      <c r="H197" s="4"/>
      <c r="I197" s="15"/>
      <c r="J197" s="4"/>
    </row>
    <row r="198" ht="14.25" customHeight="1">
      <c r="A198" s="8" t="s">
        <v>16</v>
      </c>
      <c r="B198" s="8">
        <v>8.1</v>
      </c>
      <c r="F198" s="4"/>
      <c r="G198" s="4"/>
      <c r="H198" s="4"/>
      <c r="I198" s="15"/>
      <c r="J198" s="4"/>
    </row>
    <row r="199" ht="14.25" customHeight="1">
      <c r="A199" s="8" t="s">
        <v>16</v>
      </c>
      <c r="B199" s="8">
        <v>6.7</v>
      </c>
      <c r="F199" s="4"/>
      <c r="G199" s="4"/>
      <c r="H199" s="4"/>
      <c r="I199" s="15"/>
      <c r="J199" s="4"/>
    </row>
    <row r="200" ht="14.25" customHeight="1">
      <c r="A200" s="8" t="s">
        <v>16</v>
      </c>
      <c r="B200" s="8">
        <v>6.6</v>
      </c>
      <c r="F200" s="4"/>
      <c r="G200" s="4"/>
      <c r="H200" s="4"/>
      <c r="I200" s="15"/>
      <c r="J200" s="4"/>
    </row>
    <row r="201" ht="14.25" customHeight="1">
      <c r="A201" s="8" t="s">
        <v>16</v>
      </c>
      <c r="B201" s="8">
        <v>6.4</v>
      </c>
      <c r="F201" s="4"/>
      <c r="G201" s="4"/>
      <c r="H201" s="4"/>
      <c r="I201" s="15"/>
      <c r="J201" s="4"/>
    </row>
    <row r="202" ht="14.25" customHeight="1">
      <c r="A202" s="8" t="s">
        <v>16</v>
      </c>
      <c r="B202" s="8">
        <v>7.5</v>
      </c>
      <c r="F202" s="4"/>
      <c r="G202" s="4"/>
      <c r="H202" s="4"/>
      <c r="I202" s="15"/>
      <c r="J202" s="4"/>
    </row>
    <row r="203" ht="14.25" customHeight="1">
      <c r="A203" s="8" t="s">
        <v>16</v>
      </c>
      <c r="B203" s="8">
        <v>7.3</v>
      </c>
      <c r="F203" s="4"/>
      <c r="G203" s="4"/>
      <c r="H203" s="4"/>
      <c r="I203" s="15"/>
      <c r="J203" s="4"/>
    </row>
    <row r="204" ht="14.25" customHeight="1">
      <c r="A204" s="8" t="s">
        <v>16</v>
      </c>
      <c r="B204" s="8">
        <v>7.5</v>
      </c>
      <c r="F204" s="4"/>
      <c r="G204" s="4"/>
      <c r="H204" s="4"/>
      <c r="I204" s="15"/>
      <c r="J204" s="4"/>
    </row>
    <row r="205" ht="14.25" customHeight="1">
      <c r="A205" s="8" t="s">
        <v>16</v>
      </c>
      <c r="B205" s="8">
        <v>5.8</v>
      </c>
      <c r="F205" s="4"/>
      <c r="G205" s="4"/>
      <c r="H205" s="4"/>
      <c r="I205" s="15"/>
      <c r="J205" s="4"/>
    </row>
    <row r="206" ht="14.25" customHeight="1">
      <c r="A206" s="8" t="s">
        <v>16</v>
      </c>
      <c r="B206" s="8">
        <v>7.5</v>
      </c>
      <c r="F206" s="4"/>
      <c r="G206" s="4"/>
      <c r="H206" s="4"/>
      <c r="I206" s="15"/>
      <c r="J206" s="4"/>
    </row>
    <row r="207" ht="14.25" customHeight="1">
      <c r="A207" s="8" t="s">
        <v>16</v>
      </c>
      <c r="B207" s="8">
        <v>6.6</v>
      </c>
      <c r="F207" s="4"/>
      <c r="G207" s="4"/>
      <c r="H207" s="4"/>
      <c r="I207" s="15"/>
      <c r="J207" s="4"/>
    </row>
    <row r="208" ht="14.25" customHeight="1">
      <c r="A208" s="8" t="s">
        <v>16</v>
      </c>
      <c r="B208" s="8">
        <v>6.7</v>
      </c>
      <c r="F208" s="4"/>
      <c r="G208" s="4"/>
      <c r="H208" s="4"/>
      <c r="I208" s="15"/>
      <c r="J208" s="4"/>
    </row>
    <row r="209" ht="14.25" customHeight="1">
      <c r="A209" s="8" t="s">
        <v>16</v>
      </c>
      <c r="B209" s="8">
        <v>3.7</v>
      </c>
      <c r="F209" s="4"/>
      <c r="G209" s="4"/>
      <c r="H209" s="4"/>
      <c r="I209" s="15"/>
      <c r="J209" s="4"/>
    </row>
    <row r="210" ht="14.25" customHeight="1">
      <c r="A210" s="8" t="s">
        <v>16</v>
      </c>
      <c r="B210" s="8">
        <v>6.0</v>
      </c>
      <c r="F210" s="4"/>
      <c r="G210" s="4"/>
      <c r="H210" s="4"/>
      <c r="I210" s="15"/>
      <c r="J210" s="4"/>
    </row>
    <row r="211" ht="14.25" customHeight="1">
      <c r="A211" s="8" t="s">
        <v>16</v>
      </c>
      <c r="B211" s="8">
        <v>6.4</v>
      </c>
      <c r="F211" s="4"/>
      <c r="G211" s="4"/>
      <c r="H211" s="4"/>
      <c r="I211" s="15"/>
      <c r="J211" s="4"/>
    </row>
    <row r="212" ht="14.25" customHeight="1">
      <c r="A212" s="8" t="s">
        <v>16</v>
      </c>
      <c r="B212" s="8">
        <v>6.1</v>
      </c>
      <c r="F212" s="4"/>
      <c r="G212" s="4"/>
      <c r="H212" s="4"/>
      <c r="I212" s="15"/>
      <c r="J212" s="4"/>
    </row>
    <row r="213" ht="14.25" customHeight="1">
      <c r="A213" s="8" t="s">
        <v>16</v>
      </c>
      <c r="B213" s="8">
        <v>6.4</v>
      </c>
      <c r="F213" s="4"/>
      <c r="G213" s="4"/>
      <c r="H213" s="4"/>
      <c r="I213" s="15"/>
      <c r="J213" s="4"/>
    </row>
    <row r="214" ht="14.25" customHeight="1">
      <c r="A214" s="8" t="s">
        <v>16</v>
      </c>
      <c r="B214" s="8">
        <v>5.6</v>
      </c>
      <c r="F214" s="4"/>
      <c r="G214" s="4"/>
      <c r="H214" s="4"/>
      <c r="I214" s="15"/>
      <c r="J214" s="4"/>
    </row>
    <row r="215" ht="14.25" customHeight="1">
      <c r="A215" s="8" t="s">
        <v>16</v>
      </c>
      <c r="B215" s="8">
        <v>8.0</v>
      </c>
      <c r="F215" s="4"/>
      <c r="G215" s="4"/>
      <c r="H215" s="4"/>
      <c r="I215" s="15"/>
      <c r="J215" s="4"/>
    </row>
    <row r="216" ht="14.25" customHeight="1">
      <c r="A216" s="8" t="s">
        <v>16</v>
      </c>
      <c r="B216" s="8">
        <v>5.2</v>
      </c>
      <c r="F216" s="4"/>
      <c r="G216" s="4"/>
      <c r="H216" s="4"/>
      <c r="I216" s="15"/>
      <c r="J216" s="4"/>
    </row>
    <row r="217" ht="14.25" customHeight="1">
      <c r="A217" s="8" t="s">
        <v>16</v>
      </c>
      <c r="B217" s="8">
        <v>7.1</v>
      </c>
      <c r="F217" s="4"/>
      <c r="G217" s="4"/>
      <c r="H217" s="4"/>
      <c r="I217" s="15"/>
      <c r="J217" s="4"/>
    </row>
    <row r="218" ht="14.25" customHeight="1">
      <c r="A218" s="8" t="s">
        <v>16</v>
      </c>
      <c r="B218" s="8">
        <v>4.8</v>
      </c>
      <c r="F218" s="4"/>
      <c r="G218" s="4"/>
      <c r="H218" s="4"/>
      <c r="I218" s="15"/>
      <c r="J218" s="4"/>
    </row>
    <row r="219" ht="14.25" customHeight="1">
      <c r="A219" s="8" t="s">
        <v>16</v>
      </c>
      <c r="B219" s="8">
        <v>7.0</v>
      </c>
      <c r="F219" s="4"/>
      <c r="G219" s="4"/>
      <c r="H219" s="4"/>
      <c r="I219" s="15"/>
      <c r="J219" s="4"/>
    </row>
    <row r="220" ht="14.25" customHeight="1">
      <c r="A220" s="8" t="s">
        <v>16</v>
      </c>
      <c r="B220" s="8">
        <v>5.4</v>
      </c>
      <c r="F220" s="4"/>
      <c r="G220" s="4"/>
      <c r="H220" s="4"/>
      <c r="I220" s="15"/>
      <c r="J220" s="4"/>
    </row>
    <row r="221" ht="14.25" customHeight="1">
      <c r="A221" s="8" t="s">
        <v>16</v>
      </c>
      <c r="B221" s="8">
        <v>6.6</v>
      </c>
      <c r="F221" s="4"/>
      <c r="G221" s="4"/>
      <c r="H221" s="4"/>
      <c r="I221" s="15"/>
      <c r="J221" s="4"/>
    </row>
    <row r="222" ht="14.25" customHeight="1">
      <c r="A222" s="8" t="s">
        <v>16</v>
      </c>
      <c r="B222" s="8">
        <v>6.7</v>
      </c>
      <c r="F222" s="4"/>
      <c r="G222" s="4"/>
      <c r="H222" s="4"/>
      <c r="I222" s="15"/>
      <c r="J222" s="4"/>
    </row>
    <row r="223" ht="14.25" customHeight="1">
      <c r="A223" s="8" t="s">
        <v>16</v>
      </c>
      <c r="B223" s="8">
        <v>6.2</v>
      </c>
      <c r="F223" s="4"/>
      <c r="G223" s="4"/>
      <c r="H223" s="4"/>
      <c r="I223" s="15"/>
      <c r="J223" s="4"/>
    </row>
    <row r="224" ht="14.25" customHeight="1">
      <c r="A224" s="8" t="s">
        <v>16</v>
      </c>
      <c r="B224" s="8">
        <v>6.1</v>
      </c>
      <c r="F224" s="4"/>
      <c r="G224" s="4"/>
      <c r="H224" s="4"/>
      <c r="I224" s="15"/>
      <c r="J224" s="4"/>
    </row>
    <row r="225" ht="14.25" customHeight="1">
      <c r="A225" s="8" t="s">
        <v>16</v>
      </c>
      <c r="B225" s="8">
        <v>5.3</v>
      </c>
      <c r="F225" s="4"/>
      <c r="G225" s="4"/>
      <c r="H225" s="4"/>
      <c r="I225" s="15"/>
      <c r="J225" s="4"/>
    </row>
    <row r="226" ht="14.25" customHeight="1">
      <c r="A226" s="8" t="s">
        <v>16</v>
      </c>
      <c r="B226" s="8">
        <v>6.3</v>
      </c>
      <c r="F226" s="4"/>
      <c r="G226" s="4"/>
      <c r="H226" s="4"/>
      <c r="I226" s="15"/>
      <c r="J226" s="4"/>
    </row>
    <row r="227" ht="14.25" customHeight="1">
      <c r="A227" s="8" t="s">
        <v>16</v>
      </c>
      <c r="B227" s="8">
        <v>7.0</v>
      </c>
      <c r="F227" s="4"/>
      <c r="G227" s="4"/>
      <c r="H227" s="4"/>
      <c r="I227" s="15"/>
      <c r="J227" s="4"/>
    </row>
    <row r="228" ht="14.25" customHeight="1">
      <c r="A228" s="8" t="s">
        <v>16</v>
      </c>
      <c r="B228" s="8">
        <v>7.6</v>
      </c>
      <c r="F228" s="4"/>
      <c r="G228" s="4"/>
      <c r="H228" s="4"/>
      <c r="I228" s="15"/>
      <c r="J228" s="4"/>
    </row>
    <row r="229" ht="14.25" customHeight="1">
      <c r="A229" s="8" t="s">
        <v>16</v>
      </c>
      <c r="B229" s="8">
        <v>6.7</v>
      </c>
      <c r="F229" s="4"/>
      <c r="G229" s="4"/>
      <c r="H229" s="4"/>
      <c r="I229" s="15"/>
      <c r="J229" s="4"/>
    </row>
    <row r="230" ht="14.25" customHeight="1">
      <c r="A230" s="8" t="s">
        <v>16</v>
      </c>
      <c r="B230" s="8">
        <v>8.1</v>
      </c>
      <c r="F230" s="4"/>
      <c r="G230" s="4"/>
      <c r="H230" s="4"/>
      <c r="I230" s="15"/>
      <c r="J230" s="4"/>
    </row>
    <row r="231" ht="14.25" customHeight="1">
      <c r="A231" s="8" t="s">
        <v>16</v>
      </c>
      <c r="B231" s="8">
        <v>6.7</v>
      </c>
      <c r="F231" s="4"/>
      <c r="G231" s="4"/>
      <c r="H231" s="4"/>
      <c r="I231" s="15"/>
      <c r="J231" s="4"/>
    </row>
    <row r="232" ht="14.25" customHeight="1">
      <c r="A232" s="8" t="s">
        <v>16</v>
      </c>
      <c r="B232" s="8">
        <v>6.5</v>
      </c>
      <c r="F232" s="4"/>
      <c r="G232" s="4"/>
      <c r="H232" s="4"/>
      <c r="I232" s="15"/>
      <c r="J232" s="4"/>
    </row>
    <row r="233" ht="14.25" customHeight="1">
      <c r="A233" s="8" t="s">
        <v>16</v>
      </c>
      <c r="B233" s="8">
        <v>7.3</v>
      </c>
      <c r="F233" s="4"/>
      <c r="G233" s="4"/>
      <c r="H233" s="4"/>
      <c r="I233" s="15"/>
      <c r="J233" s="4"/>
    </row>
    <row r="234" ht="14.25" customHeight="1">
      <c r="A234" s="8" t="s">
        <v>16</v>
      </c>
      <c r="B234" s="8">
        <v>6.0</v>
      </c>
      <c r="F234" s="4"/>
      <c r="G234" s="4"/>
      <c r="H234" s="4"/>
      <c r="I234" s="15"/>
      <c r="J234" s="4"/>
    </row>
    <row r="235" ht="14.25" customHeight="1">
      <c r="A235" s="8" t="s">
        <v>16</v>
      </c>
      <c r="B235" s="8">
        <v>6.1</v>
      </c>
      <c r="F235" s="4"/>
      <c r="G235" s="4"/>
      <c r="H235" s="4"/>
      <c r="I235" s="15"/>
      <c r="J235" s="4"/>
    </row>
    <row r="236" ht="14.25" customHeight="1">
      <c r="A236" s="8" t="s">
        <v>16</v>
      </c>
      <c r="B236" s="8">
        <v>5.9</v>
      </c>
      <c r="F236" s="4"/>
      <c r="G236" s="4"/>
      <c r="H236" s="4"/>
      <c r="I236" s="15"/>
      <c r="J236" s="4"/>
    </row>
    <row r="237" ht="14.25" customHeight="1">
      <c r="A237" s="8" t="s">
        <v>16</v>
      </c>
      <c r="B237" s="8">
        <v>7.8</v>
      </c>
      <c r="F237" s="4"/>
      <c r="G237" s="4"/>
      <c r="H237" s="4"/>
      <c r="I237" s="15"/>
      <c r="J237" s="4"/>
    </row>
    <row r="238" ht="14.25" customHeight="1">
      <c r="A238" s="8" t="s">
        <v>16</v>
      </c>
      <c r="B238" s="8">
        <v>5.8</v>
      </c>
      <c r="F238" s="4"/>
      <c r="G238" s="4"/>
      <c r="H238" s="4"/>
      <c r="I238" s="15"/>
      <c r="J238" s="4"/>
    </row>
    <row r="239" ht="14.25" customHeight="1">
      <c r="A239" s="8" t="s">
        <v>16</v>
      </c>
      <c r="B239" s="8">
        <v>6.3</v>
      </c>
      <c r="F239" s="4"/>
      <c r="G239" s="4"/>
      <c r="H239" s="4"/>
      <c r="I239" s="15"/>
      <c r="J239" s="4"/>
    </row>
    <row r="240" ht="14.25" customHeight="1">
      <c r="A240" s="8" t="s">
        <v>16</v>
      </c>
      <c r="B240" s="8">
        <v>4.3</v>
      </c>
      <c r="F240" s="4"/>
      <c r="G240" s="4"/>
      <c r="H240" s="4"/>
      <c r="I240" s="15"/>
      <c r="J240" s="4"/>
    </row>
    <row r="241" ht="14.25" customHeight="1">
      <c r="A241" s="8" t="s">
        <v>16</v>
      </c>
      <c r="B241" s="8">
        <v>6.4</v>
      </c>
      <c r="F241" s="4"/>
      <c r="G241" s="4"/>
      <c r="H241" s="4"/>
      <c r="I241" s="15"/>
      <c r="J241" s="4"/>
    </row>
    <row r="242" ht="14.25" customHeight="1">
      <c r="A242" s="8" t="s">
        <v>16</v>
      </c>
      <c r="B242" s="8">
        <v>6.1</v>
      </c>
      <c r="F242" s="4"/>
      <c r="G242" s="4"/>
      <c r="H242" s="4"/>
      <c r="I242" s="15"/>
      <c r="J242" s="4"/>
    </row>
    <row r="243" ht="14.25" customHeight="1">
      <c r="A243" s="8" t="s">
        <v>16</v>
      </c>
      <c r="B243" s="8">
        <v>6.5</v>
      </c>
      <c r="F243" s="4"/>
      <c r="G243" s="4"/>
      <c r="H243" s="4"/>
      <c r="I243" s="15"/>
      <c r="J243" s="4"/>
    </row>
    <row r="244" ht="14.25" customHeight="1">
      <c r="A244" s="8" t="s">
        <v>16</v>
      </c>
      <c r="B244" s="8">
        <v>7.1</v>
      </c>
      <c r="F244" s="4"/>
      <c r="G244" s="4"/>
      <c r="H244" s="4"/>
      <c r="I244" s="15"/>
      <c r="J244" s="4"/>
    </row>
    <row r="245" ht="14.25" customHeight="1">
      <c r="A245" s="8" t="s">
        <v>16</v>
      </c>
      <c r="B245" s="8">
        <v>6.4</v>
      </c>
      <c r="F245" s="4"/>
      <c r="G245" s="4"/>
      <c r="H245" s="4"/>
      <c r="I245" s="15"/>
      <c r="J245" s="4"/>
    </row>
    <row r="246" ht="14.25" customHeight="1">
      <c r="A246" s="8" t="s">
        <v>16</v>
      </c>
      <c r="B246" s="8">
        <v>6.5</v>
      </c>
      <c r="F246" s="4"/>
      <c r="G246" s="4"/>
      <c r="H246" s="4"/>
      <c r="I246" s="15"/>
      <c r="J246" s="4"/>
    </row>
    <row r="247" ht="14.25" customHeight="1">
      <c r="A247" s="8" t="s">
        <v>16</v>
      </c>
      <c r="B247" s="8">
        <v>6.3</v>
      </c>
      <c r="F247" s="4"/>
      <c r="G247" s="4"/>
      <c r="H247" s="4"/>
      <c r="I247" s="15"/>
      <c r="J247" s="4"/>
    </row>
    <row r="248" ht="14.25" customHeight="1">
      <c r="A248" s="8" t="s">
        <v>16</v>
      </c>
      <c r="B248" s="8">
        <v>7.5</v>
      </c>
      <c r="F248" s="4"/>
      <c r="G248" s="4"/>
      <c r="H248" s="4"/>
      <c r="I248" s="15"/>
      <c r="J248" s="4"/>
    </row>
    <row r="249" ht="14.25" customHeight="1">
      <c r="A249" s="8" t="s">
        <v>16</v>
      </c>
      <c r="B249" s="8">
        <v>4.9</v>
      </c>
      <c r="F249" s="4"/>
      <c r="G249" s="4"/>
      <c r="H249" s="4"/>
      <c r="I249" s="15"/>
      <c r="J249" s="4"/>
    </row>
    <row r="250" ht="14.25" customHeight="1">
      <c r="A250" s="8" t="s">
        <v>16</v>
      </c>
      <c r="B250" s="8">
        <v>5.8</v>
      </c>
      <c r="F250" s="4"/>
      <c r="G250" s="4"/>
      <c r="H250" s="4"/>
      <c r="I250" s="15"/>
      <c r="J250" s="4"/>
    </row>
    <row r="251" ht="14.25" customHeight="1">
      <c r="A251" s="8" t="s">
        <v>16</v>
      </c>
      <c r="B251" s="8">
        <v>6.2</v>
      </c>
      <c r="F251" s="4"/>
      <c r="G251" s="4"/>
      <c r="H251" s="4"/>
      <c r="I251" s="15"/>
      <c r="J251" s="4"/>
    </row>
    <row r="252" ht="14.25" customHeight="1">
      <c r="A252" s="8" t="s">
        <v>16</v>
      </c>
      <c r="B252" s="8">
        <v>5.5</v>
      </c>
      <c r="F252" s="4"/>
      <c r="G252" s="4"/>
      <c r="H252" s="4"/>
      <c r="I252" s="15"/>
      <c r="J252" s="4"/>
    </row>
    <row r="253" ht="14.25" customHeight="1">
      <c r="A253" s="8" t="s">
        <v>16</v>
      </c>
      <c r="B253" s="8">
        <v>5.4</v>
      </c>
      <c r="F253" s="4"/>
      <c r="G253" s="4"/>
      <c r="H253" s="4"/>
      <c r="I253" s="15"/>
      <c r="J253" s="4"/>
    </row>
    <row r="254" ht="14.25" customHeight="1">
      <c r="A254" s="8" t="s">
        <v>16</v>
      </c>
      <c r="B254" s="8">
        <v>5.8</v>
      </c>
      <c r="F254" s="4"/>
      <c r="G254" s="4"/>
      <c r="H254" s="4"/>
      <c r="I254" s="15"/>
      <c r="J254" s="4"/>
    </row>
    <row r="255" ht="14.25" customHeight="1">
      <c r="A255" s="8" t="s">
        <v>16</v>
      </c>
      <c r="B255" s="8">
        <v>7.1</v>
      </c>
      <c r="F255" s="4"/>
      <c r="G255" s="4"/>
      <c r="H255" s="4"/>
      <c r="I255" s="15"/>
      <c r="J255" s="4"/>
    </row>
    <row r="256" ht="14.25" customHeight="1">
      <c r="A256" s="8" t="s">
        <v>16</v>
      </c>
      <c r="B256" s="8">
        <v>5.4</v>
      </c>
      <c r="F256" s="4"/>
      <c r="G256" s="4"/>
      <c r="H256" s="4"/>
      <c r="I256" s="15"/>
      <c r="J256" s="4"/>
    </row>
    <row r="257" ht="14.25" customHeight="1">
      <c r="A257" s="8" t="s">
        <v>16</v>
      </c>
      <c r="B257" s="8">
        <v>3.7</v>
      </c>
      <c r="F257" s="4"/>
      <c r="G257" s="4"/>
      <c r="H257" s="4"/>
      <c r="I257" s="15"/>
      <c r="J257" s="4"/>
    </row>
    <row r="258" ht="14.25" customHeight="1">
      <c r="A258" s="8" t="s">
        <v>16</v>
      </c>
      <c r="B258" s="8">
        <v>6.7</v>
      </c>
      <c r="F258" s="4"/>
      <c r="G258" s="4"/>
      <c r="H258" s="4"/>
      <c r="I258" s="15"/>
      <c r="J258" s="4"/>
    </row>
    <row r="259" ht="14.25" customHeight="1">
      <c r="A259" s="8" t="s">
        <v>16</v>
      </c>
      <c r="B259" s="8">
        <v>7.2</v>
      </c>
      <c r="F259" s="4"/>
      <c r="G259" s="4"/>
      <c r="H259" s="4"/>
      <c r="I259" s="15"/>
      <c r="J259" s="4"/>
    </row>
    <row r="260" ht="14.25" customHeight="1">
      <c r="A260" s="8" t="s">
        <v>16</v>
      </c>
      <c r="B260" s="8">
        <v>8.8</v>
      </c>
      <c r="F260" s="4"/>
      <c r="G260" s="4"/>
      <c r="H260" s="4"/>
      <c r="I260" s="15"/>
      <c r="J260" s="4"/>
    </row>
    <row r="261" ht="14.25" customHeight="1">
      <c r="A261" s="8" t="s">
        <v>16</v>
      </c>
      <c r="B261" s="8">
        <v>5.8</v>
      </c>
      <c r="F261" s="4"/>
      <c r="G261" s="4"/>
      <c r="H261" s="4"/>
      <c r="I261" s="15"/>
      <c r="J261" s="4"/>
    </row>
    <row r="262" ht="14.25" customHeight="1">
      <c r="A262" s="8" t="s">
        <v>16</v>
      </c>
      <c r="B262" s="8">
        <v>6.8</v>
      </c>
      <c r="F262" s="4"/>
      <c r="G262" s="4"/>
      <c r="H262" s="4"/>
      <c r="I262" s="15"/>
      <c r="J262" s="4"/>
    </row>
    <row r="263" ht="14.25" customHeight="1">
      <c r="A263" s="8" t="s">
        <v>16</v>
      </c>
      <c r="B263" s="8">
        <v>3.8</v>
      </c>
      <c r="F263" s="4"/>
      <c r="G263" s="4"/>
      <c r="H263" s="4"/>
      <c r="I263" s="15"/>
      <c r="J263" s="4"/>
    </row>
    <row r="264" ht="14.25" customHeight="1">
      <c r="A264" s="8" t="s">
        <v>16</v>
      </c>
      <c r="B264" s="8">
        <v>7.1</v>
      </c>
      <c r="F264" s="4"/>
      <c r="G264" s="4"/>
      <c r="H264" s="4"/>
      <c r="I264" s="15"/>
      <c r="J264" s="4"/>
    </row>
    <row r="265" ht="14.25" customHeight="1">
      <c r="A265" s="8" t="s">
        <v>16</v>
      </c>
      <c r="B265" s="8">
        <v>7.2</v>
      </c>
      <c r="F265" s="4"/>
      <c r="G265" s="4"/>
      <c r="H265" s="4"/>
      <c r="I265" s="15"/>
      <c r="J265" s="4"/>
    </row>
    <row r="266" ht="14.25" customHeight="1">
      <c r="A266" s="8" t="s">
        <v>16</v>
      </c>
      <c r="B266" s="8">
        <v>5.9</v>
      </c>
      <c r="F266" s="4"/>
      <c r="G266" s="4"/>
      <c r="H266" s="4"/>
      <c r="I266" s="15"/>
      <c r="J266" s="4"/>
    </row>
    <row r="267" ht="14.25" customHeight="1">
      <c r="A267" s="8" t="s">
        <v>16</v>
      </c>
      <c r="B267" s="8">
        <v>7.1</v>
      </c>
      <c r="F267" s="4"/>
      <c r="G267" s="4"/>
      <c r="H267" s="4"/>
      <c r="I267" s="15"/>
      <c r="J267" s="4"/>
    </row>
    <row r="268" ht="14.25" customHeight="1">
      <c r="A268" s="8" t="s">
        <v>16</v>
      </c>
      <c r="B268" s="8">
        <v>8.1</v>
      </c>
      <c r="F268" s="4"/>
      <c r="G268" s="4"/>
      <c r="H268" s="4"/>
      <c r="I268" s="15"/>
      <c r="J268" s="4"/>
    </row>
    <row r="269" ht="14.25" customHeight="1">
      <c r="A269" s="8" t="s">
        <v>16</v>
      </c>
      <c r="B269" s="8">
        <v>6.9</v>
      </c>
      <c r="F269" s="4"/>
      <c r="G269" s="4"/>
      <c r="H269" s="4"/>
      <c r="I269" s="15"/>
      <c r="J269" s="4"/>
    </row>
    <row r="270" ht="14.25" customHeight="1">
      <c r="A270" s="8" t="s">
        <v>16</v>
      </c>
      <c r="B270" s="8">
        <v>4.4</v>
      </c>
      <c r="F270" s="4"/>
      <c r="G270" s="4"/>
      <c r="H270" s="4"/>
      <c r="I270" s="15"/>
      <c r="J270" s="4"/>
    </row>
    <row r="271" ht="14.25" customHeight="1">
      <c r="A271" s="8" t="s">
        <v>16</v>
      </c>
      <c r="B271" s="8">
        <v>6.5</v>
      </c>
      <c r="F271" s="4"/>
      <c r="G271" s="4"/>
      <c r="H271" s="4"/>
      <c r="I271" s="15"/>
      <c r="J271" s="4"/>
    </row>
    <row r="272" ht="14.25" customHeight="1">
      <c r="A272" s="8" t="s">
        <v>16</v>
      </c>
      <c r="B272" s="8">
        <v>8.5</v>
      </c>
      <c r="F272" s="4"/>
      <c r="G272" s="4"/>
      <c r="H272" s="4"/>
      <c r="I272" s="15"/>
      <c r="J272" s="4"/>
    </row>
    <row r="273" ht="14.25" customHeight="1">
      <c r="A273" s="8" t="s">
        <v>16</v>
      </c>
      <c r="B273" s="8">
        <v>7.7</v>
      </c>
      <c r="F273" s="4"/>
      <c r="G273" s="4"/>
      <c r="H273" s="4"/>
      <c r="I273" s="15"/>
      <c r="J273" s="4"/>
    </row>
    <row r="274" ht="14.25" customHeight="1">
      <c r="A274" s="8" t="s">
        <v>16</v>
      </c>
      <c r="B274" s="8">
        <v>7.4</v>
      </c>
      <c r="F274" s="4"/>
      <c r="G274" s="4"/>
      <c r="H274" s="4"/>
      <c r="I274" s="15"/>
      <c r="J274" s="4"/>
    </row>
    <row r="275" ht="14.25" customHeight="1">
      <c r="A275" s="8" t="s">
        <v>16</v>
      </c>
      <c r="B275" s="8">
        <v>8.0</v>
      </c>
      <c r="F275" s="4"/>
      <c r="G275" s="4"/>
      <c r="H275" s="4"/>
      <c r="I275" s="15"/>
      <c r="J275" s="4"/>
    </row>
    <row r="276" ht="14.25" customHeight="1">
      <c r="A276" s="8" t="s">
        <v>16</v>
      </c>
      <c r="B276" s="8">
        <v>5.7</v>
      </c>
      <c r="F276" s="4"/>
      <c r="G276" s="4"/>
      <c r="H276" s="4"/>
      <c r="I276" s="15"/>
      <c r="J276" s="4"/>
    </row>
    <row r="277" ht="14.25" customHeight="1">
      <c r="A277" s="8" t="s">
        <v>16</v>
      </c>
      <c r="B277" s="8">
        <v>8.5</v>
      </c>
      <c r="F277" s="4"/>
      <c r="G277" s="4"/>
      <c r="H277" s="4"/>
      <c r="I277" s="15"/>
      <c r="J277" s="4"/>
    </row>
    <row r="278" ht="14.25" customHeight="1">
      <c r="A278" s="8" t="s">
        <v>16</v>
      </c>
      <c r="B278" s="8">
        <v>7.0</v>
      </c>
      <c r="F278" s="4"/>
      <c r="G278" s="4"/>
      <c r="H278" s="4"/>
      <c r="I278" s="15"/>
      <c r="J278" s="4"/>
    </row>
    <row r="279" ht="14.25" customHeight="1">
      <c r="A279" s="8" t="s">
        <v>16</v>
      </c>
      <c r="B279" s="8">
        <v>7.8</v>
      </c>
      <c r="F279" s="4"/>
      <c r="G279" s="4"/>
      <c r="H279" s="4"/>
      <c r="I279" s="15"/>
      <c r="J279" s="4"/>
    </row>
    <row r="280" ht="14.25" customHeight="1">
      <c r="A280" s="8" t="s">
        <v>16</v>
      </c>
      <c r="B280" s="8">
        <v>7.2</v>
      </c>
      <c r="F280" s="4"/>
      <c r="G280" s="4"/>
      <c r="H280" s="4"/>
      <c r="I280" s="15"/>
      <c r="J280" s="4"/>
    </row>
    <row r="281" ht="14.25" customHeight="1">
      <c r="A281" s="8" t="s">
        <v>16</v>
      </c>
      <c r="B281" s="8">
        <v>6.4</v>
      </c>
      <c r="F281" s="4"/>
      <c r="G281" s="4"/>
      <c r="H281" s="4"/>
      <c r="I281" s="15"/>
      <c r="J281" s="4"/>
    </row>
    <row r="282" ht="14.25" customHeight="1">
      <c r="A282" s="8" t="s">
        <v>16</v>
      </c>
      <c r="B282" s="8">
        <v>5.5</v>
      </c>
      <c r="F282" s="4"/>
      <c r="G282" s="4"/>
      <c r="H282" s="4"/>
      <c r="I282" s="15"/>
      <c r="J282" s="4"/>
    </row>
    <row r="283" ht="14.25" customHeight="1">
      <c r="A283" s="8" t="s">
        <v>16</v>
      </c>
      <c r="B283" s="8">
        <v>6.7</v>
      </c>
      <c r="F283" s="4"/>
      <c r="G283" s="4"/>
      <c r="H283" s="4"/>
      <c r="I283" s="15"/>
      <c r="J283" s="4"/>
    </row>
    <row r="284" ht="14.25" customHeight="1">
      <c r="A284" s="8" t="s">
        <v>16</v>
      </c>
      <c r="B284" s="8">
        <v>6.1</v>
      </c>
      <c r="F284" s="4"/>
      <c r="G284" s="4"/>
      <c r="H284" s="4"/>
      <c r="I284" s="15"/>
      <c r="J284" s="4"/>
    </row>
    <row r="285" ht="14.25" customHeight="1">
      <c r="A285" s="8" t="s">
        <v>16</v>
      </c>
      <c r="B285" s="8">
        <v>8.5</v>
      </c>
      <c r="F285" s="4"/>
      <c r="G285" s="4"/>
      <c r="H285" s="4"/>
      <c r="I285" s="15"/>
      <c r="J285" s="4"/>
    </row>
    <row r="286" ht="14.25" customHeight="1">
      <c r="A286" s="8" t="s">
        <v>16</v>
      </c>
      <c r="B286" s="8">
        <v>6.9</v>
      </c>
      <c r="F286" s="4"/>
      <c r="G286" s="4"/>
      <c r="H286" s="4"/>
      <c r="I286" s="15"/>
      <c r="J286" s="4"/>
    </row>
    <row r="287" ht="14.25" customHeight="1">
      <c r="A287" s="8" t="s">
        <v>16</v>
      </c>
      <c r="B287" s="8">
        <v>7.3</v>
      </c>
      <c r="F287" s="4"/>
      <c r="G287" s="4"/>
      <c r="H287" s="4"/>
      <c r="I287" s="15"/>
      <c r="J287" s="4"/>
    </row>
    <row r="288" ht="14.25" customHeight="1">
      <c r="A288" s="8" t="s">
        <v>16</v>
      </c>
      <c r="B288" s="8">
        <v>6.7</v>
      </c>
      <c r="F288" s="4"/>
      <c r="G288" s="4"/>
      <c r="H288" s="4"/>
      <c r="I288" s="15"/>
      <c r="J288" s="4"/>
    </row>
    <row r="289" ht="14.25" customHeight="1">
      <c r="A289" s="8" t="s">
        <v>16</v>
      </c>
      <c r="B289" s="8">
        <v>6.9</v>
      </c>
      <c r="F289" s="4"/>
      <c r="G289" s="4"/>
      <c r="H289" s="4"/>
      <c r="I289" s="15"/>
      <c r="J289" s="4"/>
    </row>
    <row r="290" ht="14.25" customHeight="1">
      <c r="A290" s="8" t="s">
        <v>16</v>
      </c>
      <c r="B290" s="8">
        <v>5.1</v>
      </c>
      <c r="F290" s="4"/>
      <c r="G290" s="4"/>
      <c r="H290" s="4"/>
      <c r="I290" s="15"/>
      <c r="J290" s="4"/>
    </row>
    <row r="291" ht="14.25" customHeight="1">
      <c r="A291" s="8" t="s">
        <v>16</v>
      </c>
      <c r="B291" s="8">
        <v>6.8</v>
      </c>
      <c r="F291" s="4"/>
      <c r="G291" s="4"/>
      <c r="H291" s="4"/>
      <c r="I291" s="15"/>
      <c r="J291" s="4"/>
    </row>
    <row r="292" ht="14.25" customHeight="1">
      <c r="A292" s="8" t="s">
        <v>16</v>
      </c>
      <c r="B292" s="8">
        <v>6.7</v>
      </c>
      <c r="F292" s="4"/>
      <c r="G292" s="4"/>
      <c r="H292" s="4"/>
      <c r="I292" s="15"/>
      <c r="J292" s="4"/>
    </row>
    <row r="293" ht="14.25" customHeight="1">
      <c r="A293" s="8" t="s">
        <v>16</v>
      </c>
      <c r="B293" s="8">
        <v>6.0</v>
      </c>
      <c r="F293" s="4"/>
      <c r="G293" s="4"/>
      <c r="H293" s="4"/>
      <c r="I293" s="15"/>
      <c r="J293" s="4"/>
    </row>
    <row r="294" ht="14.25" customHeight="1">
      <c r="A294" s="8" t="s">
        <v>16</v>
      </c>
      <c r="B294" s="8">
        <v>5.7</v>
      </c>
      <c r="F294" s="4"/>
      <c r="G294" s="4"/>
      <c r="H294" s="4"/>
      <c r="I294" s="15"/>
      <c r="J294" s="4"/>
    </row>
    <row r="295" ht="14.25" customHeight="1">
      <c r="A295" s="8" t="s">
        <v>16</v>
      </c>
      <c r="B295" s="8">
        <v>8.0</v>
      </c>
      <c r="F295" s="4"/>
      <c r="G295" s="4"/>
      <c r="H295" s="4"/>
      <c r="I295" s="15"/>
      <c r="J295" s="4"/>
    </row>
    <row r="296" ht="14.25" customHeight="1">
      <c r="A296" s="8" t="s">
        <v>16</v>
      </c>
      <c r="B296" s="8">
        <v>8.2</v>
      </c>
      <c r="F296" s="4"/>
      <c r="G296" s="4"/>
      <c r="H296" s="4"/>
      <c r="I296" s="15"/>
      <c r="J296" s="4"/>
    </row>
    <row r="297" ht="14.25" customHeight="1">
      <c r="A297" s="8" t="s">
        <v>16</v>
      </c>
      <c r="B297" s="8">
        <v>5.4</v>
      </c>
      <c r="F297" s="4"/>
      <c r="G297" s="4"/>
      <c r="H297" s="4"/>
      <c r="I297" s="15"/>
      <c r="J297" s="4"/>
    </row>
    <row r="298" ht="14.25" customHeight="1">
      <c r="A298" s="8" t="s">
        <v>16</v>
      </c>
      <c r="B298" s="8">
        <v>7.2</v>
      </c>
      <c r="F298" s="4"/>
      <c r="G298" s="4"/>
      <c r="H298" s="4"/>
      <c r="I298" s="15"/>
      <c r="J298" s="4"/>
    </row>
    <row r="299" ht="14.25" customHeight="1">
      <c r="A299" s="8" t="s">
        <v>16</v>
      </c>
      <c r="B299" s="8">
        <v>7.5</v>
      </c>
      <c r="F299" s="4"/>
      <c r="G299" s="4"/>
      <c r="H299" s="4"/>
      <c r="I299" s="15"/>
      <c r="J299" s="4"/>
    </row>
    <row r="300" ht="14.25" customHeight="1">
      <c r="A300" s="8" t="s">
        <v>16</v>
      </c>
      <c r="B300" s="8">
        <v>7.0</v>
      </c>
      <c r="F300" s="4"/>
      <c r="G300" s="4"/>
      <c r="H300" s="4"/>
      <c r="I300" s="15"/>
      <c r="J300" s="4"/>
    </row>
    <row r="301" ht="14.25" customHeight="1">
      <c r="A301" s="8" t="s">
        <v>16</v>
      </c>
      <c r="B301" s="8">
        <v>3.3</v>
      </c>
      <c r="F301" s="4"/>
      <c r="G301" s="4"/>
      <c r="H301" s="4"/>
      <c r="I301" s="15"/>
      <c r="J301" s="4"/>
    </row>
    <row r="302" ht="14.25" customHeight="1">
      <c r="A302" s="8" t="s">
        <v>16</v>
      </c>
      <c r="B302" s="8">
        <v>6.0</v>
      </c>
      <c r="F302" s="4"/>
      <c r="G302" s="4"/>
      <c r="H302" s="4"/>
      <c r="I302" s="15"/>
      <c r="J302" s="4"/>
    </row>
    <row r="303" ht="14.25" customHeight="1">
      <c r="A303" s="8" t="s">
        <v>16</v>
      </c>
      <c r="B303" s="8">
        <v>7.1</v>
      </c>
      <c r="F303" s="4"/>
      <c r="G303" s="4"/>
      <c r="H303" s="4"/>
      <c r="I303" s="15"/>
      <c r="J303" s="4"/>
    </row>
    <row r="304" ht="14.25" customHeight="1">
      <c r="A304" s="8" t="s">
        <v>16</v>
      </c>
      <c r="B304" s="8">
        <v>5.4</v>
      </c>
      <c r="F304" s="4"/>
      <c r="G304" s="4"/>
      <c r="H304" s="4"/>
      <c r="I304" s="15"/>
      <c r="J304" s="4"/>
    </row>
    <row r="305" ht="14.25" customHeight="1">
      <c r="A305" s="8" t="s">
        <v>16</v>
      </c>
      <c r="B305" s="8">
        <v>6.1</v>
      </c>
      <c r="F305" s="4"/>
      <c r="G305" s="4"/>
      <c r="H305" s="4"/>
      <c r="I305" s="15"/>
      <c r="J305" s="4"/>
    </row>
    <row r="306" ht="14.25" customHeight="1">
      <c r="A306" s="8" t="s">
        <v>16</v>
      </c>
      <c r="B306" s="8">
        <v>5.3</v>
      </c>
      <c r="F306" s="4"/>
      <c r="G306" s="4"/>
      <c r="H306" s="4"/>
      <c r="I306" s="15"/>
      <c r="J306" s="4"/>
    </row>
    <row r="307" ht="14.25" customHeight="1">
      <c r="A307" s="8" t="s">
        <v>16</v>
      </c>
      <c r="B307" s="8">
        <v>2.2</v>
      </c>
      <c r="F307" s="4"/>
      <c r="G307" s="4"/>
      <c r="H307" s="4"/>
      <c r="I307" s="15"/>
      <c r="J307" s="4"/>
    </row>
    <row r="308" ht="14.25" customHeight="1">
      <c r="A308" s="8" t="s">
        <v>16</v>
      </c>
      <c r="B308" s="8">
        <v>7.0</v>
      </c>
      <c r="F308" s="4"/>
      <c r="G308" s="4"/>
      <c r="H308" s="4"/>
      <c r="I308" s="15"/>
      <c r="J308" s="4"/>
    </row>
    <row r="309" ht="14.25" customHeight="1">
      <c r="A309" s="8" t="s">
        <v>16</v>
      </c>
      <c r="B309" s="8">
        <v>3.8</v>
      </c>
      <c r="F309" s="4"/>
      <c r="G309" s="4"/>
      <c r="H309" s="4"/>
      <c r="I309" s="15"/>
      <c r="J309" s="4"/>
    </row>
    <row r="310" ht="14.25" customHeight="1">
      <c r="A310" s="8" t="s">
        <v>16</v>
      </c>
      <c r="B310" s="8">
        <v>6.9</v>
      </c>
      <c r="F310" s="4"/>
      <c r="G310" s="4"/>
      <c r="H310" s="4"/>
      <c r="I310" s="15"/>
      <c r="J310" s="4"/>
    </row>
    <row r="311" ht="14.25" customHeight="1">
      <c r="A311" s="8" t="s">
        <v>16</v>
      </c>
      <c r="B311" s="8">
        <v>7.2</v>
      </c>
      <c r="F311" s="4"/>
      <c r="G311" s="4"/>
      <c r="H311" s="4"/>
      <c r="I311" s="15"/>
      <c r="J311" s="4"/>
    </row>
    <row r="312" ht="14.25" customHeight="1">
      <c r="A312" s="8" t="s">
        <v>16</v>
      </c>
      <c r="B312" s="8">
        <v>7.3</v>
      </c>
      <c r="F312" s="4"/>
      <c r="G312" s="4"/>
      <c r="H312" s="4"/>
      <c r="I312" s="15"/>
      <c r="J312" s="4"/>
    </row>
    <row r="313" ht="14.25" customHeight="1">
      <c r="A313" s="8" t="s">
        <v>16</v>
      </c>
      <c r="B313" s="8">
        <v>6.3</v>
      </c>
      <c r="F313" s="4"/>
      <c r="G313" s="4"/>
      <c r="H313" s="4"/>
      <c r="I313" s="15"/>
      <c r="J313" s="4"/>
    </row>
    <row r="314" ht="14.25" customHeight="1">
      <c r="A314" s="8" t="s">
        <v>16</v>
      </c>
      <c r="B314" s="8">
        <v>7.5</v>
      </c>
      <c r="F314" s="4"/>
      <c r="G314" s="4"/>
      <c r="H314" s="4"/>
      <c r="I314" s="15"/>
      <c r="J314" s="4"/>
    </row>
    <row r="315" ht="14.25" customHeight="1">
      <c r="A315" s="8" t="s">
        <v>816</v>
      </c>
      <c r="B315" s="8">
        <v>7.6</v>
      </c>
      <c r="F315" s="4"/>
      <c r="G315" s="4"/>
      <c r="H315" s="4"/>
      <c r="I315" s="15"/>
      <c r="J315" s="4"/>
    </row>
    <row r="316" ht="14.25" customHeight="1">
      <c r="A316" s="8" t="s">
        <v>16</v>
      </c>
      <c r="B316" s="8">
        <v>6.8</v>
      </c>
      <c r="F316" s="4"/>
      <c r="G316" s="4"/>
      <c r="H316" s="4"/>
      <c r="I316" s="15"/>
      <c r="J316" s="4"/>
    </row>
    <row r="317" ht="14.25" customHeight="1">
      <c r="A317" s="8" t="s">
        <v>16</v>
      </c>
      <c r="B317" s="8">
        <v>5.2</v>
      </c>
      <c r="F317" s="4"/>
      <c r="G317" s="4"/>
      <c r="H317" s="4"/>
      <c r="I317" s="15"/>
      <c r="J317" s="4"/>
    </row>
    <row r="318" ht="14.25" customHeight="1">
      <c r="A318" s="8" t="s">
        <v>16</v>
      </c>
      <c r="B318" s="8">
        <v>7.7</v>
      </c>
      <c r="F318" s="4"/>
      <c r="G318" s="4"/>
      <c r="H318" s="4"/>
      <c r="I318" s="15"/>
      <c r="J318" s="4"/>
    </row>
    <row r="319" ht="14.25" customHeight="1">
      <c r="A319" s="8" t="s">
        <v>16</v>
      </c>
      <c r="B319" s="8">
        <v>6.2</v>
      </c>
      <c r="F319" s="4"/>
      <c r="G319" s="4"/>
      <c r="H319" s="4"/>
      <c r="I319" s="15"/>
      <c r="J319" s="4"/>
    </row>
    <row r="320" ht="14.25" customHeight="1">
      <c r="A320" s="8" t="s">
        <v>16</v>
      </c>
      <c r="B320" s="8">
        <v>7.7</v>
      </c>
      <c r="F320" s="4"/>
      <c r="G320" s="4"/>
      <c r="H320" s="4"/>
      <c r="I320" s="15"/>
      <c r="J320" s="4"/>
    </row>
    <row r="321" ht="14.25" customHeight="1">
      <c r="A321" s="8" t="s">
        <v>16</v>
      </c>
      <c r="B321" s="8">
        <v>4.3</v>
      </c>
      <c r="F321" s="4"/>
      <c r="G321" s="4"/>
      <c r="H321" s="4"/>
      <c r="I321" s="15"/>
      <c r="J321" s="4"/>
    </row>
    <row r="322" ht="14.25" customHeight="1">
      <c r="A322" s="8" t="s">
        <v>16</v>
      </c>
      <c r="B322" s="8">
        <v>6.9</v>
      </c>
      <c r="F322" s="4"/>
      <c r="G322" s="4"/>
      <c r="H322" s="4"/>
      <c r="I322" s="15"/>
      <c r="J322" s="4"/>
    </row>
    <row r="323" ht="14.25" customHeight="1">
      <c r="A323" s="8" t="s">
        <v>16</v>
      </c>
      <c r="B323" s="8">
        <v>6.6</v>
      </c>
      <c r="F323" s="4"/>
      <c r="G323" s="4"/>
      <c r="H323" s="4"/>
      <c r="I323" s="15"/>
      <c r="J323" s="4"/>
    </row>
    <row r="324" ht="14.25" customHeight="1">
      <c r="A324" s="8" t="s">
        <v>16</v>
      </c>
      <c r="B324" s="8">
        <v>7.0</v>
      </c>
      <c r="F324" s="4"/>
      <c r="G324" s="4"/>
      <c r="H324" s="4"/>
      <c r="I324" s="15"/>
      <c r="J324" s="4"/>
    </row>
    <row r="325" ht="14.25" customHeight="1">
      <c r="A325" s="8" t="s">
        <v>16</v>
      </c>
      <c r="B325" s="8">
        <v>6.7</v>
      </c>
      <c r="F325" s="4"/>
      <c r="G325" s="4"/>
      <c r="H325" s="4"/>
      <c r="I325" s="15"/>
      <c r="J325" s="4"/>
    </row>
    <row r="326" ht="14.25" customHeight="1">
      <c r="A326" s="8" t="s">
        <v>16</v>
      </c>
      <c r="B326" s="8">
        <v>8.2</v>
      </c>
      <c r="F326" s="4"/>
      <c r="G326" s="4"/>
      <c r="H326" s="4"/>
      <c r="I326" s="15"/>
      <c r="J326" s="4"/>
    </row>
    <row r="327" ht="14.25" customHeight="1">
      <c r="A327" s="8" t="s">
        <v>16</v>
      </c>
      <c r="B327" s="8">
        <v>8.9</v>
      </c>
      <c r="F327" s="4"/>
      <c r="G327" s="4"/>
      <c r="H327" s="4"/>
      <c r="I327" s="15"/>
      <c r="J327" s="4"/>
    </row>
    <row r="328" ht="14.25" customHeight="1">
      <c r="A328" s="8" t="s">
        <v>16</v>
      </c>
      <c r="B328" s="8">
        <v>8.7</v>
      </c>
      <c r="F328" s="4"/>
      <c r="G328" s="4"/>
      <c r="H328" s="4"/>
      <c r="I328" s="15"/>
      <c r="J328" s="4"/>
    </row>
    <row r="329" ht="14.25" customHeight="1">
      <c r="A329" s="8" t="s">
        <v>16</v>
      </c>
      <c r="B329" s="8">
        <v>5.5</v>
      </c>
      <c r="F329" s="4"/>
      <c r="G329" s="4"/>
      <c r="H329" s="4"/>
      <c r="I329" s="15"/>
      <c r="J329" s="4"/>
    </row>
    <row r="330" ht="14.25" customHeight="1">
      <c r="A330" s="8" t="s">
        <v>16</v>
      </c>
      <c r="B330" s="8">
        <v>5.7</v>
      </c>
      <c r="F330" s="4"/>
      <c r="G330" s="4"/>
      <c r="H330" s="4"/>
      <c r="I330" s="15"/>
      <c r="J330" s="4"/>
    </row>
    <row r="331" ht="14.25" customHeight="1">
      <c r="A331" s="8" t="s">
        <v>16</v>
      </c>
      <c r="B331" s="8">
        <v>6.3</v>
      </c>
      <c r="F331" s="4"/>
      <c r="G331" s="4"/>
      <c r="H331" s="4"/>
      <c r="I331" s="15"/>
      <c r="J331" s="4"/>
    </row>
    <row r="332" ht="14.25" customHeight="1">
      <c r="A332" s="8" t="s">
        <v>16</v>
      </c>
      <c r="B332" s="8">
        <v>5.9</v>
      </c>
      <c r="F332" s="4"/>
      <c r="G332" s="4"/>
      <c r="H332" s="4"/>
      <c r="I332" s="15"/>
      <c r="J332" s="4"/>
    </row>
    <row r="333" ht="14.25" customHeight="1">
      <c r="A333" s="8" t="s">
        <v>16</v>
      </c>
      <c r="B333" s="8">
        <v>7.6</v>
      </c>
      <c r="F333" s="4"/>
      <c r="G333" s="4"/>
      <c r="H333" s="4"/>
      <c r="I333" s="15"/>
      <c r="J333" s="4"/>
    </row>
    <row r="334" ht="14.25" customHeight="1">
      <c r="A334" s="8" t="s">
        <v>16</v>
      </c>
      <c r="B334" s="8">
        <v>6.6</v>
      </c>
      <c r="F334" s="4"/>
      <c r="G334" s="4"/>
      <c r="H334" s="4"/>
      <c r="I334" s="15"/>
      <c r="J334" s="4"/>
    </row>
    <row r="335" ht="14.25" customHeight="1">
      <c r="A335" s="8" t="s">
        <v>16</v>
      </c>
      <c r="B335" s="8">
        <v>5.3</v>
      </c>
      <c r="F335" s="4"/>
      <c r="G335" s="4"/>
      <c r="H335" s="4"/>
      <c r="I335" s="15"/>
      <c r="J335" s="4"/>
    </row>
    <row r="336" ht="14.25" customHeight="1">
      <c r="A336" s="8" t="s">
        <v>16</v>
      </c>
      <c r="B336" s="8">
        <v>6.0</v>
      </c>
      <c r="F336" s="4"/>
      <c r="G336" s="4"/>
      <c r="H336" s="4"/>
      <c r="I336" s="15"/>
      <c r="J336" s="4"/>
    </row>
    <row r="337" ht="14.25" customHeight="1">
      <c r="A337" s="8" t="s">
        <v>16</v>
      </c>
      <c r="B337" s="8">
        <v>8.0</v>
      </c>
      <c r="F337" s="4"/>
      <c r="G337" s="4"/>
      <c r="H337" s="4"/>
      <c r="I337" s="15"/>
      <c r="J337" s="4"/>
    </row>
    <row r="338" ht="14.25" customHeight="1">
      <c r="A338" s="8" t="s">
        <v>16</v>
      </c>
      <c r="B338" s="8">
        <v>5.6</v>
      </c>
      <c r="F338" s="4"/>
      <c r="G338" s="4"/>
      <c r="H338" s="4"/>
      <c r="I338" s="15"/>
      <c r="J338" s="4"/>
    </row>
    <row r="339" ht="14.25" customHeight="1">
      <c r="A339" s="8" t="s">
        <v>16</v>
      </c>
      <c r="B339" s="8">
        <v>5.9</v>
      </c>
      <c r="F339" s="4"/>
      <c r="G339" s="4"/>
      <c r="H339" s="4"/>
      <c r="I339" s="15"/>
      <c r="J339" s="4"/>
    </row>
    <row r="340" ht="14.25" customHeight="1">
      <c r="A340" s="8" t="s">
        <v>16</v>
      </c>
      <c r="B340" s="8">
        <v>7.3</v>
      </c>
      <c r="F340" s="4"/>
      <c r="G340" s="4"/>
      <c r="H340" s="4"/>
      <c r="I340" s="15"/>
      <c r="J340" s="4"/>
    </row>
    <row r="341" ht="14.25" customHeight="1">
      <c r="A341" s="8" t="s">
        <v>16</v>
      </c>
      <c r="B341" s="8">
        <v>7.9</v>
      </c>
      <c r="F341" s="4"/>
      <c r="G341" s="4"/>
      <c r="H341" s="4"/>
      <c r="I341" s="15"/>
      <c r="J341" s="4"/>
    </row>
    <row r="342" ht="14.25" customHeight="1">
      <c r="A342" s="8" t="s">
        <v>16</v>
      </c>
      <c r="B342" s="8">
        <v>6.8</v>
      </c>
      <c r="F342" s="4"/>
      <c r="G342" s="4"/>
      <c r="H342" s="4"/>
      <c r="I342" s="15"/>
      <c r="J342" s="4"/>
    </row>
    <row r="343" ht="14.25" customHeight="1">
      <c r="A343" s="8" t="s">
        <v>16</v>
      </c>
      <c r="B343" s="8">
        <v>6.6</v>
      </c>
      <c r="F343" s="4"/>
      <c r="G343" s="4"/>
      <c r="H343" s="4"/>
      <c r="I343" s="15"/>
      <c r="J343" s="4"/>
    </row>
    <row r="344" ht="14.25" customHeight="1">
      <c r="A344" s="8" t="s">
        <v>16</v>
      </c>
      <c r="B344" s="8">
        <v>6.6</v>
      </c>
      <c r="F344" s="4"/>
      <c r="G344" s="4"/>
      <c r="H344" s="4"/>
      <c r="I344" s="15"/>
      <c r="J344" s="4"/>
    </row>
    <row r="345" ht="14.25" customHeight="1">
      <c r="A345" s="8" t="s">
        <v>16</v>
      </c>
      <c r="B345" s="8">
        <v>7.0</v>
      </c>
      <c r="F345" s="4"/>
      <c r="G345" s="4"/>
      <c r="H345" s="4"/>
      <c r="I345" s="15"/>
      <c r="J345" s="4"/>
    </row>
    <row r="346" ht="14.25" customHeight="1">
      <c r="A346" s="8" t="s">
        <v>16</v>
      </c>
      <c r="B346" s="8">
        <v>7.0</v>
      </c>
      <c r="F346" s="4"/>
      <c r="G346" s="4"/>
      <c r="H346" s="4"/>
      <c r="I346" s="15"/>
      <c r="J346" s="4"/>
    </row>
    <row r="347" ht="14.25" customHeight="1">
      <c r="A347" s="8" t="s">
        <v>16</v>
      </c>
      <c r="B347" s="8">
        <v>7.3</v>
      </c>
      <c r="F347" s="4"/>
      <c r="G347" s="4"/>
      <c r="H347" s="4"/>
      <c r="I347" s="15"/>
      <c r="J347" s="4"/>
    </row>
    <row r="348" ht="14.25" customHeight="1">
      <c r="A348" s="8" t="s">
        <v>16</v>
      </c>
      <c r="B348" s="8">
        <v>5.5</v>
      </c>
      <c r="F348" s="4"/>
      <c r="G348" s="4"/>
      <c r="H348" s="4"/>
      <c r="I348" s="15"/>
      <c r="J348" s="4"/>
    </row>
    <row r="349" ht="14.25" customHeight="1">
      <c r="A349" s="8" t="s">
        <v>16</v>
      </c>
      <c r="B349" s="8">
        <v>8.5</v>
      </c>
      <c r="F349" s="4"/>
      <c r="G349" s="4"/>
      <c r="H349" s="4"/>
      <c r="I349" s="15"/>
      <c r="J349" s="4"/>
    </row>
    <row r="350" ht="14.25" customHeight="1">
      <c r="A350" s="8" t="s">
        <v>16</v>
      </c>
      <c r="B350" s="8">
        <v>7.5</v>
      </c>
      <c r="F350" s="4"/>
      <c r="G350" s="4"/>
      <c r="H350" s="4"/>
      <c r="I350" s="15"/>
      <c r="J350" s="4"/>
    </row>
    <row r="351" ht="14.25" customHeight="1">
      <c r="A351" s="8" t="s">
        <v>16</v>
      </c>
      <c r="B351" s="8">
        <v>7.0</v>
      </c>
      <c r="F351" s="4"/>
      <c r="G351" s="4"/>
      <c r="H351" s="4"/>
      <c r="I351" s="15"/>
      <c r="J351" s="4"/>
    </row>
    <row r="352" ht="14.25" customHeight="1">
      <c r="A352" s="8" t="s">
        <v>16</v>
      </c>
      <c r="B352" s="8">
        <v>7.8</v>
      </c>
      <c r="F352" s="4"/>
      <c r="G352" s="4"/>
      <c r="H352" s="4"/>
      <c r="I352" s="15"/>
      <c r="J352" s="4"/>
    </row>
    <row r="353" ht="14.25" customHeight="1">
      <c r="A353" s="8" t="s">
        <v>16</v>
      </c>
      <c r="B353" s="8">
        <v>7.6</v>
      </c>
      <c r="F353" s="4"/>
      <c r="G353" s="4"/>
      <c r="H353" s="4"/>
      <c r="I353" s="15"/>
      <c r="J353" s="4"/>
    </row>
    <row r="354" ht="14.25" customHeight="1">
      <c r="A354" s="8" t="s">
        <v>16</v>
      </c>
      <c r="B354" s="8">
        <v>7.6</v>
      </c>
      <c r="F354" s="4"/>
      <c r="G354" s="4"/>
      <c r="H354" s="4"/>
      <c r="I354" s="15"/>
      <c r="J354" s="4"/>
    </row>
    <row r="355" ht="14.25" customHeight="1">
      <c r="A355" s="8" t="s">
        <v>16</v>
      </c>
      <c r="B355" s="8">
        <v>6.8</v>
      </c>
      <c r="F355" s="4"/>
      <c r="G355" s="4"/>
      <c r="H355" s="4"/>
      <c r="I355" s="15"/>
      <c r="J355" s="4"/>
    </row>
    <row r="356" ht="14.25" customHeight="1">
      <c r="A356" s="8" t="s">
        <v>16</v>
      </c>
      <c r="B356" s="8">
        <v>5.0</v>
      </c>
      <c r="F356" s="4"/>
      <c r="G356" s="4"/>
      <c r="H356" s="4"/>
      <c r="I356" s="15"/>
      <c r="J356" s="4"/>
    </row>
    <row r="357" ht="14.25" customHeight="1">
      <c r="A357" s="8" t="s">
        <v>16</v>
      </c>
      <c r="B357" s="8">
        <v>7.1</v>
      </c>
      <c r="F357" s="4"/>
      <c r="G357" s="4"/>
      <c r="H357" s="4"/>
      <c r="I357" s="15"/>
      <c r="J357" s="4"/>
    </row>
    <row r="358" ht="14.25" customHeight="1">
      <c r="A358" s="8" t="s">
        <v>16</v>
      </c>
      <c r="B358" s="8">
        <v>5.5</v>
      </c>
      <c r="F358" s="4"/>
      <c r="G358" s="4"/>
      <c r="H358" s="4"/>
      <c r="I358" s="15"/>
      <c r="J358" s="4"/>
    </row>
    <row r="359" ht="14.25" customHeight="1">
      <c r="A359" s="8" t="s">
        <v>16</v>
      </c>
      <c r="B359" s="8">
        <v>5.6</v>
      </c>
      <c r="F359" s="4"/>
      <c r="G359" s="4"/>
      <c r="H359" s="4"/>
      <c r="I359" s="15"/>
      <c r="J359" s="4"/>
    </row>
    <row r="360" ht="14.25" customHeight="1">
      <c r="A360" s="8" t="s">
        <v>16</v>
      </c>
      <c r="B360" s="8">
        <v>7.1</v>
      </c>
      <c r="F360" s="4"/>
      <c r="G360" s="4"/>
      <c r="H360" s="4"/>
      <c r="I360" s="15"/>
      <c r="J360" s="4"/>
    </row>
    <row r="361" ht="14.25" customHeight="1">
      <c r="A361" s="8" t="s">
        <v>16</v>
      </c>
      <c r="B361" s="8">
        <v>4.9</v>
      </c>
      <c r="F361" s="4"/>
      <c r="G361" s="4"/>
      <c r="H361" s="4"/>
      <c r="I361" s="15"/>
      <c r="J361" s="4"/>
    </row>
    <row r="362" ht="14.25" customHeight="1">
      <c r="A362" s="8" t="s">
        <v>16</v>
      </c>
      <c r="B362" s="8">
        <v>7.4</v>
      </c>
      <c r="F362" s="4"/>
      <c r="G362" s="4"/>
      <c r="H362" s="4"/>
      <c r="I362" s="15"/>
      <c r="J362" s="4"/>
    </row>
    <row r="363" ht="14.25" customHeight="1">
      <c r="A363" s="8" t="s">
        <v>16</v>
      </c>
      <c r="B363" s="8">
        <v>5.7</v>
      </c>
      <c r="F363" s="4"/>
      <c r="G363" s="4"/>
      <c r="H363" s="4"/>
      <c r="I363" s="15"/>
      <c r="J363" s="4"/>
    </row>
    <row r="364" ht="14.25" customHeight="1">
      <c r="A364" s="8" t="s">
        <v>941</v>
      </c>
      <c r="B364" s="8">
        <v>6.4</v>
      </c>
      <c r="F364" s="4"/>
      <c r="G364" s="4"/>
      <c r="H364" s="4"/>
      <c r="I364" s="15"/>
      <c r="J364" s="4"/>
    </row>
    <row r="365" ht="14.25" customHeight="1">
      <c r="A365" s="8" t="s">
        <v>16</v>
      </c>
      <c r="B365" s="8">
        <v>5.9</v>
      </c>
      <c r="F365" s="4"/>
      <c r="G365" s="4"/>
      <c r="H365" s="4"/>
      <c r="I365" s="15"/>
      <c r="J365" s="4"/>
    </row>
    <row r="366" ht="14.25" customHeight="1">
      <c r="A366" s="8" t="s">
        <v>16</v>
      </c>
      <c r="B366" s="8">
        <v>5.5</v>
      </c>
      <c r="F366" s="4"/>
      <c r="G366" s="4"/>
      <c r="H366" s="4"/>
      <c r="I366" s="15"/>
      <c r="J366" s="4"/>
    </row>
    <row r="367" ht="14.25" customHeight="1">
      <c r="A367" s="8" t="s">
        <v>16</v>
      </c>
      <c r="B367" s="8">
        <v>6.9</v>
      </c>
      <c r="F367" s="4"/>
      <c r="G367" s="4"/>
      <c r="H367" s="4"/>
      <c r="I367" s="15"/>
      <c r="J367" s="4"/>
    </row>
    <row r="368" ht="14.25" customHeight="1">
      <c r="A368" s="8" t="s">
        <v>16</v>
      </c>
      <c r="B368" s="8">
        <v>6.2</v>
      </c>
      <c r="F368" s="4"/>
      <c r="G368" s="4"/>
      <c r="H368" s="4"/>
      <c r="I368" s="15"/>
      <c r="J368" s="4"/>
    </row>
    <row r="369" ht="14.25" customHeight="1">
      <c r="A369" s="8" t="s">
        <v>16</v>
      </c>
      <c r="B369" s="8">
        <v>7.0</v>
      </c>
      <c r="F369" s="4"/>
      <c r="G369" s="4"/>
      <c r="H369" s="4"/>
      <c r="I369" s="15"/>
      <c r="J369" s="4"/>
    </row>
    <row r="370" ht="14.25" customHeight="1">
      <c r="A370" s="8" t="s">
        <v>16</v>
      </c>
      <c r="B370" s="8">
        <v>5.6</v>
      </c>
      <c r="F370" s="4"/>
      <c r="G370" s="4"/>
      <c r="H370" s="4"/>
      <c r="I370" s="15"/>
      <c r="J370" s="4"/>
    </row>
    <row r="371" ht="14.25" customHeight="1">
      <c r="A371" s="8" t="s">
        <v>16</v>
      </c>
      <c r="B371" s="8">
        <v>7.0</v>
      </c>
      <c r="F371" s="4"/>
      <c r="G371" s="4"/>
      <c r="H371" s="4"/>
      <c r="I371" s="15"/>
      <c r="J371" s="4"/>
    </row>
    <row r="372" ht="14.25" customHeight="1">
      <c r="A372" s="8" t="s">
        <v>16</v>
      </c>
      <c r="B372" s="8">
        <v>6.8</v>
      </c>
      <c r="F372" s="4"/>
      <c r="G372" s="4"/>
      <c r="H372" s="4"/>
      <c r="I372" s="15"/>
      <c r="J372" s="4"/>
    </row>
    <row r="373" ht="14.25" customHeight="1">
      <c r="A373" s="8" t="s">
        <v>16</v>
      </c>
      <c r="B373" s="8">
        <v>5.4</v>
      </c>
      <c r="F373" s="4"/>
      <c r="G373" s="4"/>
      <c r="H373" s="4"/>
      <c r="I373" s="15"/>
      <c r="J373" s="4"/>
    </row>
    <row r="374" ht="14.25" customHeight="1">
      <c r="A374" s="8" t="s">
        <v>16</v>
      </c>
      <c r="B374" s="8">
        <v>6.1</v>
      </c>
      <c r="F374" s="4"/>
      <c r="G374" s="4"/>
      <c r="H374" s="4"/>
      <c r="I374" s="15"/>
      <c r="J374" s="4"/>
    </row>
    <row r="375" ht="14.25" customHeight="1">
      <c r="A375" s="8" t="s">
        <v>16</v>
      </c>
      <c r="B375" s="8">
        <v>6.7</v>
      </c>
      <c r="F375" s="4"/>
      <c r="G375" s="4"/>
      <c r="H375" s="4"/>
      <c r="I375" s="15"/>
      <c r="J375" s="4"/>
    </row>
    <row r="376" ht="14.25" customHeight="1">
      <c r="A376" s="8" t="s">
        <v>16</v>
      </c>
      <c r="B376" s="8">
        <v>6.9</v>
      </c>
      <c r="F376" s="4"/>
      <c r="G376" s="4"/>
      <c r="H376" s="4"/>
      <c r="I376" s="15"/>
      <c r="J376" s="4"/>
    </row>
    <row r="377" ht="14.25" customHeight="1">
      <c r="A377" s="8" t="s">
        <v>16</v>
      </c>
      <c r="B377" s="8">
        <v>8.0</v>
      </c>
      <c r="F377" s="4"/>
      <c r="G377" s="4"/>
      <c r="H377" s="4"/>
      <c r="I377" s="15"/>
      <c r="J377" s="4"/>
    </row>
    <row r="378" ht="14.25" customHeight="1">
      <c r="A378" s="8" t="s">
        <v>16</v>
      </c>
      <c r="B378" s="8">
        <v>4.4</v>
      </c>
      <c r="F378" s="4"/>
      <c r="G378" s="4"/>
      <c r="H378" s="4"/>
      <c r="I378" s="15"/>
      <c r="J378" s="4"/>
    </row>
    <row r="379" ht="14.25" customHeight="1">
      <c r="A379" s="8" t="s">
        <v>16</v>
      </c>
      <c r="B379" s="8">
        <v>7.3</v>
      </c>
      <c r="F379" s="4"/>
      <c r="G379" s="4"/>
      <c r="H379" s="4"/>
      <c r="I379" s="15"/>
      <c r="J379" s="4"/>
    </row>
    <row r="380" ht="14.25" customHeight="1">
      <c r="A380" s="8" t="s">
        <v>16</v>
      </c>
      <c r="B380" s="8">
        <v>6.3</v>
      </c>
      <c r="F380" s="4"/>
      <c r="G380" s="4"/>
      <c r="H380" s="4"/>
      <c r="I380" s="15"/>
      <c r="J380" s="4"/>
    </row>
    <row r="381" ht="14.25" customHeight="1">
      <c r="A381" s="8" t="s">
        <v>16</v>
      </c>
      <c r="B381" s="8">
        <v>7.7</v>
      </c>
      <c r="F381" s="4"/>
      <c r="G381" s="4"/>
      <c r="H381" s="4"/>
      <c r="I381" s="15"/>
      <c r="J381" s="4"/>
    </row>
    <row r="382" ht="14.25" customHeight="1">
      <c r="A382" s="8" t="s">
        <v>16</v>
      </c>
      <c r="B382" s="8">
        <v>6.5</v>
      </c>
      <c r="F382" s="4"/>
      <c r="G382" s="4"/>
      <c r="H382" s="4"/>
      <c r="I382" s="15"/>
      <c r="J382" s="4"/>
    </row>
    <row r="383" ht="14.25" customHeight="1">
      <c r="A383" s="8" t="s">
        <v>16</v>
      </c>
      <c r="B383" s="8">
        <v>7.8</v>
      </c>
      <c r="F383" s="4"/>
      <c r="G383" s="4"/>
      <c r="H383" s="4"/>
      <c r="I383" s="15"/>
      <c r="J383" s="4"/>
    </row>
    <row r="384" ht="14.25" customHeight="1">
      <c r="A384" s="8" t="s">
        <v>16</v>
      </c>
      <c r="B384" s="8">
        <v>6.4</v>
      </c>
      <c r="F384" s="4"/>
      <c r="G384" s="4"/>
      <c r="H384" s="4"/>
      <c r="I384" s="15"/>
      <c r="J384" s="4"/>
    </row>
    <row r="385" ht="14.25" customHeight="1">
      <c r="A385" s="8" t="s">
        <v>16</v>
      </c>
      <c r="B385" s="8">
        <v>7.8</v>
      </c>
      <c r="F385" s="4"/>
      <c r="G385" s="4"/>
      <c r="H385" s="4"/>
      <c r="I385" s="15"/>
      <c r="J385" s="4"/>
    </row>
    <row r="386" ht="14.25" customHeight="1">
      <c r="A386" s="8" t="s">
        <v>16</v>
      </c>
      <c r="B386" s="8">
        <v>5.8</v>
      </c>
      <c r="F386" s="4"/>
      <c r="G386" s="4"/>
      <c r="H386" s="4"/>
      <c r="I386" s="15"/>
      <c r="J386" s="4"/>
    </row>
    <row r="387" ht="14.25" customHeight="1">
      <c r="A387" s="8" t="s">
        <v>16</v>
      </c>
      <c r="B387" s="8">
        <v>7.1</v>
      </c>
      <c r="F387" s="4"/>
      <c r="G387" s="4"/>
      <c r="H387" s="4"/>
      <c r="I387" s="15"/>
      <c r="J387" s="4"/>
    </row>
    <row r="388" ht="14.25" customHeight="1">
      <c r="A388" s="8" t="s">
        <v>16</v>
      </c>
      <c r="B388" s="8">
        <v>7.1</v>
      </c>
      <c r="F388" s="4"/>
      <c r="G388" s="4"/>
      <c r="H388" s="4"/>
      <c r="I388" s="15"/>
      <c r="J388" s="4"/>
    </row>
    <row r="389" ht="14.25" customHeight="1">
      <c r="A389" s="8" t="s">
        <v>16</v>
      </c>
      <c r="B389" s="8">
        <v>6.8</v>
      </c>
      <c r="F389" s="4"/>
      <c r="G389" s="4"/>
      <c r="H389" s="4"/>
      <c r="I389" s="15"/>
      <c r="J389" s="4"/>
    </row>
    <row r="390" ht="14.25" customHeight="1">
      <c r="A390" s="8" t="s">
        <v>16</v>
      </c>
      <c r="B390" s="8">
        <v>4.8</v>
      </c>
      <c r="F390" s="4"/>
      <c r="G390" s="4"/>
      <c r="H390" s="4"/>
      <c r="I390" s="15"/>
      <c r="J390" s="4"/>
    </row>
    <row r="391" ht="14.25" customHeight="1">
      <c r="A391" s="8" t="s">
        <v>16</v>
      </c>
      <c r="B391" s="8">
        <v>6.2</v>
      </c>
      <c r="F391" s="4"/>
      <c r="G391" s="4"/>
      <c r="H391" s="4"/>
      <c r="I391" s="15"/>
      <c r="J391" s="4"/>
    </row>
    <row r="392" ht="14.25" customHeight="1">
      <c r="A392" s="8" t="s">
        <v>16</v>
      </c>
      <c r="B392" s="8">
        <v>6.9</v>
      </c>
      <c r="F392" s="4"/>
      <c r="G392" s="4"/>
      <c r="H392" s="4"/>
      <c r="I392" s="15"/>
      <c r="J392" s="4"/>
    </row>
    <row r="393" ht="14.25" customHeight="1">
      <c r="A393" s="8" t="s">
        <v>16</v>
      </c>
      <c r="B393" s="8">
        <v>7.3</v>
      </c>
      <c r="F393" s="4"/>
      <c r="G393" s="4"/>
      <c r="H393" s="4"/>
      <c r="I393" s="15"/>
      <c r="J393" s="4"/>
    </row>
    <row r="394" ht="14.25" customHeight="1">
      <c r="A394" s="8" t="s">
        <v>16</v>
      </c>
      <c r="B394" s="8">
        <v>6.6</v>
      </c>
      <c r="F394" s="4"/>
      <c r="G394" s="4"/>
      <c r="H394" s="4"/>
      <c r="I394" s="15"/>
      <c r="J394" s="4"/>
    </row>
    <row r="395" ht="14.25" customHeight="1">
      <c r="A395" s="8" t="s">
        <v>16</v>
      </c>
      <c r="B395" s="8">
        <v>6.9</v>
      </c>
      <c r="F395" s="4"/>
      <c r="G395" s="4"/>
      <c r="H395" s="4"/>
      <c r="I395" s="15"/>
      <c r="J395" s="4"/>
    </row>
    <row r="396" ht="14.25" customHeight="1">
      <c r="A396" s="8" t="s">
        <v>16</v>
      </c>
      <c r="B396" s="8">
        <v>6.2</v>
      </c>
      <c r="F396" s="4"/>
      <c r="G396" s="4"/>
      <c r="H396" s="4"/>
      <c r="I396" s="15"/>
      <c r="J396" s="4"/>
    </row>
    <row r="397" ht="14.25" customHeight="1">
      <c r="A397" s="8" t="s">
        <v>16</v>
      </c>
      <c r="B397" s="8">
        <v>6.7</v>
      </c>
      <c r="F397" s="4"/>
      <c r="G397" s="4"/>
      <c r="H397" s="4"/>
      <c r="I397" s="15"/>
      <c r="J397" s="4"/>
    </row>
    <row r="398" ht="14.25" customHeight="1">
      <c r="A398" s="8" t="s">
        <v>16</v>
      </c>
      <c r="B398" s="8">
        <v>7.6</v>
      </c>
      <c r="F398" s="4"/>
      <c r="G398" s="4"/>
      <c r="H398" s="4"/>
      <c r="I398" s="15"/>
      <c r="J398" s="4"/>
    </row>
    <row r="399" ht="14.25" customHeight="1">
      <c r="A399" s="8" t="s">
        <v>16</v>
      </c>
      <c r="B399" s="8">
        <v>6.7</v>
      </c>
      <c r="F399" s="4"/>
      <c r="G399" s="4"/>
      <c r="H399" s="4"/>
      <c r="I399" s="15"/>
      <c r="J399" s="4"/>
    </row>
    <row r="400" ht="14.25" customHeight="1">
      <c r="A400" s="8" t="s">
        <v>16</v>
      </c>
      <c r="B400" s="8">
        <v>6.2</v>
      </c>
      <c r="F400" s="4"/>
      <c r="G400" s="4"/>
      <c r="H400" s="4"/>
      <c r="I400" s="15"/>
      <c r="J400" s="4"/>
    </row>
    <row r="401" ht="14.25" customHeight="1">
      <c r="A401" s="8" t="s">
        <v>16</v>
      </c>
      <c r="B401" s="8">
        <v>7.3</v>
      </c>
      <c r="F401" s="4"/>
      <c r="G401" s="4"/>
      <c r="H401" s="4"/>
      <c r="I401" s="15"/>
      <c r="J401" s="4"/>
    </row>
    <row r="402" ht="14.25" customHeight="1">
      <c r="A402" s="8" t="s">
        <v>16</v>
      </c>
      <c r="B402" s="8">
        <v>6.0</v>
      </c>
      <c r="F402" s="4"/>
      <c r="G402" s="4"/>
      <c r="H402" s="4"/>
      <c r="I402" s="15"/>
      <c r="J402" s="4"/>
    </row>
    <row r="403" ht="14.25" customHeight="1">
      <c r="A403" s="8" t="s">
        <v>16</v>
      </c>
      <c r="B403" s="8">
        <v>7.1</v>
      </c>
      <c r="F403" s="4"/>
      <c r="G403" s="4"/>
      <c r="H403" s="4"/>
      <c r="I403" s="15"/>
      <c r="J403" s="4"/>
    </row>
    <row r="404" ht="14.25" customHeight="1">
      <c r="A404" s="8" t="s">
        <v>16</v>
      </c>
      <c r="B404" s="8">
        <v>7.1</v>
      </c>
      <c r="F404" s="4"/>
      <c r="G404" s="4"/>
      <c r="H404" s="4"/>
      <c r="I404" s="15"/>
      <c r="J404" s="4"/>
    </row>
    <row r="405" ht="14.25" customHeight="1">
      <c r="A405" s="8" t="s">
        <v>16</v>
      </c>
      <c r="B405" s="8">
        <v>5.5</v>
      </c>
      <c r="F405" s="4"/>
      <c r="G405" s="4"/>
      <c r="H405" s="4"/>
      <c r="I405" s="15"/>
      <c r="J405" s="4"/>
    </row>
    <row r="406" ht="14.25" customHeight="1">
      <c r="A406" s="8" t="s">
        <v>16</v>
      </c>
      <c r="B406" s="8">
        <v>5.6</v>
      </c>
      <c r="F406" s="4"/>
      <c r="G406" s="4"/>
      <c r="H406" s="4"/>
      <c r="I406" s="15"/>
      <c r="J406" s="4"/>
    </row>
    <row r="407" ht="14.25" customHeight="1">
      <c r="A407" s="8" t="s">
        <v>16</v>
      </c>
      <c r="B407" s="8">
        <v>7.5</v>
      </c>
      <c r="F407" s="4"/>
      <c r="G407" s="4"/>
      <c r="H407" s="4"/>
      <c r="I407" s="15"/>
      <c r="J407" s="4"/>
    </row>
    <row r="408" ht="14.25" customHeight="1">
      <c r="A408" s="8" t="s">
        <v>16</v>
      </c>
      <c r="B408" s="8">
        <v>5.4</v>
      </c>
      <c r="F408" s="4"/>
      <c r="G408" s="4"/>
      <c r="H408" s="4"/>
      <c r="I408" s="15"/>
      <c r="J408" s="4"/>
    </row>
    <row r="409" ht="14.25" customHeight="1">
      <c r="A409" s="8" t="s">
        <v>16</v>
      </c>
      <c r="B409" s="8">
        <v>4.3</v>
      </c>
      <c r="F409" s="4"/>
      <c r="G409" s="4"/>
      <c r="H409" s="4"/>
      <c r="I409" s="15"/>
      <c r="J409" s="4"/>
    </row>
    <row r="410" ht="14.25" customHeight="1">
      <c r="A410" s="8" t="s">
        <v>16</v>
      </c>
      <c r="B410" s="8">
        <v>4.9</v>
      </c>
      <c r="F410" s="4"/>
      <c r="G410" s="4"/>
      <c r="H410" s="4"/>
      <c r="I410" s="15"/>
      <c r="J410" s="4"/>
    </row>
    <row r="411" ht="14.25" customHeight="1">
      <c r="A411" s="8" t="s">
        <v>16</v>
      </c>
      <c r="B411" s="8">
        <v>7.1</v>
      </c>
      <c r="F411" s="4"/>
      <c r="G411" s="4"/>
      <c r="H411" s="4"/>
      <c r="I411" s="15"/>
      <c r="J411" s="4"/>
    </row>
    <row r="412" ht="14.25" customHeight="1">
      <c r="A412" s="8" t="s">
        <v>16</v>
      </c>
      <c r="B412" s="8">
        <v>6.4</v>
      </c>
      <c r="F412" s="4"/>
      <c r="G412" s="4"/>
      <c r="H412" s="4"/>
      <c r="I412" s="15"/>
      <c r="J412" s="4"/>
    </row>
    <row r="413" ht="14.25" customHeight="1">
      <c r="A413" s="8" t="s">
        <v>16</v>
      </c>
      <c r="B413" s="8">
        <v>4.3</v>
      </c>
      <c r="F413" s="4"/>
      <c r="G413" s="4"/>
      <c r="H413" s="4"/>
      <c r="I413" s="15"/>
      <c r="J413" s="4"/>
    </row>
    <row r="414" ht="14.25" customHeight="1">
      <c r="A414" s="8" t="s">
        <v>16</v>
      </c>
      <c r="B414" s="8">
        <v>6.1</v>
      </c>
      <c r="F414" s="4"/>
      <c r="G414" s="4"/>
      <c r="H414" s="4"/>
      <c r="I414" s="15"/>
      <c r="J414" s="4"/>
    </row>
    <row r="415" ht="14.25" customHeight="1">
      <c r="A415" s="8" t="s">
        <v>16</v>
      </c>
      <c r="B415" s="8">
        <v>7.0</v>
      </c>
      <c r="F415" s="4"/>
      <c r="G415" s="4"/>
      <c r="H415" s="4"/>
      <c r="I415" s="15"/>
      <c r="J415" s="4"/>
    </row>
    <row r="416" ht="14.25" customHeight="1">
      <c r="A416" s="8" t="s">
        <v>16</v>
      </c>
      <c r="B416" s="8">
        <v>7.7</v>
      </c>
      <c r="F416" s="4"/>
      <c r="G416" s="4"/>
      <c r="H416" s="4"/>
      <c r="I416" s="15"/>
      <c r="J416" s="4"/>
    </row>
    <row r="417" ht="14.25" customHeight="1">
      <c r="A417" s="8" t="s">
        <v>16</v>
      </c>
      <c r="B417" s="8">
        <v>5.9</v>
      </c>
      <c r="F417" s="4"/>
      <c r="G417" s="4"/>
      <c r="H417" s="4"/>
      <c r="I417" s="15"/>
      <c r="J417" s="4"/>
    </row>
    <row r="418" ht="14.25" customHeight="1">
      <c r="A418" s="8" t="s">
        <v>16</v>
      </c>
      <c r="B418" s="8">
        <v>6.7</v>
      </c>
      <c r="F418" s="4"/>
      <c r="G418" s="4"/>
      <c r="H418" s="4"/>
      <c r="I418" s="15"/>
      <c r="J418" s="4"/>
    </row>
    <row r="419" ht="14.25" customHeight="1">
      <c r="A419" s="8" t="s">
        <v>16</v>
      </c>
      <c r="B419" s="8">
        <v>6.5</v>
      </c>
      <c r="F419" s="4"/>
      <c r="G419" s="4"/>
      <c r="H419" s="4"/>
      <c r="I419" s="15"/>
      <c r="J419" s="4"/>
    </row>
    <row r="420" ht="14.25" customHeight="1">
      <c r="A420" s="8" t="s">
        <v>16</v>
      </c>
      <c r="B420" s="8">
        <v>7.1</v>
      </c>
      <c r="F420" s="4"/>
      <c r="G420" s="4"/>
      <c r="H420" s="4"/>
      <c r="I420" s="15"/>
      <c r="J420" s="4"/>
    </row>
    <row r="421" ht="14.25" customHeight="1">
      <c r="A421" s="8" t="s">
        <v>16</v>
      </c>
      <c r="B421" s="8">
        <v>7.3</v>
      </c>
      <c r="F421" s="4"/>
      <c r="G421" s="4"/>
      <c r="H421" s="4"/>
      <c r="I421" s="15"/>
      <c r="J421" s="4"/>
    </row>
    <row r="422" ht="14.25" customHeight="1">
      <c r="A422" s="8" t="s">
        <v>16</v>
      </c>
      <c r="B422" s="8">
        <v>6.5</v>
      </c>
      <c r="F422" s="4"/>
      <c r="G422" s="4"/>
      <c r="H422" s="4"/>
      <c r="I422" s="15"/>
      <c r="J422" s="4"/>
    </row>
    <row r="423" ht="14.25" customHeight="1">
      <c r="A423" s="8" t="s">
        <v>16</v>
      </c>
      <c r="B423" s="8">
        <v>7.0</v>
      </c>
      <c r="F423" s="4"/>
      <c r="G423" s="4"/>
      <c r="H423" s="4"/>
      <c r="I423" s="15"/>
      <c r="J423" s="4"/>
    </row>
    <row r="424" ht="14.25" customHeight="1">
      <c r="A424" s="8" t="s">
        <v>16</v>
      </c>
      <c r="B424" s="8">
        <v>6.8</v>
      </c>
      <c r="F424" s="4"/>
      <c r="G424" s="4"/>
      <c r="H424" s="4"/>
      <c r="I424" s="15"/>
      <c r="J424" s="4"/>
    </row>
    <row r="425" ht="14.25" customHeight="1">
      <c r="A425" s="8" t="s">
        <v>16</v>
      </c>
      <c r="B425" s="8">
        <v>7.2</v>
      </c>
      <c r="F425" s="4"/>
      <c r="G425" s="4"/>
      <c r="H425" s="4"/>
      <c r="I425" s="15"/>
      <c r="J425" s="4"/>
    </row>
    <row r="426" ht="14.25" customHeight="1">
      <c r="A426" s="8" t="s">
        <v>16</v>
      </c>
      <c r="B426" s="8">
        <v>6.1</v>
      </c>
      <c r="F426" s="4"/>
      <c r="G426" s="4"/>
      <c r="H426" s="4"/>
      <c r="I426" s="15"/>
      <c r="J426" s="4"/>
    </row>
    <row r="427" ht="14.25" customHeight="1">
      <c r="A427" s="8" t="s">
        <v>16</v>
      </c>
      <c r="B427" s="8">
        <v>6.7</v>
      </c>
      <c r="F427" s="4"/>
      <c r="G427" s="4"/>
      <c r="H427" s="4"/>
      <c r="I427" s="15"/>
      <c r="J427" s="4"/>
    </row>
    <row r="428" ht="14.25" customHeight="1">
      <c r="A428" s="8" t="s">
        <v>16</v>
      </c>
      <c r="B428" s="8">
        <v>6.4</v>
      </c>
      <c r="F428" s="4"/>
      <c r="G428" s="4"/>
      <c r="H428" s="4"/>
      <c r="I428" s="15"/>
      <c r="J428" s="4"/>
    </row>
    <row r="429" ht="14.25" customHeight="1">
      <c r="A429" s="8" t="s">
        <v>16</v>
      </c>
      <c r="B429" s="8">
        <v>4.4</v>
      </c>
      <c r="F429" s="4"/>
      <c r="G429" s="4"/>
      <c r="H429" s="4"/>
      <c r="I429" s="15"/>
      <c r="J429" s="4"/>
    </row>
    <row r="430" ht="14.25" customHeight="1">
      <c r="A430" s="8" t="s">
        <v>16</v>
      </c>
      <c r="B430" s="8">
        <v>5.4</v>
      </c>
      <c r="F430" s="4"/>
      <c r="G430" s="4"/>
      <c r="H430" s="4"/>
      <c r="I430" s="15"/>
      <c r="J430" s="4"/>
    </row>
    <row r="431" ht="14.25" customHeight="1">
      <c r="A431" s="8" t="s">
        <v>16</v>
      </c>
      <c r="B431" s="8">
        <v>6.5</v>
      </c>
      <c r="F431" s="4"/>
      <c r="G431" s="4"/>
      <c r="H431" s="4"/>
      <c r="I431" s="15"/>
      <c r="J431" s="4"/>
    </row>
    <row r="432" ht="14.25" customHeight="1">
      <c r="A432" s="8" t="s">
        <v>16</v>
      </c>
      <c r="B432" s="8">
        <v>6.7</v>
      </c>
      <c r="F432" s="4"/>
      <c r="G432" s="4"/>
      <c r="H432" s="4"/>
      <c r="I432" s="15"/>
      <c r="J432" s="4"/>
    </row>
    <row r="433" ht="14.25" customHeight="1">
      <c r="A433" s="8" t="s">
        <v>16</v>
      </c>
      <c r="B433" s="8">
        <v>8.1</v>
      </c>
      <c r="F433" s="4"/>
      <c r="G433" s="4"/>
      <c r="H433" s="4"/>
      <c r="I433" s="15"/>
      <c r="J433" s="4"/>
    </row>
    <row r="434" ht="14.25" customHeight="1">
      <c r="A434" s="8" t="s">
        <v>16</v>
      </c>
      <c r="B434" s="8">
        <v>5.6</v>
      </c>
      <c r="F434" s="4"/>
      <c r="G434" s="4"/>
      <c r="H434" s="4"/>
      <c r="I434" s="15"/>
      <c r="J434" s="4"/>
    </row>
    <row r="435" ht="14.25" customHeight="1">
      <c r="A435" s="8" t="s">
        <v>16</v>
      </c>
      <c r="B435" s="8">
        <v>6.3</v>
      </c>
      <c r="F435" s="4"/>
      <c r="G435" s="4"/>
      <c r="H435" s="4"/>
      <c r="I435" s="15"/>
      <c r="J435" s="4"/>
    </row>
    <row r="436" ht="14.25" customHeight="1">
      <c r="A436" s="8" t="s">
        <v>16</v>
      </c>
      <c r="B436" s="8">
        <v>7.3</v>
      </c>
      <c r="F436" s="4"/>
      <c r="G436" s="4"/>
      <c r="H436" s="4"/>
      <c r="I436" s="15"/>
      <c r="J436" s="4"/>
    </row>
    <row r="437" ht="14.25" customHeight="1">
      <c r="A437" s="8" t="s">
        <v>16</v>
      </c>
      <c r="B437" s="8">
        <v>6.1</v>
      </c>
      <c r="F437" s="4"/>
      <c r="G437" s="4"/>
      <c r="H437" s="4"/>
      <c r="I437" s="15"/>
      <c r="J437" s="4"/>
    </row>
    <row r="438" ht="14.25" customHeight="1">
      <c r="A438" s="8" t="s">
        <v>16</v>
      </c>
      <c r="B438" s="8">
        <v>7.7</v>
      </c>
      <c r="F438" s="4"/>
      <c r="G438" s="4"/>
      <c r="H438" s="4"/>
      <c r="I438" s="15"/>
      <c r="J438" s="4"/>
    </row>
    <row r="439" ht="14.25" customHeight="1">
      <c r="A439" s="8" t="s">
        <v>16</v>
      </c>
      <c r="B439" s="8">
        <v>6.4</v>
      </c>
      <c r="F439" s="4"/>
      <c r="G439" s="4"/>
      <c r="H439" s="4"/>
      <c r="I439" s="15"/>
      <c r="J439" s="4"/>
    </row>
    <row r="440" ht="14.25" customHeight="1">
      <c r="A440" s="8" t="s">
        <v>16</v>
      </c>
      <c r="B440" s="8">
        <v>6.8</v>
      </c>
      <c r="F440" s="4"/>
      <c r="G440" s="4"/>
      <c r="H440" s="4"/>
      <c r="I440" s="15"/>
      <c r="J440" s="4"/>
    </row>
    <row r="441" ht="14.25" customHeight="1">
      <c r="A441" s="8" t="s">
        <v>16</v>
      </c>
      <c r="B441" s="8">
        <v>6.6</v>
      </c>
      <c r="F441" s="4"/>
      <c r="G441" s="4"/>
      <c r="H441" s="4"/>
      <c r="I441" s="15"/>
      <c r="J441" s="4"/>
    </row>
    <row r="442" ht="14.25" customHeight="1">
      <c r="A442" s="8" t="s">
        <v>16</v>
      </c>
      <c r="B442" s="8">
        <v>7.2</v>
      </c>
      <c r="F442" s="4"/>
      <c r="G442" s="4"/>
      <c r="H442" s="4"/>
      <c r="I442" s="15"/>
      <c r="J442" s="4"/>
    </row>
    <row r="443" ht="14.25" customHeight="1">
      <c r="A443" s="8" t="s">
        <v>16</v>
      </c>
      <c r="B443" s="8">
        <v>6.9</v>
      </c>
      <c r="F443" s="4"/>
      <c r="G443" s="4"/>
      <c r="H443" s="4"/>
      <c r="I443" s="15"/>
      <c r="J443" s="4"/>
    </row>
    <row r="444" ht="14.25" customHeight="1">
      <c r="A444" s="8" t="s">
        <v>16</v>
      </c>
      <c r="B444" s="8">
        <v>5.2</v>
      </c>
      <c r="F444" s="4"/>
      <c r="G444" s="4"/>
      <c r="H444" s="4"/>
      <c r="I444" s="15"/>
      <c r="J444" s="4"/>
    </row>
    <row r="445" ht="14.25" customHeight="1">
      <c r="A445" s="8" t="s">
        <v>16</v>
      </c>
      <c r="B445" s="8">
        <v>4.9</v>
      </c>
      <c r="F445" s="4"/>
      <c r="G445" s="4"/>
      <c r="H445" s="4"/>
      <c r="I445" s="15"/>
      <c r="J445" s="4"/>
    </row>
    <row r="446" ht="14.25" customHeight="1">
      <c r="A446" s="8" t="s">
        <v>16</v>
      </c>
      <c r="B446" s="8">
        <v>6.3</v>
      </c>
      <c r="F446" s="4"/>
      <c r="G446" s="4"/>
      <c r="H446" s="4"/>
      <c r="I446" s="15"/>
      <c r="J446" s="4"/>
    </row>
    <row r="447" ht="14.25" customHeight="1">
      <c r="A447" s="8" t="s">
        <v>16</v>
      </c>
      <c r="B447" s="8">
        <v>5.6</v>
      </c>
      <c r="F447" s="4"/>
      <c r="G447" s="4"/>
      <c r="H447" s="4"/>
      <c r="I447" s="15"/>
      <c r="J447" s="4"/>
    </row>
    <row r="448" ht="14.25" customHeight="1">
      <c r="A448" s="8" t="s">
        <v>16</v>
      </c>
      <c r="B448" s="8">
        <v>5.5</v>
      </c>
      <c r="F448" s="4"/>
      <c r="G448" s="4"/>
      <c r="H448" s="4"/>
      <c r="I448" s="15"/>
      <c r="J448" s="4"/>
    </row>
    <row r="449" ht="14.25" customHeight="1">
      <c r="A449" s="8" t="s">
        <v>16</v>
      </c>
      <c r="B449" s="8">
        <v>6.7</v>
      </c>
      <c r="F449" s="4"/>
      <c r="G449" s="4"/>
      <c r="H449" s="4"/>
      <c r="I449" s="15"/>
      <c r="J449" s="4"/>
    </row>
    <row r="450" ht="14.25" customHeight="1">
      <c r="A450" s="8" t="s">
        <v>16</v>
      </c>
      <c r="B450" s="8">
        <v>7.6</v>
      </c>
      <c r="F450" s="4"/>
      <c r="G450" s="4"/>
      <c r="H450" s="4"/>
      <c r="I450" s="15"/>
      <c r="J450" s="4"/>
    </row>
    <row r="451" ht="14.25" customHeight="1">
      <c r="A451" s="8" t="s">
        <v>16</v>
      </c>
      <c r="B451" s="8">
        <v>5.7</v>
      </c>
      <c r="F451" s="4"/>
      <c r="G451" s="4"/>
      <c r="H451" s="4"/>
      <c r="I451" s="15"/>
      <c r="J451" s="4"/>
    </row>
    <row r="452" ht="14.25" customHeight="1">
      <c r="A452" s="8" t="s">
        <v>16</v>
      </c>
      <c r="B452" s="8">
        <v>4.6</v>
      </c>
      <c r="F452" s="4"/>
      <c r="G452" s="4"/>
      <c r="H452" s="4"/>
      <c r="I452" s="15"/>
      <c r="J452" s="4"/>
    </row>
    <row r="453" ht="14.25" customHeight="1">
      <c r="A453" s="8" t="s">
        <v>16</v>
      </c>
      <c r="B453" s="8">
        <v>7.0</v>
      </c>
      <c r="F453" s="4"/>
      <c r="G453" s="4"/>
      <c r="H453" s="4"/>
      <c r="I453" s="15"/>
      <c r="J453" s="4"/>
    </row>
    <row r="454" ht="14.25" customHeight="1">
      <c r="A454" s="8" t="s">
        <v>16</v>
      </c>
      <c r="B454" s="8">
        <v>5.2</v>
      </c>
      <c r="F454" s="4"/>
      <c r="G454" s="4"/>
      <c r="H454" s="4"/>
      <c r="I454" s="15"/>
      <c r="J454" s="4"/>
    </row>
    <row r="455" ht="14.25" customHeight="1">
      <c r="A455" s="8" t="s">
        <v>16</v>
      </c>
      <c r="B455" s="8">
        <v>5.1</v>
      </c>
      <c r="F455" s="4"/>
      <c r="G455" s="4"/>
      <c r="H455" s="4"/>
      <c r="I455" s="15"/>
      <c r="J455" s="4"/>
    </row>
    <row r="456" ht="14.25" customHeight="1">
      <c r="A456" s="8" t="s">
        <v>16</v>
      </c>
      <c r="B456" s="8">
        <v>6.6</v>
      </c>
      <c r="F456" s="4"/>
      <c r="G456" s="4"/>
      <c r="H456" s="4"/>
      <c r="I456" s="15"/>
      <c r="J456" s="4"/>
    </row>
    <row r="457" ht="14.25" customHeight="1">
      <c r="A457" s="8" t="s">
        <v>16</v>
      </c>
      <c r="B457" s="8">
        <v>6.7</v>
      </c>
      <c r="F457" s="4"/>
      <c r="G457" s="4"/>
      <c r="H457" s="4"/>
      <c r="I457" s="15"/>
      <c r="J457" s="4"/>
    </row>
    <row r="458" ht="14.25" customHeight="1">
      <c r="A458" s="8" t="s">
        <v>16</v>
      </c>
      <c r="B458" s="8">
        <v>7.3</v>
      </c>
      <c r="F458" s="4"/>
      <c r="G458" s="4"/>
      <c r="H458" s="4"/>
      <c r="I458" s="15"/>
      <c r="J458" s="4"/>
    </row>
    <row r="459" ht="14.25" customHeight="1">
      <c r="A459" s="8" t="s">
        <v>16</v>
      </c>
      <c r="B459" s="8">
        <v>5.9</v>
      </c>
      <c r="F459" s="4"/>
      <c r="G459" s="4"/>
      <c r="H459" s="4"/>
      <c r="I459" s="15"/>
      <c r="J459" s="4"/>
    </row>
    <row r="460" ht="14.25" customHeight="1">
      <c r="A460" s="8" t="s">
        <v>16</v>
      </c>
      <c r="B460" s="8">
        <v>5.6</v>
      </c>
      <c r="F460" s="4"/>
      <c r="G460" s="4"/>
      <c r="H460" s="4"/>
      <c r="I460" s="15"/>
      <c r="J460" s="4"/>
    </row>
    <row r="461" ht="14.25" customHeight="1">
      <c r="A461" s="8" t="s">
        <v>16</v>
      </c>
      <c r="B461" s="8">
        <v>6.5</v>
      </c>
      <c r="F461" s="4"/>
      <c r="G461" s="4"/>
      <c r="H461" s="4"/>
      <c r="I461" s="15"/>
      <c r="J461" s="4"/>
    </row>
    <row r="462" ht="14.25" customHeight="1">
      <c r="A462" s="8" t="s">
        <v>1144</v>
      </c>
      <c r="B462" s="8">
        <v>5.9</v>
      </c>
      <c r="F462" s="4"/>
      <c r="G462" s="4"/>
      <c r="H462" s="4"/>
      <c r="I462" s="15"/>
      <c r="J462" s="4"/>
    </row>
    <row r="463" ht="14.25" customHeight="1">
      <c r="A463" s="8" t="s">
        <v>16</v>
      </c>
      <c r="B463" s="8">
        <v>7.0</v>
      </c>
      <c r="F463" s="4"/>
      <c r="G463" s="4"/>
      <c r="H463" s="4"/>
      <c r="I463" s="15"/>
      <c r="J463" s="4"/>
    </row>
    <row r="464" ht="14.25" customHeight="1">
      <c r="A464" s="8" t="s">
        <v>16</v>
      </c>
      <c r="B464" s="8">
        <v>5.3</v>
      </c>
      <c r="F464" s="4"/>
      <c r="G464" s="4"/>
      <c r="H464" s="4"/>
      <c r="I464" s="15"/>
      <c r="J464" s="4"/>
    </row>
    <row r="465" ht="14.25" customHeight="1">
      <c r="A465" s="8" t="s">
        <v>16</v>
      </c>
      <c r="B465" s="8">
        <v>5.9</v>
      </c>
      <c r="F465" s="4"/>
      <c r="G465" s="4"/>
      <c r="H465" s="4"/>
      <c r="I465" s="15"/>
      <c r="J465" s="4"/>
    </row>
    <row r="466" ht="14.25" customHeight="1">
      <c r="A466" s="8" t="s">
        <v>16</v>
      </c>
      <c r="B466" s="8">
        <v>6.3</v>
      </c>
      <c r="F466" s="4"/>
      <c r="G466" s="4"/>
      <c r="H466" s="4"/>
      <c r="I466" s="15"/>
      <c r="J466" s="4"/>
    </row>
    <row r="467" ht="14.25" customHeight="1">
      <c r="A467" s="8" t="s">
        <v>16</v>
      </c>
      <c r="B467" s="8">
        <v>6.3</v>
      </c>
      <c r="F467" s="4"/>
      <c r="G467" s="4"/>
      <c r="H467" s="4"/>
      <c r="I467" s="15"/>
      <c r="J467" s="4"/>
    </row>
    <row r="468" ht="14.25" customHeight="1">
      <c r="A468" s="8" t="s">
        <v>16</v>
      </c>
      <c r="B468" s="8">
        <v>7.3</v>
      </c>
      <c r="F468" s="4"/>
      <c r="G468" s="4"/>
      <c r="H468" s="4"/>
      <c r="I468" s="15"/>
      <c r="J468" s="4"/>
    </row>
    <row r="469" ht="14.25" customHeight="1">
      <c r="A469" s="8" t="s">
        <v>16</v>
      </c>
      <c r="B469" s="8">
        <v>5.8</v>
      </c>
      <c r="F469" s="4"/>
      <c r="G469" s="4"/>
      <c r="H469" s="4"/>
      <c r="I469" s="15"/>
      <c r="J469" s="4"/>
    </row>
    <row r="470" ht="14.25" customHeight="1">
      <c r="A470" s="8" t="s">
        <v>16</v>
      </c>
      <c r="B470" s="8">
        <v>5.2</v>
      </c>
      <c r="F470" s="4"/>
      <c r="G470" s="4"/>
      <c r="H470" s="4"/>
      <c r="I470" s="15"/>
      <c r="J470" s="4"/>
    </row>
    <row r="471" ht="14.25" customHeight="1">
      <c r="A471" s="8" t="s">
        <v>16</v>
      </c>
      <c r="B471" s="8">
        <v>2.4</v>
      </c>
      <c r="F471" s="4"/>
      <c r="G471" s="4"/>
      <c r="H471" s="4"/>
      <c r="I471" s="15"/>
      <c r="J471" s="4"/>
    </row>
    <row r="472" ht="14.25" customHeight="1">
      <c r="A472" s="8" t="s">
        <v>16</v>
      </c>
      <c r="B472" s="8">
        <v>5.7</v>
      </c>
      <c r="F472" s="4"/>
      <c r="G472" s="4"/>
      <c r="H472" s="4"/>
      <c r="I472" s="15"/>
      <c r="J472" s="4"/>
    </row>
    <row r="473" ht="14.25" customHeight="1">
      <c r="A473" s="8" t="s">
        <v>16</v>
      </c>
      <c r="B473" s="8">
        <v>5.8</v>
      </c>
      <c r="F473" s="4"/>
      <c r="G473" s="4"/>
      <c r="H473" s="4"/>
      <c r="I473" s="15"/>
      <c r="J473" s="4"/>
    </row>
    <row r="474" ht="14.25" customHeight="1">
      <c r="A474" s="8" t="s">
        <v>16</v>
      </c>
      <c r="B474" s="8">
        <v>5.6</v>
      </c>
      <c r="F474" s="4"/>
      <c r="G474" s="4"/>
      <c r="H474" s="4"/>
      <c r="I474" s="15"/>
      <c r="J474" s="4"/>
    </row>
    <row r="475" ht="14.25" customHeight="1">
      <c r="A475" s="8" t="s">
        <v>16</v>
      </c>
      <c r="B475" s="8">
        <v>6.0</v>
      </c>
      <c r="F475" s="4"/>
      <c r="G475" s="4"/>
      <c r="H475" s="4"/>
      <c r="I475" s="15"/>
      <c r="J475" s="4"/>
    </row>
    <row r="476" ht="14.25" customHeight="1">
      <c r="A476" s="8" t="s">
        <v>16</v>
      </c>
      <c r="B476" s="8">
        <v>5.8</v>
      </c>
      <c r="F476" s="4"/>
      <c r="G476" s="4"/>
      <c r="H476" s="4"/>
      <c r="I476" s="15"/>
      <c r="J476" s="4"/>
    </row>
    <row r="477" ht="14.25" customHeight="1">
      <c r="A477" s="8" t="s">
        <v>16</v>
      </c>
      <c r="B477" s="8">
        <v>6.0</v>
      </c>
      <c r="F477" s="4"/>
      <c r="G477" s="4"/>
      <c r="H477" s="4"/>
      <c r="I477" s="15"/>
      <c r="J477" s="4"/>
    </row>
    <row r="478" ht="14.25" customHeight="1">
      <c r="A478" s="8" t="s">
        <v>16</v>
      </c>
      <c r="B478" s="8">
        <v>5.7</v>
      </c>
      <c r="F478" s="4"/>
      <c r="G478" s="4"/>
      <c r="H478" s="4"/>
      <c r="I478" s="15"/>
      <c r="J478" s="4"/>
    </row>
    <row r="479" ht="14.25" customHeight="1">
      <c r="A479" s="8" t="s">
        <v>16</v>
      </c>
      <c r="B479" s="8">
        <v>6.0</v>
      </c>
      <c r="F479" s="4"/>
      <c r="G479" s="4"/>
      <c r="H479" s="4"/>
      <c r="I479" s="15"/>
      <c r="J479" s="4"/>
    </row>
    <row r="480" ht="14.25" customHeight="1">
      <c r="A480" s="8" t="s">
        <v>1189</v>
      </c>
      <c r="B480" s="8">
        <v>7.8</v>
      </c>
      <c r="F480" s="4"/>
      <c r="G480" s="4"/>
      <c r="H480" s="4"/>
      <c r="I480" s="15"/>
      <c r="J480" s="4"/>
    </row>
    <row r="481" ht="14.25" customHeight="1">
      <c r="A481" s="8" t="s">
        <v>16</v>
      </c>
      <c r="B481" s="8">
        <v>4.2</v>
      </c>
      <c r="F481" s="4"/>
      <c r="G481" s="4"/>
      <c r="H481" s="4"/>
      <c r="I481" s="15"/>
      <c r="J481" s="4"/>
    </row>
    <row r="482" ht="14.25" customHeight="1">
      <c r="A482" s="8" t="s">
        <v>16</v>
      </c>
      <c r="B482" s="8">
        <v>5.6</v>
      </c>
      <c r="F482" s="4"/>
      <c r="G482" s="4"/>
      <c r="H482" s="4"/>
      <c r="I482" s="15"/>
      <c r="J482" s="4"/>
    </row>
    <row r="483" ht="14.25" customHeight="1">
      <c r="A483" s="8" t="s">
        <v>16</v>
      </c>
      <c r="B483" s="8">
        <v>8.2</v>
      </c>
      <c r="F483" s="4"/>
      <c r="G483" s="4"/>
      <c r="H483" s="4"/>
      <c r="I483" s="15"/>
      <c r="J483" s="4"/>
    </row>
    <row r="484" ht="14.25" customHeight="1">
      <c r="A484" s="8" t="s">
        <v>16</v>
      </c>
      <c r="B484" s="8">
        <v>8.5</v>
      </c>
      <c r="F484" s="4"/>
      <c r="G484" s="4"/>
      <c r="H484" s="4"/>
      <c r="I484" s="15"/>
      <c r="J484" s="4"/>
    </row>
    <row r="485" ht="14.25" customHeight="1">
      <c r="A485" s="8" t="s">
        <v>16</v>
      </c>
      <c r="B485" s="8">
        <v>5.8</v>
      </c>
      <c r="F485" s="4"/>
      <c r="G485" s="4"/>
      <c r="H485" s="4"/>
      <c r="I485" s="15"/>
      <c r="J485" s="4"/>
    </row>
    <row r="486" ht="14.25" customHeight="1">
      <c r="A486" s="8" t="s">
        <v>16</v>
      </c>
      <c r="B486" s="8">
        <v>6.5</v>
      </c>
      <c r="F486" s="4"/>
      <c r="G486" s="4"/>
      <c r="H486" s="4"/>
      <c r="I486" s="15"/>
      <c r="J486" s="4"/>
    </row>
    <row r="487" ht="14.25" customHeight="1">
      <c r="A487" s="8" t="s">
        <v>16</v>
      </c>
      <c r="B487" s="8">
        <v>7.2</v>
      </c>
      <c r="F487" s="4"/>
      <c r="G487" s="4"/>
      <c r="H487" s="4"/>
      <c r="I487" s="15"/>
      <c r="J487" s="4"/>
    </row>
    <row r="488" ht="14.25" customHeight="1">
      <c r="A488" s="8" t="s">
        <v>16</v>
      </c>
      <c r="B488" s="8">
        <v>6.7</v>
      </c>
      <c r="F488" s="4"/>
      <c r="G488" s="4"/>
      <c r="H488" s="4"/>
      <c r="I488" s="15"/>
      <c r="J488" s="4"/>
    </row>
    <row r="489" ht="14.25" customHeight="1">
      <c r="A489" s="8" t="s">
        <v>16</v>
      </c>
      <c r="B489" s="8">
        <v>3.4</v>
      </c>
      <c r="F489" s="4"/>
      <c r="G489" s="4"/>
      <c r="H489" s="4"/>
      <c r="I489" s="15"/>
      <c r="J489" s="4"/>
    </row>
    <row r="490" ht="14.25" customHeight="1">
      <c r="A490" s="8" t="s">
        <v>16</v>
      </c>
      <c r="B490" s="8">
        <v>5.9</v>
      </c>
      <c r="F490" s="4"/>
      <c r="G490" s="4"/>
      <c r="H490" s="4"/>
      <c r="I490" s="15"/>
      <c r="J490" s="4"/>
    </row>
    <row r="491" ht="14.25" customHeight="1">
      <c r="A491" s="8" t="s">
        <v>16</v>
      </c>
      <c r="B491" s="8">
        <v>7.8</v>
      </c>
      <c r="F491" s="4"/>
      <c r="G491" s="4"/>
      <c r="H491" s="4"/>
      <c r="I491" s="15"/>
      <c r="J491" s="4"/>
    </row>
    <row r="492" ht="14.25" customHeight="1">
      <c r="A492" s="8" t="s">
        <v>16</v>
      </c>
      <c r="B492" s="8">
        <v>5.9</v>
      </c>
      <c r="F492" s="4"/>
      <c r="G492" s="4"/>
      <c r="H492" s="4"/>
      <c r="I492" s="15"/>
      <c r="J492" s="4"/>
    </row>
    <row r="493" ht="14.25" customHeight="1">
      <c r="A493" s="8" t="s">
        <v>16</v>
      </c>
      <c r="B493" s="8">
        <v>4.1</v>
      </c>
      <c r="F493" s="4"/>
      <c r="G493" s="4"/>
      <c r="H493" s="4"/>
      <c r="I493" s="15"/>
      <c r="J493" s="4"/>
    </row>
    <row r="494" ht="14.25" customHeight="1">
      <c r="A494" s="8" t="s">
        <v>16</v>
      </c>
      <c r="B494" s="8">
        <v>6.8</v>
      </c>
      <c r="F494" s="4"/>
      <c r="G494" s="4"/>
      <c r="H494" s="4"/>
      <c r="I494" s="15"/>
      <c r="J494" s="4"/>
    </row>
    <row r="495" ht="14.25" customHeight="1">
      <c r="A495" s="8" t="s">
        <v>16</v>
      </c>
      <c r="B495" s="8">
        <v>5.8</v>
      </c>
      <c r="F495" s="4"/>
      <c r="G495" s="4"/>
      <c r="H495" s="4"/>
      <c r="I495" s="15"/>
      <c r="J495" s="4"/>
    </row>
    <row r="496" ht="14.25" customHeight="1">
      <c r="A496" s="8" t="s">
        <v>16</v>
      </c>
      <c r="B496" s="8">
        <v>7.5</v>
      </c>
      <c r="F496" s="4"/>
      <c r="G496" s="4"/>
      <c r="H496" s="4"/>
      <c r="I496" s="15"/>
      <c r="J496" s="4"/>
    </row>
    <row r="497" ht="14.25" customHeight="1">
      <c r="A497" s="8" t="s">
        <v>16</v>
      </c>
      <c r="B497" s="8">
        <v>6.9</v>
      </c>
      <c r="F497" s="4"/>
      <c r="G497" s="4"/>
      <c r="H497" s="4"/>
      <c r="I497" s="15"/>
      <c r="J497" s="4"/>
    </row>
    <row r="498" ht="14.25" customHeight="1">
      <c r="A498" s="8" t="s">
        <v>16</v>
      </c>
      <c r="B498" s="8">
        <v>6.5</v>
      </c>
      <c r="F498" s="4"/>
      <c r="G498" s="4"/>
      <c r="H498" s="4"/>
      <c r="I498" s="15"/>
      <c r="J498" s="4"/>
    </row>
    <row r="499" ht="14.25" customHeight="1">
      <c r="A499" s="8" t="s">
        <v>16</v>
      </c>
      <c r="B499" s="8">
        <v>6.9</v>
      </c>
      <c r="F499" s="4"/>
      <c r="G499" s="4"/>
      <c r="H499" s="4"/>
      <c r="I499" s="15"/>
      <c r="J499" s="4"/>
    </row>
    <row r="500" ht="14.25" customHeight="1">
      <c r="A500" s="8" t="s">
        <v>16</v>
      </c>
      <c r="B500" s="8">
        <v>7.9</v>
      </c>
      <c r="F500" s="4"/>
      <c r="G500" s="4"/>
      <c r="H500" s="4"/>
      <c r="I500" s="15"/>
      <c r="J500" s="4"/>
    </row>
    <row r="501" ht="14.25" customHeight="1">
      <c r="A501" s="8" t="s">
        <v>16</v>
      </c>
      <c r="B501" s="8">
        <v>7.4</v>
      </c>
      <c r="F501" s="4"/>
      <c r="G501" s="4"/>
      <c r="H501" s="4"/>
      <c r="I501" s="15"/>
      <c r="J501" s="4"/>
    </row>
    <row r="502" ht="14.25" customHeight="1">
      <c r="A502" s="8" t="s">
        <v>16</v>
      </c>
      <c r="B502" s="8">
        <v>6.7</v>
      </c>
      <c r="F502" s="4"/>
      <c r="G502" s="4"/>
      <c r="H502" s="4"/>
      <c r="I502" s="15"/>
      <c r="J502" s="4"/>
    </row>
    <row r="503" ht="14.25" customHeight="1">
      <c r="A503" s="8" t="s">
        <v>16</v>
      </c>
      <c r="B503" s="8">
        <v>7.4</v>
      </c>
      <c r="F503" s="4"/>
      <c r="G503" s="4"/>
      <c r="H503" s="4"/>
      <c r="I503" s="15"/>
      <c r="J503" s="4"/>
    </row>
    <row r="504" ht="14.25" customHeight="1">
      <c r="A504" s="8" t="s">
        <v>16</v>
      </c>
      <c r="B504" s="8">
        <v>6.9</v>
      </c>
      <c r="F504" s="4"/>
      <c r="G504" s="4"/>
      <c r="H504" s="4"/>
      <c r="I504" s="15"/>
      <c r="J504" s="4"/>
    </row>
    <row r="505" ht="14.25" customHeight="1">
      <c r="A505" s="8" t="s">
        <v>16</v>
      </c>
      <c r="B505" s="8">
        <v>6.8</v>
      </c>
      <c r="F505" s="4"/>
      <c r="G505" s="4"/>
      <c r="H505" s="4"/>
      <c r="I505" s="15"/>
      <c r="J505" s="4"/>
    </row>
    <row r="506" ht="14.25" customHeight="1">
      <c r="A506" s="8" t="s">
        <v>16</v>
      </c>
      <c r="B506" s="8">
        <v>6.7</v>
      </c>
      <c r="F506" s="4"/>
      <c r="G506" s="4"/>
      <c r="H506" s="4"/>
      <c r="I506" s="15"/>
      <c r="J506" s="4"/>
    </row>
    <row r="507" ht="14.25" customHeight="1">
      <c r="A507" s="8" t="s">
        <v>16</v>
      </c>
      <c r="B507" s="8">
        <v>5.1</v>
      </c>
      <c r="F507" s="4"/>
      <c r="G507" s="4"/>
      <c r="H507" s="4"/>
      <c r="I507" s="15"/>
      <c r="J507" s="4"/>
    </row>
    <row r="508" ht="14.25" customHeight="1">
      <c r="A508" s="8" t="s">
        <v>16</v>
      </c>
      <c r="B508" s="8">
        <v>4.1</v>
      </c>
      <c r="F508" s="4"/>
      <c r="G508" s="4"/>
      <c r="H508" s="4"/>
      <c r="I508" s="15"/>
      <c r="J508" s="4"/>
    </row>
    <row r="509" ht="14.25" customHeight="1">
      <c r="A509" s="8" t="s">
        <v>16</v>
      </c>
      <c r="B509" s="8">
        <v>7.3</v>
      </c>
      <c r="F509" s="4"/>
      <c r="G509" s="4"/>
      <c r="H509" s="4"/>
      <c r="I509" s="15"/>
      <c r="J509" s="4"/>
    </row>
    <row r="510" ht="14.25" customHeight="1">
      <c r="A510" s="8" t="s">
        <v>16</v>
      </c>
      <c r="B510" s="8">
        <v>6.0</v>
      </c>
      <c r="F510" s="4"/>
      <c r="G510" s="4"/>
      <c r="H510" s="4"/>
      <c r="I510" s="15"/>
      <c r="J510" s="4"/>
    </row>
    <row r="511" ht="14.25" customHeight="1">
      <c r="A511" s="8" t="s">
        <v>16</v>
      </c>
      <c r="B511" s="8">
        <v>7.3</v>
      </c>
      <c r="F511" s="4"/>
      <c r="G511" s="4"/>
      <c r="H511" s="4"/>
      <c r="I511" s="15"/>
      <c r="J511" s="4"/>
    </row>
    <row r="512" ht="14.25" customHeight="1">
      <c r="A512" s="8" t="s">
        <v>16</v>
      </c>
      <c r="B512" s="8">
        <v>5.4</v>
      </c>
      <c r="F512" s="4"/>
      <c r="G512" s="4"/>
      <c r="H512" s="4"/>
      <c r="I512" s="15"/>
      <c r="J512" s="4"/>
    </row>
    <row r="513" ht="14.25" customHeight="1">
      <c r="A513" s="8" t="s">
        <v>16</v>
      </c>
      <c r="B513" s="8">
        <v>5.9</v>
      </c>
      <c r="F513" s="4"/>
      <c r="G513" s="4"/>
      <c r="H513" s="4"/>
      <c r="I513" s="15"/>
      <c r="J513" s="4"/>
    </row>
    <row r="514" ht="14.25" customHeight="1">
      <c r="A514" s="8" t="s">
        <v>16</v>
      </c>
      <c r="B514" s="8">
        <v>7.1</v>
      </c>
      <c r="F514" s="4"/>
      <c r="G514" s="4"/>
      <c r="H514" s="4"/>
      <c r="I514" s="15"/>
      <c r="J514" s="4"/>
    </row>
    <row r="515" ht="14.25" customHeight="1">
      <c r="A515" s="8" t="s">
        <v>16</v>
      </c>
      <c r="B515" s="8">
        <v>6.0</v>
      </c>
      <c r="F515" s="4"/>
      <c r="G515" s="4"/>
      <c r="H515" s="4"/>
      <c r="I515" s="15"/>
      <c r="J515" s="4"/>
    </row>
    <row r="516" ht="14.25" customHeight="1">
      <c r="A516" s="8" t="s">
        <v>16</v>
      </c>
      <c r="B516" s="8">
        <v>6.5</v>
      </c>
      <c r="F516" s="4"/>
      <c r="G516" s="4"/>
      <c r="H516" s="4"/>
      <c r="I516" s="15"/>
      <c r="J516" s="4"/>
    </row>
    <row r="517" ht="14.25" customHeight="1">
      <c r="A517" s="8" t="s">
        <v>16</v>
      </c>
      <c r="B517" s="8">
        <v>5.7</v>
      </c>
      <c r="F517" s="4"/>
      <c r="G517" s="4"/>
      <c r="H517" s="4"/>
      <c r="I517" s="15"/>
      <c r="J517" s="4"/>
    </row>
    <row r="518" ht="14.25" customHeight="1">
      <c r="A518" s="8" t="s">
        <v>16</v>
      </c>
      <c r="B518" s="8">
        <v>7.6</v>
      </c>
      <c r="F518" s="4"/>
      <c r="G518" s="4"/>
      <c r="H518" s="4"/>
      <c r="I518" s="15"/>
      <c r="J518" s="4"/>
    </row>
    <row r="519" ht="14.25" customHeight="1">
      <c r="A519" s="8" t="s">
        <v>16</v>
      </c>
      <c r="B519" s="8">
        <v>6.6</v>
      </c>
      <c r="F519" s="4"/>
      <c r="G519" s="4"/>
      <c r="H519" s="4"/>
      <c r="I519" s="15"/>
      <c r="J519" s="4"/>
    </row>
    <row r="520" ht="14.25" customHeight="1">
      <c r="A520" s="8" t="s">
        <v>16</v>
      </c>
      <c r="B520" s="8">
        <v>5.4</v>
      </c>
      <c r="F520" s="4"/>
      <c r="G520" s="4"/>
      <c r="H520" s="4"/>
      <c r="I520" s="15"/>
      <c r="J520" s="4"/>
    </row>
    <row r="521" ht="14.25" customHeight="1">
      <c r="A521" s="8" t="s">
        <v>16</v>
      </c>
      <c r="B521" s="8">
        <v>7.3</v>
      </c>
      <c r="F521" s="4"/>
      <c r="G521" s="4"/>
      <c r="H521" s="4"/>
      <c r="I521" s="15"/>
      <c r="J521" s="4"/>
    </row>
    <row r="522" ht="14.25" customHeight="1">
      <c r="A522" s="8" t="s">
        <v>16</v>
      </c>
      <c r="B522" s="8">
        <v>6.5</v>
      </c>
      <c r="F522" s="4"/>
      <c r="G522" s="4"/>
      <c r="H522" s="4"/>
      <c r="I522" s="15"/>
      <c r="J522" s="4"/>
    </row>
    <row r="523" ht="14.25" customHeight="1">
      <c r="A523" s="8" t="s">
        <v>16</v>
      </c>
      <c r="B523" s="8">
        <v>6.6</v>
      </c>
      <c r="F523" s="4"/>
      <c r="G523" s="4"/>
      <c r="H523" s="4"/>
      <c r="I523" s="15"/>
      <c r="J523" s="4"/>
    </row>
    <row r="524" ht="14.25" customHeight="1">
      <c r="A524" s="8" t="s">
        <v>16</v>
      </c>
      <c r="B524" s="8">
        <v>6.6</v>
      </c>
      <c r="F524" s="4"/>
      <c r="G524" s="4"/>
      <c r="H524" s="4"/>
      <c r="I524" s="15"/>
      <c r="J524" s="4"/>
    </row>
    <row r="525" ht="14.25" customHeight="1">
      <c r="A525" s="8" t="s">
        <v>16</v>
      </c>
      <c r="B525" s="8">
        <v>5.9</v>
      </c>
      <c r="F525" s="4"/>
      <c r="G525" s="4"/>
      <c r="H525" s="4"/>
      <c r="I525" s="15"/>
      <c r="J525" s="4"/>
    </row>
    <row r="526" ht="14.25" customHeight="1">
      <c r="A526" s="8" t="s">
        <v>16</v>
      </c>
      <c r="B526" s="8">
        <v>6.7</v>
      </c>
      <c r="F526" s="4"/>
      <c r="G526" s="4"/>
      <c r="H526" s="4"/>
      <c r="I526" s="15"/>
      <c r="J526" s="4"/>
    </row>
    <row r="527" ht="14.25" customHeight="1">
      <c r="A527" s="8" t="s">
        <v>16</v>
      </c>
      <c r="B527" s="8">
        <v>6.1</v>
      </c>
      <c r="F527" s="4"/>
      <c r="G527" s="4"/>
      <c r="H527" s="4"/>
      <c r="I527" s="15"/>
      <c r="J527" s="4"/>
    </row>
    <row r="528" ht="14.25" customHeight="1">
      <c r="A528" s="8" t="s">
        <v>16</v>
      </c>
      <c r="B528" s="8">
        <v>6.6</v>
      </c>
      <c r="F528" s="4"/>
      <c r="G528" s="4"/>
      <c r="H528" s="4"/>
      <c r="I528" s="15"/>
      <c r="J528" s="4"/>
    </row>
    <row r="529" ht="14.25" customHeight="1">
      <c r="A529" s="8" t="s">
        <v>16</v>
      </c>
      <c r="B529" s="8">
        <v>6.6</v>
      </c>
      <c r="F529" s="4"/>
      <c r="G529" s="4"/>
      <c r="H529" s="4"/>
      <c r="I529" s="15"/>
      <c r="J529" s="4"/>
    </row>
    <row r="530" ht="14.25" customHeight="1">
      <c r="A530" s="8" t="s">
        <v>16</v>
      </c>
      <c r="B530" s="8">
        <v>5.3</v>
      </c>
      <c r="F530" s="4"/>
      <c r="G530" s="4"/>
      <c r="H530" s="4"/>
      <c r="I530" s="15"/>
      <c r="J530" s="4"/>
    </row>
    <row r="531" ht="14.25" customHeight="1">
      <c r="A531" s="8" t="s">
        <v>16</v>
      </c>
      <c r="B531" s="8">
        <v>6.0</v>
      </c>
      <c r="F531" s="4"/>
      <c r="G531" s="4"/>
      <c r="H531" s="4"/>
      <c r="I531" s="15"/>
      <c r="J531" s="4"/>
    </row>
    <row r="532" ht="14.25" customHeight="1">
      <c r="A532" s="8" t="s">
        <v>16</v>
      </c>
      <c r="B532" s="8">
        <v>4.7</v>
      </c>
      <c r="F532" s="4"/>
      <c r="G532" s="4"/>
      <c r="H532" s="4"/>
      <c r="I532" s="15"/>
      <c r="J532" s="4"/>
    </row>
    <row r="533" ht="14.25" customHeight="1">
      <c r="A533" s="8" t="s">
        <v>16</v>
      </c>
      <c r="B533" s="8">
        <v>6.1</v>
      </c>
      <c r="F533" s="4"/>
      <c r="G533" s="4"/>
      <c r="H533" s="4"/>
      <c r="I533" s="15"/>
      <c r="J533" s="4"/>
    </row>
    <row r="534" ht="14.25" customHeight="1">
      <c r="A534" s="8" t="s">
        <v>16</v>
      </c>
      <c r="B534" s="8">
        <v>7.2</v>
      </c>
      <c r="F534" s="4"/>
      <c r="G534" s="4"/>
      <c r="H534" s="4"/>
      <c r="I534" s="15"/>
      <c r="J534" s="4"/>
    </row>
    <row r="535" ht="14.25" customHeight="1">
      <c r="A535" s="8" t="s">
        <v>16</v>
      </c>
      <c r="B535" s="8">
        <v>6.4</v>
      </c>
      <c r="F535" s="4"/>
      <c r="G535" s="4"/>
      <c r="H535" s="4"/>
      <c r="I535" s="15"/>
      <c r="J535" s="4"/>
    </row>
    <row r="536" ht="14.25" customHeight="1">
      <c r="A536" s="8" t="s">
        <v>16</v>
      </c>
      <c r="B536" s="8">
        <v>6.1</v>
      </c>
      <c r="F536" s="4"/>
      <c r="G536" s="4"/>
      <c r="H536" s="4"/>
      <c r="I536" s="15"/>
      <c r="J536" s="4"/>
    </row>
    <row r="537" ht="14.25" customHeight="1">
      <c r="A537" s="8" t="s">
        <v>16</v>
      </c>
      <c r="B537" s="8">
        <v>5.9</v>
      </c>
      <c r="F537" s="4"/>
      <c r="G537" s="4"/>
      <c r="H537" s="4"/>
      <c r="I537" s="15"/>
      <c r="J537" s="4"/>
    </row>
    <row r="538" ht="14.25" customHeight="1">
      <c r="A538" s="8" t="s">
        <v>16</v>
      </c>
      <c r="B538" s="8">
        <v>6.0</v>
      </c>
      <c r="F538" s="4"/>
      <c r="G538" s="4"/>
      <c r="H538" s="4"/>
      <c r="I538" s="15"/>
      <c r="J538" s="4"/>
    </row>
    <row r="539" ht="14.25" customHeight="1">
      <c r="A539" s="8" t="s">
        <v>16</v>
      </c>
      <c r="B539" s="8">
        <v>6.3</v>
      </c>
      <c r="F539" s="4"/>
      <c r="G539" s="4"/>
      <c r="H539" s="4"/>
      <c r="I539" s="15"/>
      <c r="J539" s="4"/>
    </row>
    <row r="540" ht="14.25" customHeight="1">
      <c r="A540" s="8" t="s">
        <v>16</v>
      </c>
      <c r="B540" s="8">
        <v>5.6</v>
      </c>
      <c r="F540" s="4"/>
      <c r="G540" s="4"/>
      <c r="H540" s="4"/>
      <c r="I540" s="15"/>
      <c r="J540" s="4"/>
    </row>
    <row r="541" ht="14.25" customHeight="1">
      <c r="A541" s="8" t="s">
        <v>16</v>
      </c>
      <c r="B541" s="8">
        <v>6.4</v>
      </c>
      <c r="F541" s="4"/>
      <c r="G541" s="4"/>
      <c r="H541" s="4"/>
      <c r="I541" s="15"/>
      <c r="J541" s="4"/>
    </row>
    <row r="542" ht="14.25" customHeight="1">
      <c r="A542" s="8" t="s">
        <v>16</v>
      </c>
      <c r="B542" s="8">
        <v>7.1</v>
      </c>
      <c r="F542" s="4"/>
      <c r="G542" s="4"/>
      <c r="H542" s="4"/>
      <c r="I542" s="15"/>
      <c r="J542" s="4"/>
    </row>
    <row r="543" ht="14.25" customHeight="1">
      <c r="A543" s="8" t="s">
        <v>16</v>
      </c>
      <c r="B543" s="8">
        <v>6.6</v>
      </c>
      <c r="F543" s="4"/>
      <c r="G543" s="4"/>
      <c r="H543" s="4"/>
      <c r="I543" s="15"/>
      <c r="J543" s="4"/>
    </row>
    <row r="544" ht="14.25" customHeight="1">
      <c r="A544" s="8" t="s">
        <v>16</v>
      </c>
      <c r="B544" s="8">
        <v>4.6</v>
      </c>
      <c r="F544" s="4"/>
      <c r="G544" s="4"/>
      <c r="H544" s="4"/>
      <c r="I544" s="15"/>
      <c r="J544" s="4"/>
    </row>
    <row r="545" ht="14.25" customHeight="1">
      <c r="A545" s="8" t="s">
        <v>16</v>
      </c>
      <c r="B545" s="8">
        <v>8.4</v>
      </c>
      <c r="F545" s="4"/>
      <c r="G545" s="4"/>
      <c r="H545" s="4"/>
      <c r="I545" s="15"/>
      <c r="J545" s="4"/>
    </row>
    <row r="546" ht="14.25" customHeight="1">
      <c r="A546" s="8" t="s">
        <v>16</v>
      </c>
      <c r="B546" s="8">
        <v>7.1</v>
      </c>
      <c r="F546" s="4"/>
      <c r="G546" s="4"/>
      <c r="H546" s="4"/>
      <c r="I546" s="15"/>
      <c r="J546" s="4"/>
    </row>
    <row r="547" ht="14.25" customHeight="1">
      <c r="A547" s="8" t="s">
        <v>16</v>
      </c>
      <c r="B547" s="8">
        <v>7.4</v>
      </c>
      <c r="F547" s="4"/>
      <c r="G547" s="4"/>
      <c r="H547" s="4"/>
      <c r="I547" s="15"/>
      <c r="J547" s="4"/>
    </row>
    <row r="548" ht="14.25" customHeight="1">
      <c r="A548" s="8" t="s">
        <v>16</v>
      </c>
      <c r="B548" s="8">
        <v>6.9</v>
      </c>
      <c r="F548" s="4"/>
      <c r="G548" s="4"/>
      <c r="H548" s="4"/>
      <c r="I548" s="15"/>
      <c r="J548" s="4"/>
    </row>
    <row r="549" ht="14.25" customHeight="1">
      <c r="A549" s="8" t="s">
        <v>16</v>
      </c>
      <c r="B549" s="8">
        <v>4.5</v>
      </c>
      <c r="F549" s="4"/>
      <c r="G549" s="4"/>
      <c r="H549" s="4"/>
      <c r="I549" s="15"/>
      <c r="J549" s="4"/>
    </row>
    <row r="550" ht="14.25" customHeight="1">
      <c r="A550" s="8" t="s">
        <v>16</v>
      </c>
      <c r="B550" s="8">
        <v>7.1</v>
      </c>
      <c r="F550" s="4"/>
      <c r="G550" s="4"/>
      <c r="H550" s="4"/>
      <c r="I550" s="15"/>
      <c r="J550" s="4"/>
    </row>
    <row r="551" ht="14.25" customHeight="1">
      <c r="A551" s="8" t="s">
        <v>16</v>
      </c>
      <c r="B551" s="8">
        <v>6.5</v>
      </c>
      <c r="F551" s="4"/>
      <c r="G551" s="4"/>
      <c r="H551" s="4"/>
      <c r="I551" s="15"/>
      <c r="J551" s="4"/>
    </row>
    <row r="552" ht="14.25" customHeight="1">
      <c r="A552" s="8" t="s">
        <v>16</v>
      </c>
      <c r="B552" s="8">
        <v>5.3</v>
      </c>
      <c r="F552" s="4"/>
      <c r="G552" s="4"/>
      <c r="H552" s="4"/>
      <c r="I552" s="15"/>
      <c r="J552" s="4"/>
    </row>
    <row r="553" ht="14.25" customHeight="1">
      <c r="A553" s="8" t="s">
        <v>16</v>
      </c>
      <c r="B553" s="8">
        <v>6.7</v>
      </c>
      <c r="F553" s="4"/>
      <c r="G553" s="4"/>
      <c r="H553" s="4"/>
      <c r="I553" s="15"/>
      <c r="J553" s="4"/>
    </row>
    <row r="554" ht="14.25" customHeight="1">
      <c r="A554" s="8" t="s">
        <v>16</v>
      </c>
      <c r="B554" s="8">
        <v>7.2</v>
      </c>
      <c r="F554" s="4"/>
      <c r="G554" s="4"/>
      <c r="H554" s="4"/>
      <c r="I554" s="15"/>
      <c r="J554" s="4"/>
    </row>
    <row r="555" ht="14.25" customHeight="1">
      <c r="A555" s="8" t="s">
        <v>16</v>
      </c>
      <c r="B555" s="8">
        <v>7.2</v>
      </c>
      <c r="F555" s="4"/>
      <c r="G555" s="4"/>
      <c r="H555" s="4"/>
      <c r="I555" s="15"/>
      <c r="J555" s="4"/>
    </row>
    <row r="556" ht="14.25" customHeight="1">
      <c r="A556" s="8" t="s">
        <v>16</v>
      </c>
      <c r="B556" s="8">
        <v>5.5</v>
      </c>
      <c r="F556" s="4"/>
      <c r="G556" s="4"/>
      <c r="H556" s="4"/>
      <c r="I556" s="15"/>
      <c r="J556" s="4"/>
    </row>
    <row r="557" ht="14.25" customHeight="1">
      <c r="A557" s="8" t="s">
        <v>16</v>
      </c>
      <c r="B557" s="8">
        <v>5.8</v>
      </c>
      <c r="F557" s="4"/>
      <c r="G557" s="4"/>
      <c r="H557" s="4"/>
      <c r="I557" s="15"/>
      <c r="J557" s="4"/>
    </row>
    <row r="558" ht="14.25" customHeight="1">
      <c r="A558" s="8" t="s">
        <v>16</v>
      </c>
      <c r="B558" s="8">
        <v>6.0</v>
      </c>
      <c r="F558" s="4"/>
      <c r="G558" s="4"/>
      <c r="H558" s="4"/>
      <c r="I558" s="15"/>
      <c r="J558" s="4"/>
    </row>
    <row r="559" ht="14.25" customHeight="1">
      <c r="A559" s="8" t="s">
        <v>16</v>
      </c>
      <c r="B559" s="8">
        <v>6.6</v>
      </c>
      <c r="F559" s="4"/>
      <c r="G559" s="4"/>
      <c r="H559" s="4"/>
      <c r="I559" s="15"/>
      <c r="J559" s="4"/>
    </row>
    <row r="560" ht="14.25" customHeight="1">
      <c r="A560" s="8" t="s">
        <v>16</v>
      </c>
      <c r="B560" s="8">
        <v>8.3</v>
      </c>
      <c r="F560" s="4"/>
      <c r="G560" s="4"/>
      <c r="H560" s="4"/>
      <c r="I560" s="15"/>
      <c r="J560" s="4"/>
    </row>
    <row r="561" ht="14.25" customHeight="1">
      <c r="A561" s="8" t="s">
        <v>16</v>
      </c>
      <c r="B561" s="8">
        <v>6.7</v>
      </c>
      <c r="F561" s="4"/>
      <c r="G561" s="4"/>
      <c r="H561" s="4"/>
      <c r="I561" s="15"/>
      <c r="J561" s="4"/>
    </row>
    <row r="562" ht="14.25" customHeight="1">
      <c r="A562" s="8" t="s">
        <v>16</v>
      </c>
      <c r="B562" s="8">
        <v>7.1</v>
      </c>
      <c r="F562" s="4"/>
      <c r="G562" s="4"/>
      <c r="H562" s="4"/>
      <c r="I562" s="15"/>
      <c r="J562" s="4"/>
    </row>
    <row r="563" ht="14.25" customHeight="1">
      <c r="A563" s="8" t="s">
        <v>16</v>
      </c>
      <c r="B563" s="8">
        <v>6.0</v>
      </c>
      <c r="F563" s="4"/>
      <c r="G563" s="4"/>
      <c r="H563" s="4"/>
      <c r="I563" s="15"/>
      <c r="J563" s="4"/>
    </row>
    <row r="564" ht="14.25" customHeight="1">
      <c r="A564" s="8" t="s">
        <v>16</v>
      </c>
      <c r="B564" s="8">
        <v>6.9</v>
      </c>
      <c r="F564" s="4"/>
      <c r="G564" s="4"/>
      <c r="H564" s="4"/>
      <c r="I564" s="15"/>
      <c r="J564" s="4"/>
    </row>
    <row r="565" ht="14.25" customHeight="1">
      <c r="A565" s="8" t="s">
        <v>16</v>
      </c>
      <c r="B565" s="8">
        <v>5.6</v>
      </c>
      <c r="F565" s="4"/>
      <c r="G565" s="4"/>
      <c r="H565" s="4"/>
      <c r="I565" s="15"/>
      <c r="J565" s="4"/>
    </row>
    <row r="566" ht="14.25" customHeight="1">
      <c r="A566" s="8" t="s">
        <v>16</v>
      </c>
      <c r="B566" s="8">
        <v>5.6</v>
      </c>
      <c r="F566" s="4"/>
      <c r="G566" s="4"/>
      <c r="H566" s="4"/>
      <c r="I566" s="15"/>
      <c r="J566" s="4"/>
    </row>
    <row r="567" ht="14.25" customHeight="1">
      <c r="A567" s="8" t="s">
        <v>16</v>
      </c>
      <c r="B567" s="8">
        <v>4.5</v>
      </c>
      <c r="F567" s="4"/>
      <c r="G567" s="4"/>
      <c r="H567" s="4"/>
      <c r="I567" s="15"/>
      <c r="J567" s="4"/>
    </row>
    <row r="568" ht="14.25" customHeight="1">
      <c r="A568" s="8" t="s">
        <v>16</v>
      </c>
      <c r="B568" s="8">
        <v>7.1</v>
      </c>
      <c r="F568" s="4"/>
      <c r="G568" s="4"/>
      <c r="H568" s="4"/>
      <c r="I568" s="15"/>
      <c r="J568" s="4"/>
    </row>
    <row r="569" ht="14.25" customHeight="1">
      <c r="A569" s="8" t="s">
        <v>16</v>
      </c>
      <c r="B569" s="8">
        <v>6.5</v>
      </c>
      <c r="F569" s="4"/>
      <c r="G569" s="4"/>
      <c r="H569" s="4"/>
      <c r="I569" s="15"/>
      <c r="J569" s="4"/>
    </row>
    <row r="570" ht="14.25" customHeight="1">
      <c r="A570" s="8" t="s">
        <v>16</v>
      </c>
      <c r="B570" s="8">
        <v>6.4</v>
      </c>
      <c r="F570" s="4"/>
      <c r="G570" s="4"/>
      <c r="H570" s="4"/>
      <c r="I570" s="15"/>
      <c r="J570" s="4"/>
    </row>
    <row r="571" ht="14.25" customHeight="1">
      <c r="A571" s="8" t="s">
        <v>16</v>
      </c>
      <c r="B571" s="8">
        <v>5.8</v>
      </c>
      <c r="F571" s="4"/>
      <c r="G571" s="4"/>
      <c r="H571" s="4"/>
      <c r="I571" s="15"/>
      <c r="J571" s="4"/>
    </row>
    <row r="572" ht="14.25" customHeight="1">
      <c r="A572" s="8" t="s">
        <v>16</v>
      </c>
      <c r="B572" s="8">
        <v>8.0</v>
      </c>
      <c r="F572" s="4"/>
      <c r="G572" s="4"/>
      <c r="H572" s="4"/>
      <c r="I572" s="15"/>
      <c r="J572" s="4"/>
    </row>
    <row r="573" ht="14.25" customHeight="1">
      <c r="A573" s="8" t="s">
        <v>16</v>
      </c>
      <c r="B573" s="8">
        <v>6.2</v>
      </c>
      <c r="F573" s="4"/>
      <c r="G573" s="4"/>
      <c r="H573" s="4"/>
      <c r="I573" s="15"/>
      <c r="J573" s="4"/>
    </row>
    <row r="574" ht="14.25" customHeight="1">
      <c r="A574" s="8" t="s">
        <v>16</v>
      </c>
      <c r="B574" s="8">
        <v>7.2</v>
      </c>
      <c r="F574" s="4"/>
      <c r="G574" s="4"/>
      <c r="H574" s="4"/>
      <c r="I574" s="15"/>
      <c r="J574" s="4"/>
    </row>
    <row r="575" ht="14.25" customHeight="1">
      <c r="A575" s="8" t="s">
        <v>16</v>
      </c>
      <c r="B575" s="8">
        <v>6.1</v>
      </c>
      <c r="F575" s="4"/>
      <c r="G575" s="4"/>
      <c r="H575" s="4"/>
      <c r="I575" s="15"/>
      <c r="J575" s="4"/>
    </row>
    <row r="576" ht="14.25" customHeight="1">
      <c r="A576" s="8" t="s">
        <v>16</v>
      </c>
      <c r="B576" s="8">
        <v>7.6</v>
      </c>
      <c r="F576" s="4"/>
      <c r="G576" s="4"/>
      <c r="H576" s="4"/>
      <c r="I576" s="15"/>
      <c r="J576" s="4"/>
    </row>
    <row r="577" ht="14.25" customHeight="1">
      <c r="A577" s="8" t="s">
        <v>16</v>
      </c>
      <c r="B577" s="8">
        <v>6.3</v>
      </c>
      <c r="F577" s="4"/>
      <c r="G577" s="4"/>
      <c r="H577" s="4"/>
      <c r="I577" s="15"/>
      <c r="J577" s="4"/>
    </row>
    <row r="578" ht="14.25" customHeight="1">
      <c r="A578" s="8" t="s">
        <v>16</v>
      </c>
      <c r="B578" s="8">
        <v>6.3</v>
      </c>
      <c r="F578" s="4"/>
      <c r="G578" s="4"/>
      <c r="H578" s="4"/>
      <c r="I578" s="15"/>
      <c r="J578" s="4"/>
    </row>
    <row r="579" ht="14.25" customHeight="1">
      <c r="A579" s="8" t="s">
        <v>16</v>
      </c>
      <c r="B579" s="8">
        <v>6.3</v>
      </c>
      <c r="F579" s="4"/>
      <c r="G579" s="4"/>
      <c r="H579" s="4"/>
      <c r="I579" s="15"/>
      <c r="J579" s="4"/>
    </row>
    <row r="580" ht="14.25" customHeight="1">
      <c r="A580" s="8" t="s">
        <v>16</v>
      </c>
      <c r="B580" s="8">
        <v>7.7</v>
      </c>
      <c r="F580" s="4"/>
      <c r="G580" s="4"/>
      <c r="H580" s="4"/>
      <c r="I580" s="15"/>
      <c r="J580" s="4"/>
    </row>
    <row r="581" ht="14.25" customHeight="1">
      <c r="A581" s="8" t="s">
        <v>16</v>
      </c>
      <c r="B581" s="8">
        <v>7.0</v>
      </c>
      <c r="F581" s="4"/>
      <c r="G581" s="4"/>
      <c r="H581" s="4"/>
      <c r="I581" s="15"/>
      <c r="J581" s="4"/>
    </row>
    <row r="582" ht="14.25" customHeight="1">
      <c r="A582" s="8" t="s">
        <v>16</v>
      </c>
      <c r="B582" s="8">
        <v>5.3</v>
      </c>
      <c r="F582" s="4"/>
      <c r="G582" s="4"/>
      <c r="H582" s="4"/>
      <c r="I582" s="15"/>
      <c r="J582" s="4"/>
    </row>
    <row r="583" ht="14.25" customHeight="1">
      <c r="A583" s="8" t="s">
        <v>16</v>
      </c>
      <c r="B583" s="8">
        <v>5.6</v>
      </c>
      <c r="F583" s="4"/>
      <c r="G583" s="4"/>
      <c r="H583" s="4"/>
      <c r="I583" s="15"/>
      <c r="J583" s="4"/>
    </row>
    <row r="584" ht="14.25" customHeight="1">
      <c r="A584" s="8" t="s">
        <v>16</v>
      </c>
      <c r="B584" s="8">
        <v>5.2</v>
      </c>
      <c r="F584" s="4"/>
      <c r="G584" s="4"/>
      <c r="H584" s="4"/>
      <c r="I584" s="15"/>
      <c r="J584" s="4"/>
    </row>
    <row r="585" ht="14.25" customHeight="1">
      <c r="A585" s="8" t="s">
        <v>16</v>
      </c>
      <c r="B585" s="8">
        <v>5.4</v>
      </c>
      <c r="F585" s="4"/>
      <c r="G585" s="4"/>
      <c r="H585" s="4"/>
      <c r="I585" s="15"/>
      <c r="J585" s="4"/>
    </row>
    <row r="586" ht="14.25" customHeight="1">
      <c r="A586" s="8" t="s">
        <v>16</v>
      </c>
      <c r="B586" s="8">
        <v>6.4</v>
      </c>
      <c r="F586" s="4"/>
      <c r="G586" s="4"/>
      <c r="H586" s="4"/>
      <c r="I586" s="15"/>
      <c r="J586" s="4"/>
    </row>
    <row r="587" ht="14.25" customHeight="1">
      <c r="A587" s="8" t="s">
        <v>16</v>
      </c>
      <c r="B587" s="8">
        <v>5.9</v>
      </c>
      <c r="F587" s="4"/>
      <c r="G587" s="4"/>
      <c r="H587" s="4"/>
      <c r="I587" s="15"/>
      <c r="J587" s="4"/>
    </row>
    <row r="588" ht="14.25" customHeight="1">
      <c r="A588" s="8" t="s">
        <v>16</v>
      </c>
      <c r="B588" s="8">
        <v>6.3</v>
      </c>
      <c r="F588" s="4"/>
      <c r="G588" s="4"/>
      <c r="H588" s="4"/>
      <c r="I588" s="15"/>
      <c r="J588" s="4"/>
    </row>
    <row r="589" ht="14.25" customHeight="1">
      <c r="A589" s="8" t="s">
        <v>16</v>
      </c>
      <c r="B589" s="8">
        <v>6.5</v>
      </c>
      <c r="F589" s="4"/>
      <c r="G589" s="4"/>
      <c r="H589" s="4"/>
      <c r="I589" s="15"/>
      <c r="J589" s="4"/>
    </row>
    <row r="590" ht="14.25" customHeight="1">
      <c r="A590" s="8" t="s">
        <v>16</v>
      </c>
      <c r="B590" s="8">
        <v>3.0</v>
      </c>
      <c r="F590" s="4"/>
      <c r="G590" s="4"/>
      <c r="H590" s="4"/>
      <c r="I590" s="15"/>
      <c r="J590" s="4"/>
    </row>
    <row r="591" ht="14.25" customHeight="1">
      <c r="A591" s="8" t="s">
        <v>16</v>
      </c>
      <c r="B591" s="8">
        <v>3.6</v>
      </c>
      <c r="F591" s="4"/>
      <c r="G591" s="4"/>
      <c r="H591" s="4"/>
      <c r="I591" s="15"/>
      <c r="J591" s="4"/>
    </row>
    <row r="592" ht="14.25" customHeight="1">
      <c r="A592" s="8" t="s">
        <v>16</v>
      </c>
      <c r="B592" s="8">
        <v>5.8</v>
      </c>
      <c r="F592" s="4"/>
      <c r="G592" s="4"/>
      <c r="H592" s="4"/>
      <c r="I592" s="15"/>
      <c r="J592" s="4"/>
    </row>
    <row r="593" ht="14.25" customHeight="1">
      <c r="A593" s="8" t="s">
        <v>16</v>
      </c>
      <c r="B593" s="8">
        <v>6.2</v>
      </c>
      <c r="F593" s="4"/>
      <c r="G593" s="4"/>
      <c r="H593" s="4"/>
      <c r="I593" s="15"/>
      <c r="J593" s="4"/>
    </row>
    <row r="594" ht="14.25" customHeight="1">
      <c r="A594" s="8" t="s">
        <v>16</v>
      </c>
      <c r="B594" s="8">
        <v>5.6</v>
      </c>
      <c r="F594" s="4"/>
      <c r="G594" s="4"/>
      <c r="H594" s="4"/>
      <c r="I594" s="15"/>
      <c r="J594" s="4"/>
    </row>
    <row r="595" ht="14.25" customHeight="1">
      <c r="A595" s="8" t="s">
        <v>16</v>
      </c>
      <c r="B595" s="8">
        <v>5.4</v>
      </c>
      <c r="F595" s="4"/>
      <c r="G595" s="4"/>
      <c r="H595" s="4"/>
      <c r="I595" s="15"/>
      <c r="J595" s="4"/>
    </row>
    <row r="596" ht="14.25" customHeight="1">
      <c r="A596" s="8" t="s">
        <v>16</v>
      </c>
      <c r="B596" s="8">
        <v>6.1</v>
      </c>
      <c r="F596" s="4"/>
      <c r="G596" s="4"/>
      <c r="H596" s="4"/>
      <c r="I596" s="15"/>
      <c r="J596" s="4"/>
    </row>
    <row r="597" ht="14.25" customHeight="1">
      <c r="A597" s="8" t="s">
        <v>16</v>
      </c>
      <c r="B597" s="8">
        <v>4.2</v>
      </c>
      <c r="F597" s="4"/>
      <c r="G597" s="4"/>
      <c r="H597" s="4"/>
      <c r="I597" s="15"/>
      <c r="J597" s="4"/>
    </row>
    <row r="598" ht="14.25" customHeight="1">
      <c r="A598" s="8" t="s">
        <v>16</v>
      </c>
      <c r="B598" s="8">
        <v>6.7</v>
      </c>
      <c r="F598" s="4"/>
      <c r="G598" s="4"/>
      <c r="H598" s="4"/>
      <c r="I598" s="15"/>
      <c r="J598" s="4"/>
    </row>
    <row r="599" ht="14.25" customHeight="1">
      <c r="A599" s="8" t="s">
        <v>16</v>
      </c>
      <c r="B599" s="8">
        <v>4.2</v>
      </c>
      <c r="F599" s="4"/>
      <c r="G599" s="4"/>
      <c r="H599" s="4"/>
      <c r="I599" s="15"/>
      <c r="J599" s="4"/>
    </row>
    <row r="600" ht="14.25" customHeight="1">
      <c r="A600" s="8" t="s">
        <v>16</v>
      </c>
      <c r="B600" s="8">
        <v>6.4</v>
      </c>
      <c r="F600" s="4"/>
      <c r="G600" s="4"/>
      <c r="H600" s="4"/>
      <c r="I600" s="15"/>
      <c r="J600" s="4"/>
    </row>
    <row r="601" ht="14.25" customHeight="1">
      <c r="A601" s="8" t="s">
        <v>16</v>
      </c>
      <c r="B601" s="8">
        <v>4.9</v>
      </c>
      <c r="F601" s="4"/>
      <c r="G601" s="4"/>
      <c r="H601" s="4"/>
      <c r="I601" s="15"/>
      <c r="J601" s="4"/>
    </row>
    <row r="602" ht="14.25" customHeight="1">
      <c r="A602" s="8" t="s">
        <v>16</v>
      </c>
      <c r="B602" s="8">
        <v>6.8</v>
      </c>
      <c r="F602" s="4"/>
      <c r="G602" s="4"/>
      <c r="H602" s="4"/>
      <c r="I602" s="15"/>
      <c r="J602" s="4"/>
    </row>
    <row r="603" ht="14.25" customHeight="1">
      <c r="A603" s="8" t="s">
        <v>16</v>
      </c>
      <c r="B603" s="8">
        <v>7.7</v>
      </c>
      <c r="F603" s="4"/>
      <c r="G603" s="4"/>
      <c r="H603" s="4"/>
      <c r="I603" s="15"/>
      <c r="J603" s="4"/>
    </row>
    <row r="604" ht="14.25" customHeight="1">
      <c r="A604" s="8" t="s">
        <v>16</v>
      </c>
      <c r="B604" s="8">
        <v>5.6</v>
      </c>
      <c r="F604" s="4"/>
      <c r="G604" s="4"/>
      <c r="H604" s="4"/>
      <c r="I604" s="15"/>
      <c r="J604" s="4"/>
    </row>
    <row r="605" ht="14.25" customHeight="1">
      <c r="A605" s="8" t="s">
        <v>16</v>
      </c>
      <c r="B605" s="8">
        <v>6.4</v>
      </c>
      <c r="F605" s="4"/>
      <c r="G605" s="4"/>
      <c r="H605" s="4"/>
      <c r="I605" s="15"/>
      <c r="J605" s="4"/>
    </row>
    <row r="606" ht="14.25" customHeight="1">
      <c r="A606" s="8" t="s">
        <v>16</v>
      </c>
      <c r="B606" s="8">
        <v>7.2</v>
      </c>
      <c r="F606" s="4"/>
      <c r="G606" s="4"/>
      <c r="H606" s="4"/>
      <c r="I606" s="15"/>
      <c r="J606" s="4"/>
    </row>
    <row r="607" ht="14.25" customHeight="1">
      <c r="A607" s="8" t="s">
        <v>16</v>
      </c>
      <c r="B607" s="8">
        <v>6.0</v>
      </c>
      <c r="F607" s="4"/>
      <c r="G607" s="4"/>
      <c r="H607" s="4"/>
      <c r="I607" s="15"/>
      <c r="J607" s="4"/>
    </row>
    <row r="608" ht="14.25" customHeight="1">
      <c r="A608" s="8" t="s">
        <v>16</v>
      </c>
      <c r="B608" s="8">
        <v>5.9</v>
      </c>
      <c r="F608" s="4"/>
      <c r="G608" s="4"/>
      <c r="H608" s="4"/>
      <c r="I608" s="15"/>
      <c r="J608" s="4"/>
    </row>
    <row r="609" ht="14.25" customHeight="1">
      <c r="A609" s="8" t="s">
        <v>16</v>
      </c>
      <c r="B609" s="8">
        <v>7.9</v>
      </c>
      <c r="F609" s="4"/>
      <c r="G609" s="4"/>
      <c r="H609" s="4"/>
      <c r="I609" s="15"/>
      <c r="J609" s="4"/>
    </row>
    <row r="610" ht="14.25" customHeight="1">
      <c r="A610" s="8" t="s">
        <v>16</v>
      </c>
      <c r="B610" s="8">
        <v>7.1</v>
      </c>
      <c r="F610" s="4"/>
      <c r="G610" s="4"/>
      <c r="H610" s="4"/>
      <c r="I610" s="15"/>
      <c r="J610" s="4"/>
    </row>
    <row r="611" ht="14.25" customHeight="1">
      <c r="A611" s="8" t="s">
        <v>16</v>
      </c>
      <c r="B611" s="8">
        <v>5.9</v>
      </c>
      <c r="F611" s="4"/>
      <c r="G611" s="4"/>
      <c r="H611" s="4"/>
      <c r="I611" s="15"/>
      <c r="J611" s="4"/>
    </row>
    <row r="612" ht="14.25" customHeight="1">
      <c r="A612" s="8" t="s">
        <v>16</v>
      </c>
      <c r="B612" s="8">
        <v>6.2</v>
      </c>
      <c r="F612" s="4"/>
      <c r="G612" s="4"/>
      <c r="H612" s="4"/>
      <c r="I612" s="15"/>
      <c r="J612" s="4"/>
    </row>
    <row r="613" ht="14.25" customHeight="1">
      <c r="A613" s="8" t="s">
        <v>16</v>
      </c>
      <c r="B613" s="8">
        <v>7.0</v>
      </c>
      <c r="F613" s="4"/>
      <c r="G613" s="4"/>
      <c r="H613" s="4"/>
      <c r="I613" s="15"/>
      <c r="J613" s="4"/>
    </row>
    <row r="614" ht="14.25" customHeight="1">
      <c r="A614" s="8" t="s">
        <v>16</v>
      </c>
      <c r="B614" s="8">
        <v>5.4</v>
      </c>
      <c r="F614" s="4"/>
      <c r="G614" s="4"/>
      <c r="H614" s="4"/>
      <c r="I614" s="15"/>
      <c r="J614" s="4"/>
    </row>
    <row r="615" ht="14.25" customHeight="1">
      <c r="A615" s="8" t="s">
        <v>16</v>
      </c>
      <c r="B615" s="8">
        <v>8.6</v>
      </c>
      <c r="F615" s="4"/>
      <c r="G615" s="4"/>
      <c r="H615" s="4"/>
      <c r="I615" s="15"/>
      <c r="J615" s="4"/>
    </row>
    <row r="616" ht="14.25" customHeight="1">
      <c r="A616" s="8" t="s">
        <v>16</v>
      </c>
      <c r="B616" s="8">
        <v>6.5</v>
      </c>
      <c r="F616" s="4"/>
      <c r="G616" s="4"/>
      <c r="H616" s="4"/>
      <c r="I616" s="15"/>
      <c r="J616" s="4"/>
    </row>
    <row r="617" ht="14.25" customHeight="1">
      <c r="A617" s="8" t="s">
        <v>16</v>
      </c>
      <c r="B617" s="8">
        <v>6.4</v>
      </c>
      <c r="F617" s="4"/>
      <c r="G617" s="4"/>
      <c r="H617" s="4"/>
      <c r="I617" s="15"/>
      <c r="J617" s="4"/>
    </row>
    <row r="618" ht="14.25" customHeight="1">
      <c r="A618" s="8" t="s">
        <v>16</v>
      </c>
      <c r="B618" s="8">
        <v>7.6</v>
      </c>
      <c r="F618" s="4"/>
      <c r="G618" s="4"/>
      <c r="H618" s="4"/>
      <c r="I618" s="15"/>
      <c r="J618" s="4"/>
    </row>
    <row r="619" ht="14.25" customHeight="1">
      <c r="A619" s="8" t="s">
        <v>16</v>
      </c>
      <c r="B619" s="8">
        <v>5.5</v>
      </c>
      <c r="F619" s="4"/>
      <c r="G619" s="4"/>
      <c r="H619" s="4"/>
      <c r="I619" s="15"/>
      <c r="J619" s="4"/>
    </row>
    <row r="620" ht="14.25" customHeight="1">
      <c r="A620" s="8" t="s">
        <v>16</v>
      </c>
      <c r="B620" s="8">
        <v>7.4</v>
      </c>
      <c r="F620" s="4"/>
      <c r="G620" s="4"/>
      <c r="H620" s="4"/>
      <c r="I620" s="15"/>
      <c r="J620" s="4"/>
    </row>
    <row r="621" ht="14.25" customHeight="1">
      <c r="A621" s="8" t="s">
        <v>16</v>
      </c>
      <c r="B621" s="8">
        <v>8.7</v>
      </c>
      <c r="F621" s="4"/>
      <c r="G621" s="4"/>
      <c r="H621" s="4"/>
      <c r="I621" s="15"/>
      <c r="J621" s="4"/>
    </row>
    <row r="622" ht="14.25" customHeight="1">
      <c r="A622" s="8" t="s">
        <v>16</v>
      </c>
      <c r="B622" s="8">
        <v>7.6</v>
      </c>
      <c r="F622" s="4"/>
      <c r="G622" s="4"/>
      <c r="H622" s="4"/>
      <c r="I622" s="15"/>
      <c r="J622" s="4"/>
    </row>
    <row r="623" ht="14.25" customHeight="1">
      <c r="A623" s="8" t="s">
        <v>16</v>
      </c>
      <c r="B623" s="8">
        <v>5.5</v>
      </c>
      <c r="F623" s="4"/>
      <c r="G623" s="4"/>
      <c r="H623" s="4"/>
      <c r="I623" s="15"/>
      <c r="J623" s="4"/>
    </row>
    <row r="624" ht="14.25" customHeight="1">
      <c r="A624" s="8" t="s">
        <v>16</v>
      </c>
      <c r="B624" s="8">
        <v>7.6</v>
      </c>
      <c r="F624" s="4"/>
      <c r="G624" s="4"/>
      <c r="H624" s="4"/>
      <c r="I624" s="15"/>
      <c r="J624" s="4"/>
    </row>
    <row r="625" ht="14.25" customHeight="1">
      <c r="A625" s="8" t="s">
        <v>16</v>
      </c>
      <c r="B625" s="8">
        <v>6.5</v>
      </c>
      <c r="F625" s="4"/>
      <c r="G625" s="4"/>
      <c r="H625" s="4"/>
      <c r="I625" s="15"/>
      <c r="J625" s="4"/>
    </row>
    <row r="626" ht="14.25" customHeight="1">
      <c r="A626" s="8" t="s">
        <v>16</v>
      </c>
      <c r="B626" s="8">
        <v>6.9</v>
      </c>
      <c r="F626" s="4"/>
      <c r="G626" s="4"/>
      <c r="H626" s="4"/>
      <c r="I626" s="15"/>
      <c r="J626" s="4"/>
    </row>
    <row r="627" ht="14.25" customHeight="1">
      <c r="A627" s="8" t="s">
        <v>16</v>
      </c>
      <c r="B627" s="8">
        <v>6.7</v>
      </c>
      <c r="F627" s="4"/>
      <c r="G627" s="4"/>
      <c r="H627" s="4"/>
      <c r="I627" s="15"/>
      <c r="J627" s="4"/>
    </row>
    <row r="628" ht="14.25" customHeight="1">
      <c r="A628" s="8" t="s">
        <v>16</v>
      </c>
      <c r="B628" s="8">
        <v>6.6</v>
      </c>
      <c r="F628" s="4"/>
      <c r="G628" s="4"/>
      <c r="H628" s="4"/>
      <c r="I628" s="15"/>
      <c r="J628" s="4"/>
    </row>
    <row r="629" ht="14.25" customHeight="1">
      <c r="A629" s="8" t="s">
        <v>16</v>
      </c>
      <c r="B629" s="8">
        <v>7.2</v>
      </c>
      <c r="F629" s="4"/>
      <c r="G629" s="4"/>
      <c r="H629" s="4"/>
      <c r="I629" s="15"/>
      <c r="J629" s="4"/>
    </row>
    <row r="630" ht="14.25" customHeight="1">
      <c r="A630" s="8" t="s">
        <v>16</v>
      </c>
      <c r="B630" s="8">
        <v>6.4</v>
      </c>
      <c r="F630" s="4"/>
      <c r="G630" s="4"/>
      <c r="H630" s="4"/>
      <c r="I630" s="15"/>
      <c r="J630" s="4"/>
    </row>
    <row r="631" ht="14.25" customHeight="1">
      <c r="A631" s="8" t="s">
        <v>16</v>
      </c>
      <c r="B631" s="8">
        <v>6.4</v>
      </c>
      <c r="F631" s="4"/>
      <c r="G631" s="4"/>
      <c r="H631" s="4"/>
      <c r="I631" s="15"/>
      <c r="J631" s="4"/>
    </row>
    <row r="632" ht="14.25" customHeight="1">
      <c r="A632" s="8" t="s">
        <v>16</v>
      </c>
      <c r="B632" s="8">
        <v>6.0</v>
      </c>
      <c r="F632" s="4"/>
      <c r="G632" s="4"/>
      <c r="H632" s="4"/>
      <c r="I632" s="15"/>
      <c r="J632" s="4"/>
    </row>
    <row r="633" ht="14.25" customHeight="1">
      <c r="A633" s="8" t="s">
        <v>16</v>
      </c>
      <c r="B633" s="8">
        <v>6.1</v>
      </c>
      <c r="F633" s="4"/>
      <c r="G633" s="4"/>
      <c r="H633" s="4"/>
      <c r="I633" s="15"/>
      <c r="J633" s="4"/>
    </row>
    <row r="634" ht="14.25" customHeight="1">
      <c r="A634" s="8" t="s">
        <v>16</v>
      </c>
      <c r="B634" s="8">
        <v>6.0</v>
      </c>
      <c r="F634" s="4"/>
      <c r="G634" s="4"/>
      <c r="H634" s="4"/>
      <c r="I634" s="15"/>
      <c r="J634" s="4"/>
    </row>
    <row r="635" ht="14.25" customHeight="1">
      <c r="A635" s="8" t="s">
        <v>16</v>
      </c>
      <c r="B635" s="8">
        <v>6.4</v>
      </c>
      <c r="F635" s="4"/>
      <c r="G635" s="4"/>
      <c r="H635" s="4"/>
      <c r="I635" s="15"/>
      <c r="J635" s="4"/>
    </row>
    <row r="636" ht="14.25" customHeight="1">
      <c r="A636" s="8" t="s">
        <v>16</v>
      </c>
      <c r="B636" s="8">
        <v>6.4</v>
      </c>
      <c r="F636" s="4"/>
      <c r="G636" s="4"/>
      <c r="H636" s="4"/>
      <c r="I636" s="15"/>
      <c r="J636" s="4"/>
    </row>
    <row r="637" ht="14.25" customHeight="1">
      <c r="A637" s="8" t="s">
        <v>16</v>
      </c>
      <c r="B637" s="8">
        <v>7.3</v>
      </c>
      <c r="F637" s="4"/>
      <c r="G637" s="4"/>
      <c r="H637" s="4"/>
      <c r="I637" s="15"/>
      <c r="J637" s="4"/>
    </row>
    <row r="638" ht="14.25" customHeight="1">
      <c r="A638" s="8" t="s">
        <v>16</v>
      </c>
      <c r="B638" s="8">
        <v>5.2</v>
      </c>
      <c r="F638" s="4"/>
      <c r="G638" s="4"/>
      <c r="H638" s="4"/>
      <c r="I638" s="15"/>
      <c r="J638" s="4"/>
    </row>
    <row r="639" ht="14.25" customHeight="1">
      <c r="A639" s="8" t="s">
        <v>16</v>
      </c>
      <c r="B639" s="8">
        <v>6.6</v>
      </c>
      <c r="F639" s="4"/>
      <c r="G639" s="4"/>
      <c r="H639" s="4"/>
      <c r="I639" s="15"/>
      <c r="J639" s="4"/>
    </row>
    <row r="640" ht="14.25" customHeight="1">
      <c r="A640" s="8" t="s">
        <v>16</v>
      </c>
      <c r="B640" s="8">
        <v>6.3</v>
      </c>
      <c r="F640" s="4"/>
      <c r="G640" s="4"/>
      <c r="H640" s="4"/>
      <c r="I640" s="15"/>
      <c r="J640" s="4"/>
    </row>
    <row r="641" ht="14.25" customHeight="1">
      <c r="A641" s="8" t="s">
        <v>16</v>
      </c>
      <c r="B641" s="8">
        <v>5.9</v>
      </c>
      <c r="F641" s="4"/>
      <c r="G641" s="4"/>
      <c r="H641" s="4"/>
      <c r="I641" s="15"/>
      <c r="J641" s="4"/>
    </row>
    <row r="642" ht="14.25" customHeight="1">
      <c r="A642" s="8" t="s">
        <v>16</v>
      </c>
      <c r="B642" s="8">
        <v>6.7</v>
      </c>
      <c r="F642" s="4"/>
      <c r="G642" s="4"/>
      <c r="H642" s="4"/>
      <c r="I642" s="15"/>
      <c r="J642" s="4"/>
    </row>
    <row r="643" ht="14.25" customHeight="1">
      <c r="A643" s="8" t="s">
        <v>16</v>
      </c>
      <c r="B643" s="8">
        <v>5.4</v>
      </c>
      <c r="F643" s="4"/>
      <c r="G643" s="4"/>
      <c r="H643" s="4"/>
      <c r="I643" s="15"/>
      <c r="J643" s="4"/>
    </row>
    <row r="644" ht="14.25" customHeight="1">
      <c r="A644" s="8" t="s">
        <v>16</v>
      </c>
      <c r="B644" s="8">
        <v>6.4</v>
      </c>
      <c r="F644" s="4"/>
      <c r="G644" s="4"/>
      <c r="H644" s="4"/>
      <c r="I644" s="15"/>
      <c r="J644" s="4"/>
    </row>
    <row r="645" ht="14.25" customHeight="1">
      <c r="A645" s="8" t="s">
        <v>16</v>
      </c>
      <c r="B645" s="8">
        <v>6.7</v>
      </c>
      <c r="F645" s="4"/>
      <c r="G645" s="4"/>
      <c r="H645" s="4"/>
      <c r="I645" s="15"/>
      <c r="J645" s="4"/>
    </row>
    <row r="646" ht="14.25" customHeight="1">
      <c r="A646" s="8" t="s">
        <v>16</v>
      </c>
      <c r="B646" s="8">
        <v>6.2</v>
      </c>
      <c r="F646" s="4"/>
      <c r="G646" s="4"/>
      <c r="H646" s="4"/>
      <c r="I646" s="15"/>
      <c r="J646" s="4"/>
    </row>
    <row r="647" ht="14.25" customHeight="1">
      <c r="A647" s="8" t="s">
        <v>16</v>
      </c>
      <c r="B647" s="8">
        <v>6.1</v>
      </c>
      <c r="F647" s="4"/>
      <c r="G647" s="4"/>
      <c r="H647" s="4"/>
      <c r="I647" s="15"/>
      <c r="J647" s="4"/>
    </row>
    <row r="648" ht="14.25" customHeight="1">
      <c r="A648" s="8" t="s">
        <v>16</v>
      </c>
      <c r="B648" s="8">
        <v>8.8</v>
      </c>
      <c r="F648" s="4"/>
      <c r="G648" s="4"/>
      <c r="H648" s="4"/>
      <c r="I648" s="15"/>
      <c r="J648" s="4"/>
    </row>
    <row r="649" ht="14.25" customHeight="1">
      <c r="A649" s="8" t="s">
        <v>16</v>
      </c>
      <c r="B649" s="8">
        <v>7.1</v>
      </c>
      <c r="F649" s="4"/>
      <c r="G649" s="4"/>
      <c r="H649" s="4"/>
      <c r="I649" s="15"/>
      <c r="J649" s="4"/>
    </row>
    <row r="650" ht="14.25" customHeight="1">
      <c r="A650" s="8" t="s">
        <v>16</v>
      </c>
      <c r="B650" s="8">
        <v>5.7</v>
      </c>
      <c r="F650" s="4"/>
      <c r="G650" s="4"/>
      <c r="H650" s="4"/>
      <c r="I650" s="15"/>
      <c r="J650" s="4"/>
    </row>
    <row r="651" ht="14.25" customHeight="1">
      <c r="A651" s="8" t="s">
        <v>16</v>
      </c>
      <c r="B651" s="8">
        <v>5.0</v>
      </c>
      <c r="F651" s="4"/>
      <c r="G651" s="4"/>
      <c r="H651" s="4"/>
      <c r="I651" s="15"/>
      <c r="J651" s="4"/>
    </row>
    <row r="652" ht="14.25" customHeight="1">
      <c r="A652" s="8" t="s">
        <v>16</v>
      </c>
      <c r="B652" s="8">
        <v>5.1</v>
      </c>
      <c r="F652" s="4"/>
      <c r="G652" s="4"/>
      <c r="H652" s="4"/>
      <c r="I652" s="15"/>
      <c r="J652" s="4"/>
    </row>
    <row r="653" ht="14.25" customHeight="1">
      <c r="A653" s="8" t="s">
        <v>16</v>
      </c>
      <c r="B653" s="8">
        <v>6.9</v>
      </c>
      <c r="F653" s="4"/>
      <c r="G653" s="4"/>
      <c r="H653" s="4"/>
      <c r="I653" s="15"/>
      <c r="J653" s="4"/>
    </row>
    <row r="654" ht="14.25" customHeight="1">
      <c r="A654" s="8" t="s">
        <v>16</v>
      </c>
      <c r="B654" s="8">
        <v>4.8</v>
      </c>
      <c r="F654" s="4"/>
      <c r="G654" s="4"/>
      <c r="H654" s="4"/>
      <c r="I654" s="15"/>
      <c r="J654" s="4"/>
    </row>
    <row r="655" ht="14.25" customHeight="1">
      <c r="A655" s="8" t="s">
        <v>16</v>
      </c>
      <c r="B655" s="8">
        <v>6.5</v>
      </c>
      <c r="F655" s="4"/>
      <c r="G655" s="4"/>
      <c r="H655" s="4"/>
      <c r="I655" s="15"/>
      <c r="J655" s="4"/>
    </row>
    <row r="656" ht="14.25" customHeight="1">
      <c r="A656" s="8" t="s">
        <v>16</v>
      </c>
      <c r="B656" s="8">
        <v>5.1</v>
      </c>
      <c r="F656" s="4"/>
      <c r="G656" s="4"/>
      <c r="H656" s="4"/>
      <c r="I656" s="15"/>
      <c r="J656" s="4"/>
    </row>
    <row r="657" ht="14.25" customHeight="1">
      <c r="A657" s="8" t="s">
        <v>16</v>
      </c>
      <c r="B657" s="8">
        <v>7.1</v>
      </c>
      <c r="F657" s="4"/>
      <c r="G657" s="4"/>
      <c r="H657" s="4"/>
      <c r="I657" s="15"/>
      <c r="J657" s="4"/>
    </row>
    <row r="658" ht="14.25" customHeight="1">
      <c r="A658" s="8" t="s">
        <v>16</v>
      </c>
      <c r="B658" s="8">
        <v>7.5</v>
      </c>
      <c r="F658" s="4"/>
      <c r="G658" s="4"/>
      <c r="H658" s="4"/>
      <c r="I658" s="15"/>
      <c r="J658" s="4"/>
    </row>
    <row r="659" ht="14.25" customHeight="1">
      <c r="A659" s="8" t="s">
        <v>16</v>
      </c>
      <c r="B659" s="8">
        <v>6.2</v>
      </c>
      <c r="F659" s="4"/>
      <c r="G659" s="4"/>
      <c r="H659" s="4"/>
      <c r="I659" s="15"/>
      <c r="J659" s="4"/>
    </row>
    <row r="660" ht="14.25" customHeight="1">
      <c r="A660" s="8" t="s">
        <v>16</v>
      </c>
      <c r="B660" s="8">
        <v>6.3</v>
      </c>
      <c r="F660" s="4"/>
      <c r="G660" s="4"/>
      <c r="H660" s="4"/>
      <c r="I660" s="15"/>
      <c r="J660" s="4"/>
    </row>
    <row r="661" ht="14.25" customHeight="1">
      <c r="A661" s="8" t="s">
        <v>16</v>
      </c>
      <c r="B661" s="8">
        <v>8.1</v>
      </c>
      <c r="F661" s="4"/>
      <c r="G661" s="4"/>
      <c r="H661" s="4"/>
      <c r="I661" s="15"/>
      <c r="J661" s="4"/>
    </row>
    <row r="662" ht="14.25" customHeight="1">
      <c r="A662" s="8" t="s">
        <v>16</v>
      </c>
      <c r="B662" s="8">
        <v>6.6</v>
      </c>
      <c r="F662" s="4"/>
      <c r="G662" s="4"/>
      <c r="H662" s="4"/>
      <c r="I662" s="15"/>
      <c r="J662" s="4"/>
    </row>
    <row r="663" ht="14.25" customHeight="1">
      <c r="A663" s="8" t="s">
        <v>16</v>
      </c>
      <c r="B663" s="8">
        <v>6.9</v>
      </c>
      <c r="F663" s="4"/>
      <c r="G663" s="4"/>
      <c r="H663" s="4"/>
      <c r="I663" s="15"/>
      <c r="J663" s="4"/>
    </row>
    <row r="664" ht="14.25" customHeight="1">
      <c r="A664" s="8" t="s">
        <v>816</v>
      </c>
      <c r="B664" s="8">
        <v>6.1</v>
      </c>
      <c r="F664" s="4"/>
      <c r="G664" s="4"/>
      <c r="H664" s="4"/>
      <c r="I664" s="15"/>
      <c r="J664" s="4"/>
    </row>
    <row r="665" ht="14.25" customHeight="1">
      <c r="A665" s="8" t="s">
        <v>16</v>
      </c>
      <c r="B665" s="8">
        <v>4.3</v>
      </c>
      <c r="F665" s="4"/>
      <c r="G665" s="4"/>
      <c r="H665" s="4"/>
      <c r="I665" s="15"/>
      <c r="J665" s="4"/>
    </row>
    <row r="666" ht="14.25" customHeight="1">
      <c r="A666" s="8" t="s">
        <v>16</v>
      </c>
      <c r="B666" s="8">
        <v>6.6</v>
      </c>
      <c r="F666" s="4"/>
      <c r="G666" s="4"/>
      <c r="H666" s="4"/>
      <c r="I666" s="15"/>
      <c r="J666" s="4"/>
    </row>
    <row r="667" ht="14.25" customHeight="1">
      <c r="A667" s="8" t="s">
        <v>16</v>
      </c>
      <c r="B667" s="8">
        <v>6.8</v>
      </c>
      <c r="F667" s="4"/>
      <c r="G667" s="4"/>
      <c r="H667" s="4"/>
      <c r="I667" s="15"/>
      <c r="J667" s="4"/>
    </row>
    <row r="668" ht="14.25" customHeight="1">
      <c r="A668" s="8" t="s">
        <v>16</v>
      </c>
      <c r="B668" s="8">
        <v>3.8</v>
      </c>
      <c r="F668" s="4"/>
      <c r="G668" s="4"/>
      <c r="H668" s="4"/>
      <c r="I668" s="15"/>
      <c r="J668" s="4"/>
    </row>
    <row r="669" ht="14.25" customHeight="1">
      <c r="A669" s="8" t="s">
        <v>16</v>
      </c>
      <c r="B669" s="8">
        <v>5.9</v>
      </c>
      <c r="F669" s="4"/>
      <c r="G669" s="4"/>
      <c r="H669" s="4"/>
      <c r="I669" s="15"/>
      <c r="J669" s="4"/>
    </row>
    <row r="670" ht="14.25" customHeight="1">
      <c r="A670" s="8" t="s">
        <v>16</v>
      </c>
      <c r="B670" s="8">
        <v>7.9</v>
      </c>
      <c r="F670" s="4"/>
      <c r="G670" s="4"/>
      <c r="H670" s="4"/>
      <c r="I670" s="15"/>
      <c r="J670" s="4"/>
    </row>
    <row r="671" ht="14.25" customHeight="1">
      <c r="A671" s="8" t="s">
        <v>16</v>
      </c>
      <c r="B671" s="8">
        <v>6.3</v>
      </c>
      <c r="F671" s="4"/>
      <c r="G671" s="4"/>
      <c r="H671" s="4"/>
      <c r="I671" s="15"/>
      <c r="J671" s="4"/>
    </row>
    <row r="672" ht="14.25" customHeight="1">
      <c r="A672" s="8" t="s">
        <v>16</v>
      </c>
      <c r="B672" s="8">
        <v>5.5</v>
      </c>
      <c r="F672" s="4"/>
      <c r="G672" s="4"/>
      <c r="H672" s="4"/>
      <c r="I672" s="15"/>
      <c r="J672" s="4"/>
    </row>
    <row r="673" ht="14.25" customHeight="1">
      <c r="A673" s="8" t="s">
        <v>16</v>
      </c>
      <c r="B673" s="8">
        <v>7.7</v>
      </c>
      <c r="F673" s="4"/>
      <c r="G673" s="4"/>
      <c r="H673" s="4"/>
      <c r="I673" s="15"/>
      <c r="J673" s="4"/>
    </row>
    <row r="674" ht="14.25" customHeight="1">
      <c r="A674" s="8" t="s">
        <v>16</v>
      </c>
      <c r="B674" s="8">
        <v>6.3</v>
      </c>
      <c r="F674" s="4"/>
      <c r="G674" s="4"/>
      <c r="H674" s="4"/>
      <c r="I674" s="15"/>
      <c r="J674" s="4"/>
    </row>
    <row r="675" ht="14.25" customHeight="1">
      <c r="A675" s="8" t="s">
        <v>16</v>
      </c>
      <c r="B675" s="8">
        <v>7.1</v>
      </c>
      <c r="F675" s="4"/>
      <c r="G675" s="4"/>
      <c r="H675" s="4"/>
      <c r="I675" s="15"/>
      <c r="J675" s="4"/>
    </row>
    <row r="676" ht="14.25" customHeight="1">
      <c r="A676" s="8" t="s">
        <v>16</v>
      </c>
      <c r="B676" s="8">
        <v>8.5</v>
      </c>
      <c r="F676" s="4"/>
      <c r="G676" s="4"/>
      <c r="H676" s="4"/>
      <c r="I676" s="15"/>
      <c r="J676" s="4"/>
    </row>
    <row r="677" ht="14.25" customHeight="1">
      <c r="A677" s="8" t="s">
        <v>16</v>
      </c>
      <c r="B677" s="8">
        <v>5.8</v>
      </c>
      <c r="F677" s="4"/>
      <c r="G677" s="4"/>
      <c r="H677" s="4"/>
      <c r="I677" s="15"/>
      <c r="J677" s="4"/>
    </row>
    <row r="678" ht="14.25" customHeight="1">
      <c r="A678" s="8" t="s">
        <v>16</v>
      </c>
      <c r="B678" s="8">
        <v>8.1</v>
      </c>
      <c r="F678" s="4"/>
      <c r="G678" s="4"/>
      <c r="H678" s="4"/>
      <c r="I678" s="15"/>
      <c r="J678" s="4"/>
    </row>
    <row r="679" ht="14.25" customHeight="1">
      <c r="A679" s="8" t="s">
        <v>16</v>
      </c>
      <c r="B679" s="8">
        <v>7.9</v>
      </c>
      <c r="F679" s="4"/>
      <c r="G679" s="4"/>
      <c r="H679" s="4"/>
      <c r="I679" s="15"/>
      <c r="J679" s="4"/>
    </row>
    <row r="680" ht="14.25" customHeight="1">
      <c r="A680" s="8" t="s">
        <v>16</v>
      </c>
      <c r="B680" s="8">
        <v>7.2</v>
      </c>
      <c r="F680" s="4"/>
      <c r="G680" s="4"/>
      <c r="H680" s="4"/>
      <c r="I680" s="15"/>
      <c r="J680" s="4"/>
    </row>
    <row r="681" ht="14.25" customHeight="1">
      <c r="A681" s="8" t="s">
        <v>16</v>
      </c>
      <c r="B681" s="8">
        <v>6.3</v>
      </c>
      <c r="F681" s="4"/>
      <c r="G681" s="4"/>
      <c r="H681" s="4"/>
      <c r="I681" s="15"/>
      <c r="J681" s="4"/>
    </row>
    <row r="682" ht="14.25" customHeight="1">
      <c r="A682" s="8" t="s">
        <v>16</v>
      </c>
      <c r="B682" s="8">
        <v>8.1</v>
      </c>
      <c r="F682" s="4"/>
      <c r="G682" s="4"/>
      <c r="H682" s="4"/>
      <c r="I682" s="15"/>
      <c r="J682" s="4"/>
    </row>
    <row r="683" ht="14.25" customHeight="1">
      <c r="A683" s="8" t="s">
        <v>16</v>
      </c>
      <c r="B683" s="8">
        <v>7.0</v>
      </c>
      <c r="F683" s="4"/>
      <c r="G683" s="4"/>
      <c r="H683" s="4"/>
      <c r="I683" s="15"/>
      <c r="J683" s="4"/>
    </row>
    <row r="684" ht="14.25" customHeight="1">
      <c r="A684" s="8" t="s">
        <v>16</v>
      </c>
      <c r="B684" s="8">
        <v>5.5</v>
      </c>
      <c r="F684" s="4"/>
      <c r="G684" s="4"/>
      <c r="H684" s="4"/>
      <c r="I684" s="15"/>
      <c r="J684" s="4"/>
    </row>
    <row r="685" ht="14.25" customHeight="1">
      <c r="A685" s="8" t="s">
        <v>16</v>
      </c>
      <c r="B685" s="8">
        <v>6.7</v>
      </c>
      <c r="F685" s="4"/>
      <c r="G685" s="4"/>
      <c r="H685" s="4"/>
      <c r="I685" s="15"/>
      <c r="J685" s="4"/>
    </row>
    <row r="686" ht="14.25" customHeight="1">
      <c r="A686" s="8" t="s">
        <v>16</v>
      </c>
      <c r="B686" s="8">
        <v>5.2</v>
      </c>
      <c r="F686" s="4"/>
      <c r="G686" s="4"/>
      <c r="H686" s="4"/>
      <c r="I686" s="15"/>
      <c r="J686" s="4"/>
    </row>
    <row r="687" ht="14.25" customHeight="1">
      <c r="A687" s="8" t="s">
        <v>16</v>
      </c>
      <c r="B687" s="8">
        <v>7.0</v>
      </c>
      <c r="F687" s="4"/>
      <c r="G687" s="4"/>
      <c r="H687" s="4"/>
      <c r="I687" s="15"/>
      <c r="J687" s="4"/>
    </row>
    <row r="688" ht="14.25" customHeight="1">
      <c r="A688" s="8" t="s">
        <v>16</v>
      </c>
      <c r="B688" s="8">
        <v>6.1</v>
      </c>
      <c r="F688" s="4"/>
      <c r="G688" s="4"/>
      <c r="H688" s="4"/>
      <c r="I688" s="15"/>
      <c r="J688" s="4"/>
    </row>
    <row r="689" ht="14.25" customHeight="1">
      <c r="A689" s="8" t="s">
        <v>16</v>
      </c>
      <c r="B689" s="8">
        <v>6.6</v>
      </c>
      <c r="F689" s="4"/>
      <c r="G689" s="4"/>
      <c r="H689" s="4"/>
      <c r="I689" s="15"/>
      <c r="J689" s="4"/>
    </row>
    <row r="690" ht="14.25" customHeight="1">
      <c r="A690" s="8" t="s">
        <v>16</v>
      </c>
      <c r="B690" s="8">
        <v>5.5</v>
      </c>
      <c r="F690" s="4"/>
      <c r="G690" s="4"/>
      <c r="H690" s="4"/>
      <c r="I690" s="15"/>
      <c r="J690" s="4"/>
    </row>
    <row r="691" ht="14.25" customHeight="1">
      <c r="A691" s="8" t="s">
        <v>16</v>
      </c>
      <c r="B691" s="8">
        <v>5.9</v>
      </c>
      <c r="F691" s="4"/>
      <c r="G691" s="4"/>
      <c r="H691" s="4"/>
      <c r="I691" s="15"/>
      <c r="J691" s="4"/>
    </row>
    <row r="692" ht="14.25" customHeight="1">
      <c r="A692" s="8" t="s">
        <v>16</v>
      </c>
      <c r="B692" s="8">
        <v>5.4</v>
      </c>
      <c r="F692" s="4"/>
      <c r="G692" s="4"/>
      <c r="H692" s="4"/>
      <c r="I692" s="15"/>
      <c r="J692" s="4"/>
    </row>
    <row r="693" ht="14.25" customHeight="1">
      <c r="A693" s="8" t="s">
        <v>16</v>
      </c>
      <c r="B693" s="8">
        <v>6.4</v>
      </c>
      <c r="F693" s="4"/>
      <c r="G693" s="4"/>
      <c r="H693" s="4"/>
      <c r="I693" s="15"/>
      <c r="J693" s="4"/>
    </row>
    <row r="694" ht="14.25" customHeight="1">
      <c r="A694" s="8" t="s">
        <v>16</v>
      </c>
      <c r="B694" s="8">
        <v>5.7</v>
      </c>
      <c r="F694" s="4"/>
      <c r="G694" s="4"/>
      <c r="H694" s="4"/>
      <c r="I694" s="15"/>
      <c r="J694" s="4"/>
    </row>
    <row r="695" ht="14.25" customHeight="1">
      <c r="A695" s="8" t="s">
        <v>16</v>
      </c>
      <c r="B695" s="8">
        <v>6.7</v>
      </c>
      <c r="F695" s="4"/>
      <c r="G695" s="4"/>
      <c r="H695" s="4"/>
      <c r="I695" s="15"/>
      <c r="J695" s="4"/>
    </row>
    <row r="696" ht="14.25" customHeight="1">
      <c r="A696" s="8" t="s">
        <v>16</v>
      </c>
      <c r="B696" s="8">
        <v>7.1</v>
      </c>
      <c r="F696" s="4"/>
      <c r="G696" s="4"/>
      <c r="H696" s="4"/>
      <c r="I696" s="15"/>
      <c r="J696" s="4"/>
    </row>
    <row r="697" ht="14.25" customHeight="1">
      <c r="A697" s="8" t="s">
        <v>16</v>
      </c>
      <c r="B697" s="8">
        <v>6.8</v>
      </c>
      <c r="F697" s="4"/>
      <c r="G697" s="4"/>
      <c r="H697" s="4"/>
      <c r="I697" s="15"/>
      <c r="J697" s="4"/>
    </row>
    <row r="698" ht="14.25" customHeight="1">
      <c r="A698" s="8" t="s">
        <v>16</v>
      </c>
      <c r="B698" s="8">
        <v>6.5</v>
      </c>
      <c r="F698" s="4"/>
      <c r="G698" s="4"/>
      <c r="H698" s="4"/>
      <c r="I698" s="15"/>
      <c r="J698" s="4"/>
    </row>
    <row r="699" ht="14.25" customHeight="1">
      <c r="A699" s="8" t="s">
        <v>16</v>
      </c>
      <c r="B699" s="8">
        <v>7.6</v>
      </c>
      <c r="F699" s="4"/>
      <c r="G699" s="4"/>
      <c r="H699" s="4"/>
      <c r="I699" s="15"/>
      <c r="J699" s="4"/>
    </row>
    <row r="700" ht="14.25" customHeight="1">
      <c r="A700" s="8" t="s">
        <v>16</v>
      </c>
      <c r="B700" s="8">
        <v>5.5</v>
      </c>
      <c r="F700" s="4"/>
      <c r="G700" s="4"/>
      <c r="H700" s="4"/>
      <c r="I700" s="15"/>
      <c r="J700" s="4"/>
    </row>
    <row r="701" ht="14.25" customHeight="1">
      <c r="A701" s="8" t="s">
        <v>16</v>
      </c>
      <c r="B701" s="8">
        <v>6.5</v>
      </c>
      <c r="F701" s="4"/>
      <c r="G701" s="4"/>
      <c r="H701" s="4"/>
      <c r="I701" s="15"/>
      <c r="J701" s="4"/>
    </row>
    <row r="702" ht="14.25" customHeight="1">
      <c r="A702" s="8" t="s">
        <v>16</v>
      </c>
      <c r="B702" s="8">
        <v>7.0</v>
      </c>
      <c r="F702" s="4"/>
      <c r="G702" s="4"/>
      <c r="H702" s="4"/>
      <c r="I702" s="15"/>
      <c r="J702" s="4"/>
    </row>
    <row r="703" ht="14.25" customHeight="1">
      <c r="A703" s="8" t="s">
        <v>16</v>
      </c>
      <c r="B703" s="8">
        <v>5.8</v>
      </c>
      <c r="F703" s="4"/>
      <c r="G703" s="4"/>
      <c r="H703" s="4"/>
      <c r="I703" s="15"/>
      <c r="J703" s="4"/>
    </row>
    <row r="704" ht="14.25" customHeight="1">
      <c r="A704" s="8" t="s">
        <v>16</v>
      </c>
      <c r="B704" s="8">
        <v>7.3</v>
      </c>
      <c r="F704" s="4"/>
      <c r="G704" s="4"/>
      <c r="H704" s="4"/>
      <c r="I704" s="15"/>
      <c r="J704" s="4"/>
    </row>
    <row r="705" ht="14.25" customHeight="1">
      <c r="A705" s="8" t="s">
        <v>16</v>
      </c>
      <c r="B705" s="8">
        <v>6.6</v>
      </c>
      <c r="F705" s="4"/>
      <c r="G705" s="4"/>
      <c r="H705" s="4"/>
      <c r="I705" s="15"/>
      <c r="J705" s="4"/>
    </row>
    <row r="706" ht="14.25" customHeight="1">
      <c r="A706" s="8" t="s">
        <v>16</v>
      </c>
      <c r="B706" s="8">
        <v>4.4</v>
      </c>
      <c r="F706" s="4"/>
      <c r="G706" s="4"/>
      <c r="H706" s="4"/>
      <c r="I706" s="15"/>
      <c r="J706" s="4"/>
    </row>
    <row r="707" ht="14.25" customHeight="1">
      <c r="A707" s="8" t="s">
        <v>16</v>
      </c>
      <c r="B707" s="8">
        <v>7.7</v>
      </c>
      <c r="F707" s="4"/>
      <c r="G707" s="4"/>
      <c r="H707" s="4"/>
      <c r="I707" s="15"/>
      <c r="J707" s="4"/>
    </row>
    <row r="708" ht="14.25" customHeight="1">
      <c r="A708" s="8" t="s">
        <v>16</v>
      </c>
      <c r="B708" s="8">
        <v>5.0</v>
      </c>
      <c r="F708" s="4"/>
      <c r="G708" s="4"/>
      <c r="H708" s="4"/>
      <c r="I708" s="15"/>
      <c r="J708" s="4"/>
    </row>
    <row r="709" ht="14.25" customHeight="1">
      <c r="A709" s="8" t="s">
        <v>16</v>
      </c>
      <c r="B709" s="8">
        <v>7.7</v>
      </c>
      <c r="F709" s="4"/>
      <c r="G709" s="4"/>
      <c r="H709" s="4"/>
      <c r="I709" s="15"/>
      <c r="J709" s="4"/>
    </row>
    <row r="710" ht="14.25" customHeight="1">
      <c r="A710" s="8" t="s">
        <v>16</v>
      </c>
      <c r="B710" s="8">
        <v>4.4</v>
      </c>
      <c r="F710" s="4"/>
      <c r="G710" s="4"/>
      <c r="H710" s="4"/>
      <c r="I710" s="15"/>
      <c r="J710" s="4"/>
    </row>
    <row r="711" ht="14.25" customHeight="1">
      <c r="A711" s="8" t="s">
        <v>16</v>
      </c>
      <c r="B711" s="8">
        <v>6.1</v>
      </c>
      <c r="F711" s="4"/>
      <c r="G711" s="4"/>
      <c r="H711" s="4"/>
      <c r="I711" s="15"/>
      <c r="J711" s="4"/>
    </row>
    <row r="712" ht="14.25" customHeight="1">
      <c r="A712" s="8" t="s">
        <v>16</v>
      </c>
      <c r="B712" s="8">
        <v>5.4</v>
      </c>
      <c r="F712" s="4"/>
      <c r="G712" s="4"/>
      <c r="H712" s="4"/>
      <c r="I712" s="15"/>
      <c r="J712" s="4"/>
    </row>
    <row r="713" ht="14.25" customHeight="1">
      <c r="A713" s="8" t="s">
        <v>16</v>
      </c>
      <c r="B713" s="8">
        <v>6.8</v>
      </c>
      <c r="F713" s="4"/>
      <c r="G713" s="4"/>
      <c r="H713" s="4"/>
      <c r="I713" s="15"/>
      <c r="J713" s="4"/>
    </row>
    <row r="714" ht="14.25" customHeight="1">
      <c r="A714" s="8" t="s">
        <v>16</v>
      </c>
      <c r="B714" s="8">
        <v>6.5</v>
      </c>
      <c r="F714" s="4"/>
      <c r="G714" s="4"/>
      <c r="H714" s="4"/>
      <c r="I714" s="15"/>
      <c r="J714" s="4"/>
    </row>
    <row r="715" ht="14.25" customHeight="1">
      <c r="A715" s="8" t="s">
        <v>16</v>
      </c>
      <c r="B715" s="8">
        <v>7.0</v>
      </c>
      <c r="F715" s="4"/>
      <c r="G715" s="4"/>
      <c r="H715" s="4"/>
      <c r="I715" s="15"/>
      <c r="J715" s="4"/>
    </row>
    <row r="716" ht="14.25" customHeight="1">
      <c r="A716" s="8" t="s">
        <v>16</v>
      </c>
      <c r="B716" s="8">
        <v>6.3</v>
      </c>
      <c r="F716" s="4"/>
      <c r="G716" s="4"/>
      <c r="H716" s="4"/>
      <c r="I716" s="15"/>
      <c r="J716" s="4"/>
    </row>
    <row r="717" ht="14.25" customHeight="1">
      <c r="A717" s="8" t="s">
        <v>16</v>
      </c>
      <c r="B717" s="8">
        <v>6.3</v>
      </c>
      <c r="F717" s="4"/>
      <c r="G717" s="4"/>
      <c r="H717" s="4"/>
      <c r="I717" s="15"/>
      <c r="J717" s="4"/>
    </row>
    <row r="718" ht="14.25" customHeight="1">
      <c r="A718" s="8" t="s">
        <v>16</v>
      </c>
      <c r="B718" s="8">
        <v>6.1</v>
      </c>
      <c r="F718" s="4"/>
      <c r="G718" s="4"/>
      <c r="H718" s="4"/>
      <c r="I718" s="15"/>
      <c r="J718" s="4"/>
    </row>
    <row r="719" ht="14.25" customHeight="1">
      <c r="A719" s="8" t="s">
        <v>16</v>
      </c>
      <c r="B719" s="8">
        <v>6.1</v>
      </c>
      <c r="F719" s="4"/>
      <c r="G719" s="4"/>
      <c r="H719" s="4"/>
      <c r="I719" s="15"/>
      <c r="J719" s="4"/>
    </row>
    <row r="720" ht="14.25" customHeight="1">
      <c r="A720" s="8" t="s">
        <v>16</v>
      </c>
      <c r="B720" s="8">
        <v>5.3</v>
      </c>
      <c r="F720" s="4"/>
      <c r="G720" s="4"/>
      <c r="H720" s="4"/>
      <c r="I720" s="15"/>
      <c r="J720" s="4"/>
    </row>
    <row r="721" ht="14.25" customHeight="1">
      <c r="A721" s="8" t="s">
        <v>16</v>
      </c>
      <c r="B721" s="8">
        <v>5.4</v>
      </c>
      <c r="F721" s="4"/>
      <c r="G721" s="4"/>
      <c r="H721" s="4"/>
      <c r="I721" s="15"/>
      <c r="J721" s="4"/>
    </row>
    <row r="722" ht="14.25" customHeight="1">
      <c r="A722" s="8" t="s">
        <v>16</v>
      </c>
      <c r="B722" s="8">
        <v>6.2</v>
      </c>
      <c r="F722" s="4"/>
      <c r="G722" s="4"/>
      <c r="H722" s="4"/>
      <c r="I722" s="15"/>
      <c r="J722" s="4"/>
    </row>
    <row r="723" ht="14.25" customHeight="1">
      <c r="A723" s="8" t="s">
        <v>16</v>
      </c>
      <c r="B723" s="8">
        <v>6.6</v>
      </c>
      <c r="F723" s="4"/>
      <c r="G723" s="4"/>
      <c r="H723" s="4"/>
      <c r="I723" s="15"/>
      <c r="J723" s="4"/>
    </row>
    <row r="724" ht="14.25" customHeight="1">
      <c r="A724" s="8" t="s">
        <v>16</v>
      </c>
      <c r="B724" s="8">
        <v>5.9</v>
      </c>
      <c r="F724" s="4"/>
      <c r="G724" s="4"/>
      <c r="H724" s="4"/>
      <c r="I724" s="15"/>
      <c r="J724" s="4"/>
    </row>
    <row r="725" ht="14.25" customHeight="1">
      <c r="A725" s="8" t="s">
        <v>16</v>
      </c>
      <c r="B725" s="8">
        <v>6.3</v>
      </c>
      <c r="F725" s="4"/>
      <c r="G725" s="4"/>
      <c r="H725" s="4"/>
      <c r="I725" s="15"/>
      <c r="J725" s="4"/>
    </row>
    <row r="726" ht="14.25" customHeight="1">
      <c r="A726" s="8" t="s">
        <v>16</v>
      </c>
      <c r="B726" s="8">
        <v>7.2</v>
      </c>
      <c r="F726" s="4"/>
      <c r="G726" s="4"/>
      <c r="H726" s="4"/>
      <c r="I726" s="15"/>
      <c r="J726" s="4"/>
    </row>
    <row r="727" ht="14.25" customHeight="1">
      <c r="A727" s="8" t="s">
        <v>16</v>
      </c>
      <c r="B727" s="8">
        <v>6.8</v>
      </c>
      <c r="F727" s="4"/>
      <c r="G727" s="4"/>
      <c r="H727" s="4"/>
      <c r="I727" s="15"/>
      <c r="J727" s="4"/>
    </row>
    <row r="728" ht="14.25" customHeight="1">
      <c r="A728" s="8" t="s">
        <v>16</v>
      </c>
      <c r="B728" s="8">
        <v>6.1</v>
      </c>
      <c r="F728" s="4"/>
      <c r="G728" s="4"/>
      <c r="H728" s="4"/>
      <c r="I728" s="15"/>
      <c r="J728" s="4"/>
    </row>
    <row r="729" ht="14.25" customHeight="1">
      <c r="A729" s="8" t="s">
        <v>16</v>
      </c>
      <c r="B729" s="8">
        <v>7.8</v>
      </c>
      <c r="F729" s="4"/>
      <c r="G729" s="4"/>
      <c r="H729" s="4"/>
      <c r="I729" s="15"/>
      <c r="J729" s="4"/>
    </row>
    <row r="730" ht="14.25" customHeight="1">
      <c r="A730" s="8" t="s">
        <v>16</v>
      </c>
      <c r="B730" s="8">
        <v>5.0</v>
      </c>
      <c r="F730" s="4"/>
      <c r="G730" s="4"/>
      <c r="H730" s="4"/>
      <c r="I730" s="15"/>
      <c r="J730" s="4"/>
    </row>
    <row r="731" ht="14.25" customHeight="1">
      <c r="A731" s="8" t="s">
        <v>16</v>
      </c>
      <c r="B731" s="8">
        <v>6.2</v>
      </c>
      <c r="F731" s="4"/>
      <c r="G731" s="4"/>
      <c r="H731" s="4"/>
      <c r="I731" s="15"/>
      <c r="J731" s="4"/>
    </row>
    <row r="732" ht="14.25" customHeight="1">
      <c r="A732" s="8" t="s">
        <v>16</v>
      </c>
      <c r="B732" s="8">
        <v>6.7</v>
      </c>
      <c r="F732" s="4"/>
      <c r="G732" s="4"/>
      <c r="H732" s="4"/>
      <c r="I732" s="15"/>
      <c r="J732" s="4"/>
    </row>
    <row r="733" ht="14.25" customHeight="1">
      <c r="A733" s="8" t="s">
        <v>16</v>
      </c>
      <c r="B733" s="8">
        <v>4.9</v>
      </c>
      <c r="F733" s="4"/>
      <c r="G733" s="4"/>
      <c r="H733" s="4"/>
      <c r="I733" s="15"/>
      <c r="J733" s="4"/>
    </row>
    <row r="734" ht="14.25" customHeight="1">
      <c r="A734" s="8" t="s">
        <v>16</v>
      </c>
      <c r="B734" s="8">
        <v>7.4</v>
      </c>
      <c r="F734" s="4"/>
      <c r="G734" s="4"/>
      <c r="H734" s="4"/>
      <c r="I734" s="15"/>
      <c r="J734" s="4"/>
    </row>
    <row r="735" ht="14.25" customHeight="1">
      <c r="A735" s="8" t="s">
        <v>16</v>
      </c>
      <c r="B735" s="8">
        <v>6.2</v>
      </c>
      <c r="F735" s="4"/>
      <c r="G735" s="4"/>
      <c r="H735" s="4"/>
      <c r="I735" s="15"/>
      <c r="J735" s="4"/>
    </row>
    <row r="736" ht="14.25" customHeight="1">
      <c r="A736" s="8" t="s">
        <v>16</v>
      </c>
      <c r="B736" s="8">
        <v>4.9</v>
      </c>
      <c r="F736" s="4"/>
      <c r="G736" s="4"/>
      <c r="H736" s="4"/>
      <c r="I736" s="15"/>
      <c r="J736" s="4"/>
    </row>
    <row r="737" ht="14.25" customHeight="1">
      <c r="A737" s="8" t="s">
        <v>16</v>
      </c>
      <c r="B737" s="8">
        <v>6.1</v>
      </c>
      <c r="F737" s="4"/>
      <c r="G737" s="4"/>
      <c r="H737" s="4"/>
      <c r="I737" s="15"/>
      <c r="J737" s="4"/>
    </row>
    <row r="738" ht="14.25" customHeight="1">
      <c r="A738" s="8" t="s">
        <v>16</v>
      </c>
      <c r="B738" s="8">
        <v>6.1</v>
      </c>
      <c r="F738" s="4"/>
      <c r="G738" s="4"/>
      <c r="H738" s="4"/>
      <c r="I738" s="15"/>
      <c r="J738" s="4"/>
    </row>
    <row r="739" ht="14.25" customHeight="1">
      <c r="A739" s="8" t="s">
        <v>16</v>
      </c>
      <c r="B739" s="8">
        <v>6.4</v>
      </c>
      <c r="F739" s="4"/>
      <c r="G739" s="4"/>
      <c r="H739" s="4"/>
      <c r="I739" s="15"/>
      <c r="J739" s="4"/>
    </row>
    <row r="740" ht="14.25" customHeight="1">
      <c r="A740" s="8" t="s">
        <v>16</v>
      </c>
      <c r="B740" s="8">
        <v>6.3</v>
      </c>
      <c r="F740" s="4"/>
      <c r="G740" s="4"/>
      <c r="H740" s="4"/>
      <c r="I740" s="15"/>
      <c r="J740" s="4"/>
    </row>
    <row r="741" ht="14.25" customHeight="1">
      <c r="A741" s="8" t="s">
        <v>16</v>
      </c>
      <c r="B741" s="8">
        <v>6.6</v>
      </c>
      <c r="F741" s="4"/>
      <c r="G741" s="4"/>
      <c r="H741" s="4"/>
      <c r="I741" s="15"/>
      <c r="J741" s="4"/>
    </row>
    <row r="742" ht="14.25" customHeight="1">
      <c r="A742" s="8" t="s">
        <v>16</v>
      </c>
      <c r="B742" s="8">
        <v>5.7</v>
      </c>
      <c r="F742" s="4"/>
      <c r="G742" s="4"/>
      <c r="H742" s="4"/>
      <c r="I742" s="15"/>
      <c r="J742" s="4"/>
    </row>
    <row r="743" ht="14.25" customHeight="1">
      <c r="A743" s="8" t="s">
        <v>16</v>
      </c>
      <c r="B743" s="8">
        <v>5.9</v>
      </c>
      <c r="F743" s="4"/>
      <c r="G743" s="4"/>
      <c r="H743" s="4"/>
      <c r="I743" s="15"/>
      <c r="J743" s="4"/>
    </row>
    <row r="744" ht="14.25" customHeight="1">
      <c r="A744" s="8" t="s">
        <v>16</v>
      </c>
      <c r="B744" s="8">
        <v>6.0</v>
      </c>
      <c r="F744" s="4"/>
      <c r="G744" s="4"/>
      <c r="H744" s="4"/>
      <c r="I744" s="15"/>
      <c r="J744" s="4"/>
    </row>
    <row r="745" ht="14.25" customHeight="1">
      <c r="A745" s="8" t="s">
        <v>16</v>
      </c>
      <c r="B745" s="8">
        <v>6.1</v>
      </c>
      <c r="F745" s="4"/>
      <c r="G745" s="4"/>
      <c r="H745" s="4"/>
      <c r="I745" s="15"/>
      <c r="J745" s="4"/>
    </row>
    <row r="746" ht="14.25" customHeight="1">
      <c r="A746" s="8" t="s">
        <v>16</v>
      </c>
      <c r="B746" s="8">
        <v>6.7</v>
      </c>
      <c r="F746" s="4"/>
      <c r="G746" s="4"/>
      <c r="H746" s="4"/>
      <c r="I746" s="15"/>
      <c r="J746" s="4"/>
    </row>
    <row r="747" ht="14.25" customHeight="1">
      <c r="A747" s="8" t="s">
        <v>16</v>
      </c>
      <c r="B747" s="8">
        <v>6.7</v>
      </c>
      <c r="F747" s="4"/>
      <c r="G747" s="4"/>
      <c r="H747" s="4"/>
      <c r="I747" s="15"/>
      <c r="J747" s="4"/>
    </row>
    <row r="748" ht="14.25" customHeight="1">
      <c r="A748" s="8" t="s">
        <v>16</v>
      </c>
      <c r="B748" s="8">
        <v>7.9</v>
      </c>
      <c r="F748" s="4"/>
      <c r="G748" s="4"/>
      <c r="H748" s="4"/>
      <c r="I748" s="15"/>
      <c r="J748" s="4"/>
    </row>
    <row r="749" ht="14.25" customHeight="1">
      <c r="A749" s="8" t="s">
        <v>16</v>
      </c>
      <c r="B749" s="8">
        <v>4.3</v>
      </c>
      <c r="F749" s="4"/>
      <c r="G749" s="4"/>
      <c r="H749" s="4"/>
      <c r="I749" s="15"/>
      <c r="J749" s="4"/>
    </row>
    <row r="750" ht="14.25" customHeight="1">
      <c r="A750" s="8" t="s">
        <v>16</v>
      </c>
      <c r="B750" s="8">
        <v>5.7</v>
      </c>
      <c r="F750" s="4"/>
      <c r="G750" s="4"/>
      <c r="H750" s="4"/>
      <c r="I750" s="15"/>
      <c r="J750" s="4"/>
    </row>
    <row r="751" ht="14.25" customHeight="1">
      <c r="A751" s="8" t="s">
        <v>16</v>
      </c>
      <c r="B751" s="8">
        <v>6.7</v>
      </c>
      <c r="F751" s="4"/>
      <c r="G751" s="4"/>
      <c r="H751" s="4"/>
      <c r="I751" s="15"/>
      <c r="J751" s="4"/>
    </row>
    <row r="752" ht="14.25" customHeight="1">
      <c r="A752" s="8" t="s">
        <v>16</v>
      </c>
      <c r="B752" s="8">
        <v>6.7</v>
      </c>
      <c r="F752" s="4"/>
      <c r="G752" s="4"/>
      <c r="H752" s="4"/>
      <c r="I752" s="15"/>
      <c r="J752" s="4"/>
    </row>
    <row r="753" ht="14.25" customHeight="1">
      <c r="A753" s="8" t="s">
        <v>16</v>
      </c>
      <c r="B753" s="8">
        <v>6.1</v>
      </c>
      <c r="F753" s="4"/>
      <c r="G753" s="4"/>
      <c r="H753" s="4"/>
      <c r="I753" s="15"/>
      <c r="J753" s="4"/>
    </row>
    <row r="754" ht="14.25" customHeight="1">
      <c r="A754" s="8" t="s">
        <v>16</v>
      </c>
      <c r="B754" s="8">
        <v>5.6</v>
      </c>
      <c r="F754" s="4"/>
      <c r="G754" s="4"/>
      <c r="H754" s="4"/>
      <c r="I754" s="15"/>
      <c r="J754" s="4"/>
    </row>
    <row r="755" ht="14.25" customHeight="1">
      <c r="A755" s="8" t="s">
        <v>16</v>
      </c>
      <c r="B755" s="8">
        <v>6.6</v>
      </c>
      <c r="F755" s="4"/>
      <c r="G755" s="4"/>
      <c r="H755" s="4"/>
      <c r="I755" s="15"/>
      <c r="J755" s="4"/>
    </row>
    <row r="756" ht="14.25" customHeight="1">
      <c r="A756" s="8" t="s">
        <v>16</v>
      </c>
      <c r="B756" s="8">
        <v>6.9</v>
      </c>
      <c r="F756" s="4"/>
      <c r="G756" s="4"/>
      <c r="H756" s="4"/>
      <c r="I756" s="15"/>
      <c r="J756" s="4"/>
    </row>
    <row r="757" ht="14.25" customHeight="1">
      <c r="A757" s="8" t="s">
        <v>16</v>
      </c>
      <c r="B757" s="8">
        <v>4.8</v>
      </c>
      <c r="F757" s="4"/>
      <c r="G757" s="4"/>
      <c r="H757" s="4"/>
      <c r="I757" s="15"/>
      <c r="J757" s="4"/>
    </row>
    <row r="758" ht="14.25" customHeight="1">
      <c r="A758" s="8" t="s">
        <v>16</v>
      </c>
      <c r="B758" s="8">
        <v>6.2</v>
      </c>
      <c r="F758" s="4"/>
      <c r="G758" s="4"/>
      <c r="H758" s="4"/>
      <c r="I758" s="15"/>
      <c r="J758" s="4"/>
    </row>
    <row r="759" ht="14.25" customHeight="1">
      <c r="A759" s="8" t="s">
        <v>16</v>
      </c>
      <c r="B759" s="8">
        <v>6.0</v>
      </c>
      <c r="F759" s="4"/>
      <c r="G759" s="4"/>
      <c r="H759" s="4"/>
      <c r="I759" s="15"/>
      <c r="J759" s="4"/>
    </row>
    <row r="760" ht="14.25" customHeight="1">
      <c r="A760" s="8" t="s">
        <v>16</v>
      </c>
      <c r="B760" s="8">
        <v>4.9</v>
      </c>
      <c r="F760" s="4"/>
      <c r="G760" s="4"/>
      <c r="H760" s="4"/>
      <c r="I760" s="15"/>
      <c r="J760" s="4"/>
    </row>
    <row r="761" ht="14.25" customHeight="1">
      <c r="A761" s="8" t="s">
        <v>16</v>
      </c>
      <c r="B761" s="8">
        <v>5.6</v>
      </c>
      <c r="F761" s="4"/>
      <c r="G761" s="4"/>
      <c r="H761" s="4"/>
      <c r="I761" s="15"/>
      <c r="J761" s="4"/>
    </row>
    <row r="762" ht="14.25" customHeight="1">
      <c r="A762" s="8" t="s">
        <v>16</v>
      </c>
      <c r="B762" s="8">
        <v>6.1</v>
      </c>
      <c r="F762" s="4"/>
      <c r="G762" s="4"/>
      <c r="H762" s="4"/>
      <c r="I762" s="15"/>
      <c r="J762" s="4"/>
    </row>
    <row r="763" ht="14.25" customHeight="1">
      <c r="A763" s="8" t="s">
        <v>16</v>
      </c>
      <c r="B763" s="8">
        <v>6.1</v>
      </c>
      <c r="F763" s="4"/>
      <c r="G763" s="4"/>
      <c r="H763" s="4"/>
      <c r="I763" s="15"/>
      <c r="J763" s="4"/>
    </row>
    <row r="764" ht="14.25" customHeight="1">
      <c r="A764" s="8" t="s">
        <v>16</v>
      </c>
      <c r="B764" s="8">
        <v>4.8</v>
      </c>
      <c r="F764" s="4"/>
      <c r="G764" s="4"/>
      <c r="H764" s="4"/>
      <c r="I764" s="15"/>
      <c r="J764" s="4"/>
    </row>
    <row r="765" ht="14.25" customHeight="1">
      <c r="A765" s="8" t="s">
        <v>16</v>
      </c>
      <c r="B765" s="8">
        <v>5.5</v>
      </c>
      <c r="F765" s="4"/>
      <c r="G765" s="4"/>
      <c r="H765" s="4"/>
      <c r="I765" s="15"/>
      <c r="J765" s="4"/>
    </row>
    <row r="766" ht="14.25" customHeight="1">
      <c r="A766" s="8" t="s">
        <v>16</v>
      </c>
      <c r="B766" s="8">
        <v>3.8</v>
      </c>
      <c r="F766" s="4"/>
      <c r="G766" s="4"/>
      <c r="H766" s="4"/>
      <c r="I766" s="15"/>
      <c r="J766" s="4"/>
    </row>
    <row r="767" ht="14.25" customHeight="1">
      <c r="A767" s="8" t="s">
        <v>16</v>
      </c>
      <c r="B767" s="8">
        <v>6.5</v>
      </c>
      <c r="F767" s="4"/>
      <c r="G767" s="4"/>
      <c r="H767" s="4"/>
      <c r="I767" s="15"/>
      <c r="J767" s="4"/>
    </row>
    <row r="768" ht="14.25" customHeight="1">
      <c r="A768" s="8" t="s">
        <v>1805</v>
      </c>
      <c r="B768" s="8">
        <v>6.7</v>
      </c>
      <c r="F768" s="4"/>
      <c r="G768" s="4"/>
      <c r="H768" s="4"/>
      <c r="I768" s="15"/>
      <c r="J768" s="4"/>
    </row>
    <row r="769" ht="14.25" customHeight="1">
      <c r="A769" s="8" t="s">
        <v>16</v>
      </c>
      <c r="B769" s="8">
        <v>8.1</v>
      </c>
      <c r="F769" s="4"/>
      <c r="G769" s="4"/>
      <c r="H769" s="4"/>
      <c r="I769" s="15"/>
      <c r="J769" s="4"/>
    </row>
    <row r="770" ht="14.25" customHeight="1">
      <c r="A770" s="8" t="s">
        <v>16</v>
      </c>
      <c r="B770" s="8">
        <v>4.9</v>
      </c>
      <c r="F770" s="4"/>
      <c r="G770" s="4"/>
      <c r="H770" s="4"/>
      <c r="I770" s="15"/>
      <c r="J770" s="4"/>
    </row>
    <row r="771" ht="14.25" customHeight="1">
      <c r="A771" s="8" t="s">
        <v>16</v>
      </c>
      <c r="B771" s="8">
        <v>7.3</v>
      </c>
      <c r="F771" s="4"/>
      <c r="G771" s="4"/>
      <c r="H771" s="4"/>
      <c r="I771" s="15"/>
      <c r="J771" s="4"/>
    </row>
    <row r="772" ht="14.25" customHeight="1">
      <c r="A772" s="8" t="s">
        <v>16</v>
      </c>
      <c r="B772" s="8">
        <v>6.4</v>
      </c>
      <c r="F772" s="4"/>
      <c r="G772" s="4"/>
      <c r="H772" s="4"/>
      <c r="I772" s="15"/>
      <c r="J772" s="4"/>
    </row>
    <row r="773" ht="14.25" customHeight="1">
      <c r="A773" s="8" t="s">
        <v>16</v>
      </c>
      <c r="B773" s="8">
        <v>6.7</v>
      </c>
      <c r="F773" s="4"/>
      <c r="G773" s="4"/>
      <c r="H773" s="4"/>
      <c r="I773" s="15"/>
      <c r="J773" s="4"/>
    </row>
    <row r="774" ht="14.25" customHeight="1">
      <c r="A774" s="8" t="s">
        <v>16</v>
      </c>
      <c r="B774" s="8">
        <v>3.6</v>
      </c>
      <c r="F774" s="4"/>
      <c r="G774" s="4"/>
      <c r="H774" s="4"/>
      <c r="I774" s="15"/>
      <c r="J774" s="4"/>
    </row>
    <row r="775" ht="14.25" customHeight="1">
      <c r="A775" s="8" t="s">
        <v>16</v>
      </c>
      <c r="B775" s="8">
        <v>5.7</v>
      </c>
      <c r="F775" s="4"/>
      <c r="G775" s="4"/>
      <c r="H775" s="4"/>
      <c r="I775" s="15"/>
      <c r="J775" s="4"/>
    </row>
    <row r="776" ht="14.25" customHeight="1">
      <c r="A776" s="8" t="s">
        <v>16</v>
      </c>
      <c r="B776" s="8">
        <v>6.0</v>
      </c>
      <c r="F776" s="4"/>
      <c r="G776" s="4"/>
      <c r="H776" s="4"/>
      <c r="I776" s="15"/>
      <c r="J776" s="4"/>
    </row>
    <row r="777" ht="14.25" customHeight="1">
      <c r="A777" s="8" t="s">
        <v>16</v>
      </c>
      <c r="B777" s="8">
        <v>4.7</v>
      </c>
      <c r="F777" s="4"/>
      <c r="G777" s="4"/>
      <c r="H777" s="4"/>
      <c r="I777" s="15"/>
      <c r="J777" s="4"/>
    </row>
    <row r="778" ht="14.25" customHeight="1">
      <c r="A778" s="8" t="s">
        <v>16</v>
      </c>
      <c r="B778" s="8">
        <v>6.3</v>
      </c>
      <c r="F778" s="4"/>
      <c r="G778" s="4"/>
      <c r="H778" s="4"/>
      <c r="I778" s="15"/>
      <c r="J778" s="4"/>
    </row>
    <row r="779" ht="14.25" customHeight="1">
      <c r="A779" s="8" t="s">
        <v>16</v>
      </c>
      <c r="B779" s="8">
        <v>5.9</v>
      </c>
      <c r="F779" s="4"/>
      <c r="G779" s="4"/>
      <c r="H779" s="4"/>
      <c r="I779" s="15"/>
      <c r="J779" s="4"/>
    </row>
    <row r="780" ht="14.25" customHeight="1">
      <c r="A780" s="8" t="s">
        <v>16</v>
      </c>
      <c r="B780" s="8">
        <v>5.9</v>
      </c>
      <c r="F780" s="4"/>
      <c r="G780" s="4"/>
      <c r="H780" s="4"/>
      <c r="I780" s="15"/>
      <c r="J780" s="4"/>
    </row>
    <row r="781" ht="14.25" customHeight="1">
      <c r="A781" s="8" t="s">
        <v>16</v>
      </c>
      <c r="B781" s="8">
        <v>7.5</v>
      </c>
      <c r="F781" s="4"/>
      <c r="G781" s="4"/>
      <c r="H781" s="4"/>
      <c r="I781" s="15"/>
      <c r="J781" s="4"/>
    </row>
    <row r="782" ht="14.25" customHeight="1">
      <c r="A782" s="8" t="s">
        <v>16</v>
      </c>
      <c r="B782" s="8">
        <v>5.6</v>
      </c>
      <c r="F782" s="4"/>
      <c r="G782" s="4"/>
      <c r="H782" s="4"/>
      <c r="I782" s="15"/>
      <c r="J782" s="4"/>
    </row>
    <row r="783" ht="14.25" customHeight="1">
      <c r="A783" s="8" t="s">
        <v>16</v>
      </c>
      <c r="B783" s="8">
        <v>6.4</v>
      </c>
      <c r="F783" s="4"/>
      <c r="G783" s="4"/>
      <c r="H783" s="4"/>
      <c r="I783" s="15"/>
      <c r="J783" s="4"/>
    </row>
    <row r="784" ht="14.25" customHeight="1">
      <c r="A784" s="8" t="s">
        <v>16</v>
      </c>
      <c r="B784" s="8">
        <v>6.3</v>
      </c>
      <c r="F784" s="4"/>
      <c r="G784" s="4"/>
      <c r="H784" s="4"/>
      <c r="I784" s="15"/>
      <c r="J784" s="4"/>
    </row>
    <row r="785" ht="14.25" customHeight="1">
      <c r="A785" s="8" t="s">
        <v>16</v>
      </c>
      <c r="B785" s="8">
        <v>4.3</v>
      </c>
      <c r="F785" s="4"/>
      <c r="G785" s="4"/>
      <c r="H785" s="4"/>
      <c r="I785" s="15"/>
      <c r="J785" s="4"/>
    </row>
    <row r="786" ht="14.25" customHeight="1">
      <c r="A786" s="8" t="s">
        <v>16</v>
      </c>
      <c r="B786" s="8">
        <v>5.9</v>
      </c>
      <c r="F786" s="4"/>
      <c r="G786" s="4"/>
      <c r="H786" s="4"/>
      <c r="I786" s="15"/>
      <c r="J786" s="4"/>
    </row>
    <row r="787" ht="14.25" customHeight="1">
      <c r="A787" s="8" t="s">
        <v>16</v>
      </c>
      <c r="B787" s="8">
        <v>5.5</v>
      </c>
      <c r="F787" s="4"/>
      <c r="G787" s="4"/>
      <c r="H787" s="4"/>
      <c r="I787" s="15"/>
      <c r="J787" s="4"/>
    </row>
    <row r="788" ht="14.25" customHeight="1">
      <c r="A788" s="8" t="s">
        <v>16</v>
      </c>
      <c r="B788" s="8">
        <v>6.2</v>
      </c>
      <c r="F788" s="4"/>
      <c r="G788" s="4"/>
      <c r="H788" s="4"/>
      <c r="I788" s="15"/>
      <c r="J788" s="4"/>
    </row>
    <row r="789" ht="14.25" customHeight="1">
      <c r="A789" s="8" t="s">
        <v>16</v>
      </c>
      <c r="B789" s="8">
        <v>8.8</v>
      </c>
      <c r="F789" s="4"/>
      <c r="G789" s="4"/>
      <c r="H789" s="4"/>
      <c r="I789" s="15"/>
      <c r="J789" s="4"/>
    </row>
    <row r="790" ht="14.25" customHeight="1">
      <c r="A790" s="8" t="s">
        <v>16</v>
      </c>
      <c r="B790" s="8">
        <v>5.2</v>
      </c>
      <c r="F790" s="4"/>
      <c r="G790" s="4"/>
      <c r="H790" s="4"/>
      <c r="I790" s="15"/>
      <c r="J790" s="4"/>
    </row>
    <row r="791" ht="14.25" customHeight="1">
      <c r="A791" s="8" t="s">
        <v>16</v>
      </c>
      <c r="B791" s="8">
        <v>7.0</v>
      </c>
      <c r="F791" s="4"/>
      <c r="G791" s="4"/>
      <c r="H791" s="4"/>
      <c r="I791" s="15"/>
      <c r="J791" s="4"/>
    </row>
    <row r="792" ht="14.25" customHeight="1">
      <c r="A792" s="8" t="s">
        <v>16</v>
      </c>
      <c r="B792" s="8">
        <v>6.6</v>
      </c>
      <c r="F792" s="4"/>
      <c r="G792" s="4"/>
      <c r="H792" s="4"/>
      <c r="I792" s="15"/>
      <c r="J792" s="4"/>
    </row>
    <row r="793" ht="14.25" customHeight="1">
      <c r="A793" s="8" t="s">
        <v>16</v>
      </c>
      <c r="B793" s="8">
        <v>7.3</v>
      </c>
      <c r="F793" s="4"/>
      <c r="G793" s="4"/>
      <c r="H793" s="4"/>
      <c r="I793" s="15"/>
      <c r="J793" s="4"/>
    </row>
    <row r="794" ht="14.25" customHeight="1">
      <c r="A794" s="8" t="s">
        <v>16</v>
      </c>
      <c r="B794" s="8">
        <v>5.6</v>
      </c>
      <c r="F794" s="4"/>
      <c r="G794" s="4"/>
      <c r="H794" s="4"/>
      <c r="I794" s="15"/>
      <c r="J794" s="4"/>
    </row>
    <row r="795" ht="14.25" customHeight="1">
      <c r="A795" s="8" t="s">
        <v>16</v>
      </c>
      <c r="B795" s="8">
        <v>6.6</v>
      </c>
      <c r="F795" s="4"/>
      <c r="G795" s="4"/>
      <c r="H795" s="4"/>
      <c r="I795" s="15"/>
      <c r="J795" s="4"/>
    </row>
    <row r="796" ht="14.25" customHeight="1">
      <c r="A796" s="8" t="s">
        <v>16</v>
      </c>
      <c r="B796" s="8">
        <v>5.4</v>
      </c>
      <c r="F796" s="4"/>
      <c r="G796" s="4"/>
      <c r="H796" s="4"/>
      <c r="I796" s="15"/>
      <c r="J796" s="4"/>
    </row>
    <row r="797" ht="14.25" customHeight="1">
      <c r="A797" s="8" t="s">
        <v>16</v>
      </c>
      <c r="B797" s="8">
        <v>6.3</v>
      </c>
      <c r="F797" s="4"/>
      <c r="G797" s="4"/>
      <c r="H797" s="4"/>
      <c r="I797" s="15"/>
      <c r="J797" s="4"/>
    </row>
    <row r="798" ht="14.25" customHeight="1">
      <c r="A798" s="8" t="s">
        <v>16</v>
      </c>
      <c r="B798" s="8">
        <v>7.9</v>
      </c>
      <c r="F798" s="4"/>
      <c r="G798" s="4"/>
      <c r="H798" s="4"/>
      <c r="I798" s="15"/>
      <c r="J798" s="4"/>
    </row>
    <row r="799" ht="14.25" customHeight="1">
      <c r="A799" s="8" t="s">
        <v>16</v>
      </c>
      <c r="B799" s="8">
        <v>6.3</v>
      </c>
      <c r="F799" s="4"/>
      <c r="G799" s="4"/>
      <c r="H799" s="4"/>
      <c r="I799" s="15"/>
      <c r="J799" s="4"/>
    </row>
    <row r="800" ht="14.25" customHeight="1">
      <c r="A800" s="8" t="s">
        <v>16</v>
      </c>
      <c r="B800" s="8">
        <v>6.0</v>
      </c>
      <c r="F800" s="4"/>
      <c r="G800" s="4"/>
      <c r="H800" s="4"/>
      <c r="I800" s="15"/>
      <c r="J800" s="4"/>
    </row>
    <row r="801" ht="14.25" customHeight="1">
      <c r="A801" s="8" t="s">
        <v>16</v>
      </c>
      <c r="B801" s="8">
        <v>7.2</v>
      </c>
      <c r="F801" s="4"/>
      <c r="G801" s="4"/>
      <c r="H801" s="4"/>
      <c r="I801" s="15"/>
      <c r="J801" s="4"/>
    </row>
    <row r="802" ht="14.25" customHeight="1">
      <c r="A802" s="8" t="s">
        <v>16</v>
      </c>
      <c r="B802" s="8">
        <v>5.1</v>
      </c>
      <c r="F802" s="4"/>
      <c r="G802" s="4"/>
      <c r="H802" s="4"/>
      <c r="I802" s="15"/>
      <c r="J802" s="4"/>
    </row>
    <row r="803" ht="14.25" customHeight="1">
      <c r="A803" s="8" t="s">
        <v>16</v>
      </c>
      <c r="B803" s="8">
        <v>7.3</v>
      </c>
      <c r="F803" s="4"/>
      <c r="G803" s="4"/>
      <c r="H803" s="4"/>
      <c r="I803" s="15"/>
      <c r="J803" s="4"/>
    </row>
    <row r="804" ht="14.25" customHeight="1">
      <c r="A804" s="8" t="s">
        <v>16</v>
      </c>
      <c r="B804" s="8">
        <v>8.0</v>
      </c>
      <c r="F804" s="4"/>
      <c r="G804" s="4"/>
      <c r="H804" s="4"/>
      <c r="I804" s="15"/>
      <c r="J804" s="4"/>
    </row>
    <row r="805" ht="14.25" customHeight="1">
      <c r="A805" s="8" t="s">
        <v>16</v>
      </c>
      <c r="B805" s="8">
        <v>6.2</v>
      </c>
      <c r="F805" s="4"/>
      <c r="G805" s="4"/>
      <c r="H805" s="4"/>
      <c r="I805" s="15"/>
      <c r="J805" s="4"/>
    </row>
    <row r="806" ht="14.25" customHeight="1">
      <c r="A806" s="8" t="s">
        <v>16</v>
      </c>
      <c r="B806" s="8">
        <v>6.0</v>
      </c>
      <c r="F806" s="4"/>
      <c r="G806" s="4"/>
      <c r="H806" s="4"/>
      <c r="I806" s="15"/>
      <c r="J806" s="4"/>
    </row>
    <row r="807" ht="14.25" customHeight="1">
      <c r="A807" s="8" t="s">
        <v>16</v>
      </c>
      <c r="B807" s="8">
        <v>6.7</v>
      </c>
      <c r="F807" s="4"/>
      <c r="G807" s="4"/>
      <c r="H807" s="4"/>
      <c r="I807" s="15"/>
      <c r="J807" s="4"/>
    </row>
    <row r="808" ht="14.25" customHeight="1">
      <c r="A808" s="8" t="s">
        <v>16</v>
      </c>
      <c r="B808" s="8">
        <v>8.1</v>
      </c>
      <c r="F808" s="4"/>
      <c r="G808" s="4"/>
      <c r="H808" s="4"/>
      <c r="I808" s="15"/>
      <c r="J808" s="4"/>
    </row>
    <row r="809" ht="14.25" customHeight="1">
      <c r="A809" s="8" t="s">
        <v>16</v>
      </c>
      <c r="B809" s="8">
        <v>6.4</v>
      </c>
      <c r="F809" s="4"/>
      <c r="G809" s="4"/>
      <c r="H809" s="4"/>
      <c r="I809" s="15"/>
      <c r="J809" s="4"/>
    </row>
    <row r="810" ht="14.25" customHeight="1">
      <c r="A810" s="8" t="s">
        <v>16</v>
      </c>
      <c r="B810" s="8">
        <v>8.0</v>
      </c>
      <c r="F810" s="4"/>
      <c r="G810" s="4"/>
      <c r="H810" s="4"/>
      <c r="I810" s="15"/>
      <c r="J810" s="4"/>
    </row>
    <row r="811" ht="14.25" customHeight="1">
      <c r="A811" s="8" t="s">
        <v>16</v>
      </c>
      <c r="B811" s="8">
        <v>6.3</v>
      </c>
      <c r="F811" s="4"/>
      <c r="G811" s="4"/>
      <c r="H811" s="4"/>
      <c r="I811" s="15"/>
      <c r="J811" s="4"/>
    </row>
    <row r="812" ht="14.25" customHeight="1">
      <c r="A812" s="8" t="s">
        <v>16</v>
      </c>
      <c r="B812" s="8">
        <v>6.4</v>
      </c>
      <c r="F812" s="4"/>
      <c r="G812" s="4"/>
      <c r="H812" s="4"/>
      <c r="I812" s="15"/>
      <c r="J812" s="4"/>
    </row>
    <row r="813" ht="14.25" customHeight="1">
      <c r="A813" s="8" t="s">
        <v>16</v>
      </c>
      <c r="B813" s="8">
        <v>6.6</v>
      </c>
      <c r="F813" s="4"/>
      <c r="G813" s="4"/>
      <c r="H813" s="4"/>
      <c r="I813" s="15"/>
      <c r="J813" s="4"/>
    </row>
    <row r="814" ht="14.25" customHeight="1">
      <c r="A814" s="8" t="s">
        <v>16</v>
      </c>
      <c r="B814" s="8">
        <v>6.4</v>
      </c>
      <c r="F814" s="4"/>
      <c r="G814" s="4"/>
      <c r="H814" s="4"/>
      <c r="I814" s="15"/>
      <c r="J814" s="4"/>
    </row>
    <row r="815" ht="14.25" customHeight="1">
      <c r="A815" s="8" t="s">
        <v>16</v>
      </c>
      <c r="B815" s="8">
        <v>6.0</v>
      </c>
      <c r="F815" s="4"/>
      <c r="G815" s="4"/>
      <c r="H815" s="4"/>
      <c r="I815" s="15"/>
      <c r="J815" s="4"/>
    </row>
    <row r="816" ht="14.25" customHeight="1">
      <c r="A816" s="8" t="s">
        <v>16</v>
      </c>
      <c r="B816" s="8">
        <v>6.6</v>
      </c>
      <c r="F816" s="4"/>
      <c r="G816" s="4"/>
      <c r="H816" s="4"/>
      <c r="I816" s="15"/>
      <c r="J816" s="4"/>
    </row>
    <row r="817" ht="14.25" customHeight="1">
      <c r="A817" s="8" t="s">
        <v>16</v>
      </c>
      <c r="B817" s="8">
        <v>5.9</v>
      </c>
      <c r="F817" s="4"/>
      <c r="G817" s="4"/>
      <c r="H817" s="4"/>
      <c r="I817" s="15"/>
      <c r="J817" s="4"/>
    </row>
    <row r="818" ht="14.25" customHeight="1">
      <c r="A818" s="8" t="s">
        <v>16</v>
      </c>
      <c r="B818" s="8">
        <v>6.4</v>
      </c>
      <c r="F818" s="4"/>
      <c r="G818" s="4"/>
      <c r="H818" s="4"/>
      <c r="I818" s="15"/>
      <c r="J818" s="4"/>
    </row>
    <row r="819" ht="14.25" customHeight="1">
      <c r="A819" s="8" t="s">
        <v>16</v>
      </c>
      <c r="B819" s="8">
        <v>6.3</v>
      </c>
      <c r="F819" s="4"/>
      <c r="G819" s="4"/>
      <c r="H819" s="4"/>
      <c r="I819" s="15"/>
      <c r="J819" s="4"/>
    </row>
    <row r="820" ht="14.25" customHeight="1">
      <c r="A820" s="8" t="s">
        <v>16</v>
      </c>
      <c r="B820" s="8">
        <v>7.3</v>
      </c>
      <c r="F820" s="4"/>
      <c r="G820" s="4"/>
      <c r="H820" s="4"/>
      <c r="I820" s="15"/>
      <c r="J820" s="4"/>
    </row>
    <row r="821" ht="14.25" customHeight="1">
      <c r="A821" s="8" t="s">
        <v>16</v>
      </c>
      <c r="B821" s="8">
        <v>6.8</v>
      </c>
      <c r="F821" s="4"/>
      <c r="G821" s="4"/>
      <c r="H821" s="4"/>
      <c r="I821" s="15"/>
      <c r="J821" s="4"/>
    </row>
    <row r="822" ht="14.25" customHeight="1">
      <c r="A822" s="8" t="s">
        <v>16</v>
      </c>
      <c r="B822" s="8">
        <v>7.2</v>
      </c>
      <c r="F822" s="4"/>
      <c r="G822" s="4"/>
      <c r="H822" s="4"/>
      <c r="I822" s="15"/>
      <c r="J822" s="4"/>
    </row>
    <row r="823" ht="14.25" customHeight="1">
      <c r="A823" s="8" t="s">
        <v>16</v>
      </c>
      <c r="B823" s="8">
        <v>5.7</v>
      </c>
      <c r="F823" s="4"/>
      <c r="G823" s="4"/>
      <c r="H823" s="4"/>
      <c r="I823" s="15"/>
      <c r="J823" s="4"/>
    </row>
    <row r="824" ht="14.25" customHeight="1">
      <c r="A824" s="8" t="s">
        <v>16</v>
      </c>
      <c r="B824" s="8">
        <v>6.0</v>
      </c>
      <c r="F824" s="4"/>
      <c r="G824" s="4"/>
      <c r="H824" s="4"/>
      <c r="I824" s="15"/>
      <c r="J824" s="4"/>
    </row>
    <row r="825" ht="14.25" customHeight="1">
      <c r="A825" s="8" t="s">
        <v>16</v>
      </c>
      <c r="B825" s="8">
        <v>6.5</v>
      </c>
      <c r="F825" s="4"/>
      <c r="G825" s="4"/>
      <c r="H825" s="4"/>
      <c r="I825" s="15"/>
      <c r="J825" s="4"/>
    </row>
    <row r="826" ht="14.25" customHeight="1">
      <c r="A826" s="8" t="s">
        <v>16</v>
      </c>
      <c r="B826" s="8">
        <v>5.8</v>
      </c>
      <c r="F826" s="4"/>
      <c r="G826" s="4"/>
      <c r="H826" s="4"/>
      <c r="I826" s="15"/>
      <c r="J826" s="4"/>
    </row>
    <row r="827" ht="14.25" customHeight="1">
      <c r="A827" s="8" t="s">
        <v>16</v>
      </c>
      <c r="B827" s="8">
        <v>5.8</v>
      </c>
      <c r="F827" s="4"/>
      <c r="G827" s="4"/>
      <c r="H827" s="4"/>
      <c r="I827" s="15"/>
      <c r="J827" s="4"/>
    </row>
    <row r="828" ht="14.25" customHeight="1">
      <c r="A828" s="8" t="s">
        <v>16</v>
      </c>
      <c r="B828" s="8">
        <v>6.7</v>
      </c>
      <c r="F828" s="4"/>
      <c r="G828" s="4"/>
      <c r="H828" s="4"/>
      <c r="I828" s="15"/>
      <c r="J828" s="4"/>
    </row>
    <row r="829" ht="14.25" customHeight="1">
      <c r="A829" s="8" t="s">
        <v>16</v>
      </c>
      <c r="B829" s="8">
        <v>7.8</v>
      </c>
      <c r="F829" s="4"/>
      <c r="G829" s="4"/>
      <c r="H829" s="4"/>
      <c r="I829" s="15"/>
      <c r="J829" s="4"/>
    </row>
    <row r="830" ht="14.25" customHeight="1">
      <c r="A830" s="8" t="s">
        <v>16</v>
      </c>
      <c r="B830" s="8">
        <v>5.6</v>
      </c>
      <c r="F830" s="4"/>
      <c r="G830" s="4"/>
      <c r="H830" s="4"/>
      <c r="I830" s="15"/>
      <c r="J830" s="4"/>
    </row>
    <row r="831" ht="14.25" customHeight="1">
      <c r="A831" s="8" t="s">
        <v>16</v>
      </c>
      <c r="B831" s="8">
        <v>5.8</v>
      </c>
      <c r="F831" s="4"/>
      <c r="G831" s="4"/>
      <c r="H831" s="4"/>
      <c r="I831" s="15"/>
      <c r="J831" s="4"/>
    </row>
    <row r="832" ht="14.25" customHeight="1">
      <c r="A832" s="8" t="s">
        <v>16</v>
      </c>
      <c r="B832" s="8">
        <v>7.4</v>
      </c>
      <c r="F832" s="4"/>
      <c r="G832" s="4"/>
      <c r="H832" s="4"/>
      <c r="I832" s="15"/>
      <c r="J832" s="4"/>
    </row>
    <row r="833" ht="14.25" customHeight="1">
      <c r="A833" s="8" t="s">
        <v>16</v>
      </c>
      <c r="B833" s="8">
        <v>6.9</v>
      </c>
      <c r="F833" s="4"/>
      <c r="G833" s="4"/>
      <c r="H833" s="4"/>
      <c r="I833" s="15"/>
      <c r="J833" s="4"/>
    </row>
    <row r="834" ht="14.25" customHeight="1">
      <c r="A834" s="8" t="s">
        <v>16</v>
      </c>
      <c r="B834" s="8">
        <v>5.5</v>
      </c>
      <c r="F834" s="4"/>
      <c r="G834" s="4"/>
      <c r="H834" s="4"/>
      <c r="I834" s="15"/>
      <c r="J834" s="4"/>
    </row>
    <row r="835" ht="14.25" customHeight="1">
      <c r="A835" s="8" t="s">
        <v>16</v>
      </c>
      <c r="B835" s="8">
        <v>6.3</v>
      </c>
      <c r="F835" s="4"/>
      <c r="G835" s="4"/>
      <c r="H835" s="4"/>
      <c r="I835" s="15"/>
      <c r="J835" s="4"/>
    </row>
    <row r="836" ht="14.25" customHeight="1">
      <c r="A836" s="8" t="s">
        <v>16</v>
      </c>
      <c r="B836" s="8">
        <v>4.7</v>
      </c>
      <c r="F836" s="4"/>
      <c r="G836" s="4"/>
      <c r="H836" s="4"/>
      <c r="I836" s="15"/>
      <c r="J836" s="4"/>
    </row>
    <row r="837" ht="14.25" customHeight="1">
      <c r="A837" s="8" t="s">
        <v>16</v>
      </c>
      <c r="B837" s="8">
        <v>5.6</v>
      </c>
      <c r="F837" s="4"/>
      <c r="G837" s="4"/>
      <c r="H837" s="4"/>
      <c r="I837" s="15"/>
      <c r="J837" s="4"/>
    </row>
    <row r="838" ht="14.25" customHeight="1">
      <c r="A838" s="8" t="s">
        <v>16</v>
      </c>
      <c r="B838" s="8">
        <v>6.4</v>
      </c>
      <c r="F838" s="4"/>
      <c r="G838" s="4"/>
      <c r="H838" s="4"/>
      <c r="I838" s="15"/>
      <c r="J838" s="4"/>
    </row>
    <row r="839" ht="14.25" customHeight="1">
      <c r="A839" s="8" t="s">
        <v>16</v>
      </c>
      <c r="B839" s="8">
        <v>4.2</v>
      </c>
      <c r="F839" s="4"/>
      <c r="G839" s="4"/>
      <c r="H839" s="4"/>
      <c r="I839" s="15"/>
      <c r="J839" s="4"/>
    </row>
    <row r="840" ht="14.25" customHeight="1">
      <c r="A840" s="8" t="s">
        <v>16</v>
      </c>
      <c r="B840" s="8">
        <v>6.4</v>
      </c>
      <c r="F840" s="4"/>
      <c r="G840" s="4"/>
      <c r="H840" s="4"/>
      <c r="I840" s="15"/>
      <c r="J840" s="4"/>
    </row>
    <row r="841" ht="14.25" customHeight="1">
      <c r="A841" s="8" t="s">
        <v>1189</v>
      </c>
      <c r="B841" s="8">
        <v>7.7</v>
      </c>
      <c r="F841" s="4"/>
      <c r="G841" s="4"/>
      <c r="H841" s="4"/>
      <c r="I841" s="15"/>
      <c r="J841" s="4"/>
    </row>
    <row r="842" ht="14.25" customHeight="1">
      <c r="A842" s="8" t="s">
        <v>16</v>
      </c>
      <c r="B842" s="8">
        <v>6.7</v>
      </c>
      <c r="F842" s="4"/>
      <c r="G842" s="4"/>
      <c r="H842" s="4"/>
      <c r="I842" s="15"/>
      <c r="J842" s="4"/>
    </row>
    <row r="843" ht="14.25" customHeight="1">
      <c r="A843" s="8" t="s">
        <v>16</v>
      </c>
      <c r="B843" s="8">
        <v>7.7</v>
      </c>
      <c r="F843" s="4"/>
      <c r="G843" s="4"/>
      <c r="H843" s="4"/>
      <c r="I843" s="15"/>
      <c r="J843" s="4"/>
    </row>
    <row r="844" ht="14.25" customHeight="1">
      <c r="A844" s="8" t="s">
        <v>16</v>
      </c>
      <c r="B844" s="8">
        <v>5.7</v>
      </c>
      <c r="F844" s="4"/>
      <c r="G844" s="4"/>
      <c r="H844" s="4"/>
      <c r="I844" s="15"/>
      <c r="J844" s="4"/>
    </row>
    <row r="845" ht="14.25" customHeight="1">
      <c r="A845" s="8" t="s">
        <v>16</v>
      </c>
      <c r="B845" s="8">
        <v>7.6</v>
      </c>
      <c r="F845" s="4"/>
      <c r="G845" s="4"/>
      <c r="H845" s="4"/>
      <c r="I845" s="15"/>
      <c r="J845" s="4"/>
    </row>
    <row r="846" ht="14.25" customHeight="1">
      <c r="A846" s="8" t="s">
        <v>16</v>
      </c>
      <c r="B846" s="8">
        <v>6.4</v>
      </c>
      <c r="F846" s="4"/>
      <c r="G846" s="4"/>
      <c r="H846" s="4"/>
      <c r="I846" s="15"/>
      <c r="J846" s="4"/>
    </row>
    <row r="847" ht="14.25" customHeight="1">
      <c r="A847" s="8" t="s">
        <v>16</v>
      </c>
      <c r="B847" s="8">
        <v>5.6</v>
      </c>
      <c r="F847" s="4"/>
      <c r="G847" s="4"/>
      <c r="H847" s="4"/>
      <c r="I847" s="15"/>
      <c r="J847" s="4"/>
    </row>
    <row r="848" ht="14.25" customHeight="1">
      <c r="A848" s="8" t="s">
        <v>16</v>
      </c>
      <c r="B848" s="8">
        <v>6.8</v>
      </c>
      <c r="F848" s="4"/>
      <c r="G848" s="4"/>
      <c r="H848" s="4"/>
      <c r="I848" s="15"/>
      <c r="J848" s="4"/>
    </row>
    <row r="849" ht="14.25" customHeight="1">
      <c r="A849" s="8" t="s">
        <v>16</v>
      </c>
      <c r="B849" s="8">
        <v>2.4</v>
      </c>
      <c r="F849" s="4"/>
      <c r="G849" s="4"/>
      <c r="H849" s="4"/>
      <c r="I849" s="15"/>
      <c r="J849" s="4"/>
    </row>
    <row r="850" ht="14.25" customHeight="1">
      <c r="A850" s="8" t="s">
        <v>16</v>
      </c>
      <c r="B850" s="8">
        <v>6.2</v>
      </c>
      <c r="F850" s="4"/>
      <c r="G850" s="4"/>
      <c r="H850" s="4"/>
      <c r="I850" s="15"/>
      <c r="J850" s="4"/>
    </row>
    <row r="851" ht="14.25" customHeight="1">
      <c r="A851" s="8" t="s">
        <v>16</v>
      </c>
      <c r="B851" s="8">
        <v>5.9</v>
      </c>
      <c r="F851" s="4"/>
      <c r="G851" s="4"/>
      <c r="H851" s="4"/>
      <c r="I851" s="15"/>
      <c r="J851" s="4"/>
    </row>
    <row r="852" ht="14.25" customHeight="1">
      <c r="A852" s="8" t="s">
        <v>16</v>
      </c>
      <c r="B852" s="8">
        <v>7.1</v>
      </c>
      <c r="F852" s="4"/>
      <c r="G852" s="4"/>
      <c r="H852" s="4"/>
      <c r="I852" s="15"/>
      <c r="J852" s="4"/>
    </row>
    <row r="853" ht="14.25" customHeight="1">
      <c r="A853" s="8" t="s">
        <v>16</v>
      </c>
      <c r="B853" s="8">
        <v>7.6</v>
      </c>
      <c r="F853" s="4"/>
      <c r="G853" s="4"/>
      <c r="H853" s="4"/>
      <c r="I853" s="15"/>
      <c r="J853" s="4"/>
    </row>
    <row r="854" ht="14.25" customHeight="1">
      <c r="A854" s="8" t="s">
        <v>16</v>
      </c>
      <c r="B854" s="8">
        <v>5.5</v>
      </c>
      <c r="F854" s="4"/>
      <c r="G854" s="4"/>
      <c r="H854" s="4"/>
      <c r="I854" s="15"/>
      <c r="J854" s="4"/>
    </row>
    <row r="855" ht="14.25" customHeight="1">
      <c r="A855" s="8" t="s">
        <v>16</v>
      </c>
      <c r="B855" s="8">
        <v>7.0</v>
      </c>
      <c r="F855" s="4"/>
      <c r="G855" s="4"/>
      <c r="H855" s="4"/>
      <c r="I855" s="15"/>
      <c r="J855" s="4"/>
    </row>
    <row r="856" ht="14.25" customHeight="1">
      <c r="A856" s="8" t="s">
        <v>16</v>
      </c>
      <c r="B856" s="8">
        <v>7.1</v>
      </c>
      <c r="F856" s="4"/>
      <c r="G856" s="4"/>
      <c r="H856" s="4"/>
      <c r="I856" s="15"/>
      <c r="J856" s="4"/>
    </row>
    <row r="857" ht="14.25" customHeight="1">
      <c r="A857" s="8" t="s">
        <v>16</v>
      </c>
      <c r="B857" s="8">
        <v>7.4</v>
      </c>
      <c r="F857" s="4"/>
      <c r="G857" s="4"/>
      <c r="H857" s="4"/>
      <c r="I857" s="15"/>
      <c r="J857" s="4"/>
    </row>
    <row r="858" ht="14.25" customHeight="1">
      <c r="A858" s="8" t="s">
        <v>16</v>
      </c>
      <c r="B858" s="8">
        <v>7.6</v>
      </c>
      <c r="F858" s="4"/>
      <c r="G858" s="4"/>
      <c r="H858" s="4"/>
      <c r="I858" s="15"/>
      <c r="J858" s="4"/>
    </row>
    <row r="859" ht="14.25" customHeight="1">
      <c r="A859" s="8" t="s">
        <v>16</v>
      </c>
      <c r="B859" s="8">
        <v>5.9</v>
      </c>
      <c r="F859" s="4"/>
      <c r="G859" s="4"/>
      <c r="H859" s="4"/>
      <c r="I859" s="15"/>
      <c r="J859" s="4"/>
    </row>
    <row r="860" ht="14.25" customHeight="1">
      <c r="A860" s="8" t="s">
        <v>16</v>
      </c>
      <c r="B860" s="8">
        <v>5.9</v>
      </c>
      <c r="F860" s="4"/>
      <c r="G860" s="4"/>
      <c r="H860" s="4"/>
      <c r="I860" s="15"/>
      <c r="J860" s="4"/>
    </row>
    <row r="861" ht="14.25" customHeight="1">
      <c r="A861" s="8" t="s">
        <v>16</v>
      </c>
      <c r="B861" s="8">
        <v>8.0</v>
      </c>
      <c r="F861" s="4"/>
      <c r="G861" s="4"/>
      <c r="H861" s="4"/>
      <c r="I861" s="15"/>
      <c r="J861" s="4"/>
    </row>
    <row r="862" ht="14.25" customHeight="1">
      <c r="A862" s="8" t="s">
        <v>16</v>
      </c>
      <c r="B862" s="8">
        <v>7.4</v>
      </c>
      <c r="F862" s="4"/>
      <c r="G862" s="4"/>
      <c r="H862" s="4"/>
      <c r="I862" s="15"/>
      <c r="J862" s="4"/>
    </row>
    <row r="863" ht="14.25" customHeight="1">
      <c r="A863" s="8" t="s">
        <v>16</v>
      </c>
      <c r="B863" s="8">
        <v>5.8</v>
      </c>
      <c r="F863" s="4"/>
      <c r="G863" s="4"/>
      <c r="H863" s="4"/>
      <c r="I863" s="15"/>
      <c r="J863" s="4"/>
    </row>
    <row r="864" ht="14.25" customHeight="1">
      <c r="A864" s="8" t="s">
        <v>16</v>
      </c>
      <c r="B864" s="8">
        <v>6.3</v>
      </c>
      <c r="F864" s="4"/>
      <c r="G864" s="4"/>
      <c r="H864" s="4"/>
      <c r="I864" s="15"/>
      <c r="J864" s="4"/>
    </row>
    <row r="865" ht="14.25" customHeight="1">
      <c r="A865" s="8" t="s">
        <v>16</v>
      </c>
      <c r="B865" s="8">
        <v>5.7</v>
      </c>
      <c r="F865" s="4"/>
      <c r="G865" s="4"/>
      <c r="H865" s="4"/>
      <c r="I865" s="15"/>
      <c r="J865" s="4"/>
    </row>
    <row r="866" ht="14.25" customHeight="1">
      <c r="A866" s="8" t="s">
        <v>16</v>
      </c>
      <c r="B866" s="8">
        <v>5.1</v>
      </c>
      <c r="F866" s="4"/>
      <c r="G866" s="4"/>
      <c r="H866" s="4"/>
      <c r="I866" s="15"/>
      <c r="J866" s="4"/>
    </row>
    <row r="867" ht="14.25" customHeight="1">
      <c r="A867" s="8" t="s">
        <v>16</v>
      </c>
      <c r="B867" s="8">
        <v>7.6</v>
      </c>
      <c r="F867" s="4"/>
      <c r="G867" s="4"/>
      <c r="H867" s="4"/>
      <c r="I867" s="15"/>
      <c r="J867" s="4"/>
    </row>
    <row r="868" ht="14.25" customHeight="1">
      <c r="A868" s="8" t="s">
        <v>16</v>
      </c>
      <c r="B868" s="8">
        <v>6.4</v>
      </c>
      <c r="F868" s="4"/>
      <c r="G868" s="4"/>
      <c r="H868" s="4"/>
      <c r="I868" s="15"/>
      <c r="J868" s="4"/>
    </row>
    <row r="869" ht="14.25" customHeight="1">
      <c r="A869" s="8" t="s">
        <v>16</v>
      </c>
      <c r="B869" s="8">
        <v>7.4</v>
      </c>
      <c r="F869" s="4"/>
      <c r="G869" s="4"/>
      <c r="H869" s="4"/>
      <c r="I869" s="15"/>
      <c r="J869" s="4"/>
    </row>
    <row r="870" ht="14.25" customHeight="1">
      <c r="A870" s="8" t="s">
        <v>16</v>
      </c>
      <c r="B870" s="8">
        <v>8.2</v>
      </c>
      <c r="F870" s="4"/>
      <c r="G870" s="4"/>
      <c r="H870" s="4"/>
      <c r="I870" s="15"/>
      <c r="J870" s="4"/>
    </row>
    <row r="871" ht="14.25" customHeight="1">
      <c r="A871" s="8" t="s">
        <v>16</v>
      </c>
      <c r="B871" s="8">
        <v>6.5</v>
      </c>
      <c r="F871" s="4"/>
      <c r="G871" s="4"/>
      <c r="H871" s="4"/>
      <c r="I871" s="15"/>
      <c r="J871" s="4"/>
    </row>
    <row r="872" ht="14.25" customHeight="1">
      <c r="A872" s="8" t="s">
        <v>16</v>
      </c>
      <c r="B872" s="8">
        <v>5.5</v>
      </c>
      <c r="F872" s="4"/>
      <c r="G872" s="4"/>
      <c r="H872" s="4"/>
      <c r="I872" s="15"/>
      <c r="J872" s="4"/>
    </row>
    <row r="873" ht="14.25" customHeight="1">
      <c r="A873" s="8" t="s">
        <v>16</v>
      </c>
      <c r="B873" s="8">
        <v>6.5</v>
      </c>
      <c r="F873" s="4"/>
      <c r="G873" s="4"/>
      <c r="H873" s="4"/>
      <c r="I873" s="15"/>
      <c r="J873" s="4"/>
    </row>
    <row r="874" ht="14.25" customHeight="1">
      <c r="A874" s="8" t="s">
        <v>16</v>
      </c>
      <c r="B874" s="8">
        <v>5.6</v>
      </c>
      <c r="F874" s="4"/>
      <c r="G874" s="4"/>
      <c r="H874" s="4"/>
      <c r="I874" s="15"/>
      <c r="J874" s="4"/>
    </row>
    <row r="875" ht="14.25" customHeight="1">
      <c r="A875" s="8" t="s">
        <v>16</v>
      </c>
      <c r="B875" s="8">
        <v>4.6</v>
      </c>
      <c r="F875" s="4"/>
      <c r="G875" s="4"/>
      <c r="H875" s="4"/>
      <c r="I875" s="15"/>
      <c r="J875" s="4"/>
    </row>
    <row r="876" ht="14.25" customHeight="1">
      <c r="A876" s="8" t="s">
        <v>16</v>
      </c>
      <c r="B876" s="8">
        <v>7.9</v>
      </c>
      <c r="F876" s="4"/>
      <c r="G876" s="4"/>
      <c r="H876" s="4"/>
      <c r="I876" s="15"/>
      <c r="J876" s="4"/>
    </row>
    <row r="877" ht="14.25" customHeight="1">
      <c r="A877" s="8" t="s">
        <v>16</v>
      </c>
      <c r="B877" s="8">
        <v>7.1</v>
      </c>
      <c r="F877" s="4"/>
      <c r="G877" s="4"/>
      <c r="H877" s="4"/>
      <c r="I877" s="15"/>
      <c r="J877" s="4"/>
    </row>
    <row r="878" ht="14.25" customHeight="1">
      <c r="A878" s="8" t="s">
        <v>16</v>
      </c>
      <c r="B878" s="8">
        <v>6.9</v>
      </c>
      <c r="F878" s="4"/>
      <c r="G878" s="4"/>
      <c r="H878" s="4"/>
      <c r="I878" s="15"/>
      <c r="J878" s="4"/>
    </row>
    <row r="879" ht="14.25" customHeight="1">
      <c r="A879" s="8" t="s">
        <v>16</v>
      </c>
      <c r="B879" s="8">
        <v>7.3</v>
      </c>
      <c r="F879" s="4"/>
      <c r="G879" s="4"/>
      <c r="H879" s="4"/>
      <c r="I879" s="15"/>
      <c r="J879" s="4"/>
    </row>
    <row r="880" ht="14.25" customHeight="1">
      <c r="A880" s="8" t="s">
        <v>16</v>
      </c>
      <c r="B880" s="8">
        <v>7.0</v>
      </c>
      <c r="F880" s="4"/>
      <c r="G880" s="4"/>
      <c r="H880" s="4"/>
      <c r="I880" s="15"/>
      <c r="J880" s="4"/>
    </row>
    <row r="881" ht="14.25" customHeight="1">
      <c r="A881" s="8" t="s">
        <v>16</v>
      </c>
      <c r="B881" s="8">
        <v>7.7</v>
      </c>
      <c r="F881" s="4"/>
      <c r="G881" s="4"/>
      <c r="H881" s="4"/>
      <c r="I881" s="15"/>
      <c r="J881" s="4"/>
    </row>
    <row r="882" ht="14.25" customHeight="1">
      <c r="A882" s="8" t="s">
        <v>16</v>
      </c>
      <c r="B882" s="8">
        <v>6.7</v>
      </c>
      <c r="F882" s="4"/>
      <c r="G882" s="4"/>
      <c r="H882" s="4"/>
      <c r="I882" s="15"/>
      <c r="J882" s="4"/>
    </row>
    <row r="883" ht="14.25" customHeight="1">
      <c r="A883" s="8" t="s">
        <v>16</v>
      </c>
      <c r="B883" s="8">
        <v>6.3</v>
      </c>
      <c r="F883" s="4"/>
      <c r="G883" s="4"/>
      <c r="H883" s="4"/>
      <c r="I883" s="15"/>
      <c r="J883" s="4"/>
    </row>
    <row r="884" ht="14.25" customHeight="1">
      <c r="A884" s="8" t="s">
        <v>16</v>
      </c>
      <c r="B884" s="8">
        <v>5.8</v>
      </c>
      <c r="F884" s="4"/>
      <c r="G884" s="4"/>
      <c r="H884" s="4"/>
      <c r="I884" s="15"/>
      <c r="J884" s="4"/>
    </row>
    <row r="885" ht="14.25" customHeight="1">
      <c r="A885" s="8" t="s">
        <v>16</v>
      </c>
      <c r="B885" s="8">
        <v>7.1</v>
      </c>
      <c r="F885" s="4"/>
      <c r="G885" s="4"/>
      <c r="H885" s="4"/>
      <c r="I885" s="15"/>
      <c r="J885" s="4"/>
    </row>
    <row r="886" ht="14.25" customHeight="1">
      <c r="A886" s="8" t="s">
        <v>16</v>
      </c>
      <c r="B886" s="8">
        <v>7.3</v>
      </c>
      <c r="F886" s="4"/>
      <c r="G886" s="4"/>
      <c r="H886" s="4"/>
      <c r="I886" s="15"/>
      <c r="J886" s="4"/>
    </row>
    <row r="887" ht="14.25" customHeight="1">
      <c r="A887" s="8" t="s">
        <v>16</v>
      </c>
      <c r="B887" s="8">
        <v>6.4</v>
      </c>
      <c r="F887" s="4"/>
      <c r="G887" s="4"/>
      <c r="H887" s="4"/>
      <c r="I887" s="15"/>
      <c r="J887" s="4"/>
    </row>
    <row r="888" ht="14.25" customHeight="1">
      <c r="A888" s="8" t="s">
        <v>16</v>
      </c>
      <c r="B888" s="8">
        <v>7.1</v>
      </c>
      <c r="F888" s="4"/>
      <c r="G888" s="4"/>
      <c r="H888" s="4"/>
      <c r="I888" s="15"/>
      <c r="J888" s="4"/>
    </row>
    <row r="889" ht="14.25" customHeight="1">
      <c r="A889" s="8" t="s">
        <v>16</v>
      </c>
      <c r="B889" s="8">
        <v>7.6</v>
      </c>
      <c r="F889" s="4"/>
      <c r="G889" s="4"/>
      <c r="H889" s="4"/>
      <c r="I889" s="15"/>
      <c r="J889" s="4"/>
    </row>
    <row r="890" ht="14.25" customHeight="1">
      <c r="A890" s="8" t="s">
        <v>16</v>
      </c>
      <c r="B890" s="8">
        <v>6.8</v>
      </c>
      <c r="F890" s="4"/>
      <c r="G890" s="4"/>
      <c r="H890" s="4"/>
      <c r="I890" s="15"/>
      <c r="J890" s="4"/>
    </row>
    <row r="891" ht="14.25" customHeight="1">
      <c r="A891" s="8" t="s">
        <v>16</v>
      </c>
      <c r="B891" s="8">
        <v>6.6</v>
      </c>
      <c r="F891" s="4"/>
      <c r="G891" s="4"/>
      <c r="H891" s="4"/>
      <c r="I891" s="15"/>
      <c r="J891" s="4"/>
    </row>
    <row r="892" ht="14.25" customHeight="1">
      <c r="A892" s="8" t="s">
        <v>16</v>
      </c>
      <c r="B892" s="8">
        <v>6.7</v>
      </c>
      <c r="F892" s="4"/>
      <c r="G892" s="4"/>
      <c r="H892" s="4"/>
      <c r="I892" s="15"/>
      <c r="J892" s="4"/>
    </row>
    <row r="893" ht="14.25" customHeight="1">
      <c r="A893" s="8" t="s">
        <v>16</v>
      </c>
      <c r="B893" s="8">
        <v>6.1</v>
      </c>
      <c r="F893" s="4"/>
      <c r="G893" s="4"/>
      <c r="H893" s="4"/>
      <c r="I893" s="15"/>
      <c r="J893" s="4"/>
    </row>
    <row r="894" ht="14.25" customHeight="1">
      <c r="A894" s="8" t="s">
        <v>16</v>
      </c>
      <c r="B894" s="8">
        <v>6.0</v>
      </c>
      <c r="F894" s="4"/>
      <c r="G894" s="4"/>
      <c r="H894" s="4"/>
      <c r="I894" s="15"/>
      <c r="J894" s="4"/>
    </row>
    <row r="895" ht="14.25" customHeight="1">
      <c r="A895" s="8" t="s">
        <v>16</v>
      </c>
      <c r="B895" s="8">
        <v>7.6</v>
      </c>
      <c r="F895" s="4"/>
      <c r="G895" s="4"/>
      <c r="H895" s="4"/>
      <c r="I895" s="15"/>
      <c r="J895" s="4"/>
    </row>
    <row r="896" ht="14.25" customHeight="1">
      <c r="A896" s="8" t="s">
        <v>16</v>
      </c>
      <c r="B896" s="8">
        <v>7.1</v>
      </c>
      <c r="F896" s="4"/>
      <c r="G896" s="4"/>
      <c r="H896" s="4"/>
      <c r="I896" s="15"/>
      <c r="J896" s="4"/>
    </row>
    <row r="897" ht="14.25" customHeight="1">
      <c r="A897" s="8" t="s">
        <v>16</v>
      </c>
      <c r="B897" s="8">
        <v>5.0</v>
      </c>
      <c r="F897" s="4"/>
      <c r="G897" s="4"/>
      <c r="H897" s="4"/>
      <c r="I897" s="15"/>
      <c r="J897" s="4"/>
    </row>
    <row r="898" ht="14.25" customHeight="1">
      <c r="A898" s="8" t="s">
        <v>16</v>
      </c>
      <c r="B898" s="8">
        <v>6.2</v>
      </c>
      <c r="F898" s="4"/>
      <c r="G898" s="4"/>
      <c r="H898" s="4"/>
      <c r="I898" s="15"/>
      <c r="J898" s="4"/>
    </row>
    <row r="899" ht="14.25" customHeight="1">
      <c r="A899" s="8" t="s">
        <v>16</v>
      </c>
      <c r="B899" s="8">
        <v>5.6</v>
      </c>
      <c r="F899" s="4"/>
      <c r="G899" s="4"/>
      <c r="H899" s="4"/>
      <c r="I899" s="15"/>
      <c r="J899" s="4"/>
    </row>
    <row r="900" ht="14.25" customHeight="1">
      <c r="A900" s="8" t="s">
        <v>16</v>
      </c>
      <c r="B900" s="8">
        <v>7.4</v>
      </c>
      <c r="F900" s="4"/>
      <c r="G900" s="4"/>
      <c r="H900" s="4"/>
      <c r="I900" s="15"/>
      <c r="J900" s="4"/>
    </row>
    <row r="901" ht="14.25" customHeight="1">
      <c r="A901" s="8" t="s">
        <v>16</v>
      </c>
      <c r="B901" s="8">
        <v>5.0</v>
      </c>
      <c r="F901" s="4"/>
      <c r="G901" s="4"/>
      <c r="H901" s="4"/>
      <c r="I901" s="15"/>
      <c r="J901" s="4"/>
    </row>
    <row r="902" ht="14.25" customHeight="1">
      <c r="A902" s="8" t="s">
        <v>16</v>
      </c>
      <c r="B902" s="8">
        <v>5.2</v>
      </c>
      <c r="F902" s="4"/>
      <c r="G902" s="4"/>
      <c r="H902" s="4"/>
      <c r="I902" s="15"/>
      <c r="J902" s="4"/>
    </row>
    <row r="903" ht="14.25" customHeight="1">
      <c r="A903" s="8" t="s">
        <v>16</v>
      </c>
      <c r="B903" s="8">
        <v>7.6</v>
      </c>
      <c r="F903" s="4"/>
      <c r="G903" s="4"/>
      <c r="H903" s="4"/>
      <c r="I903" s="15"/>
      <c r="J903" s="4"/>
    </row>
    <row r="904" ht="14.25" customHeight="1">
      <c r="A904" s="8" t="s">
        <v>16</v>
      </c>
      <c r="B904" s="8">
        <v>6.6</v>
      </c>
      <c r="F904" s="4"/>
      <c r="G904" s="4"/>
      <c r="H904" s="4"/>
      <c r="I904" s="15"/>
      <c r="J904" s="4"/>
    </row>
    <row r="905" ht="14.25" customHeight="1">
      <c r="A905" s="8" t="s">
        <v>16</v>
      </c>
      <c r="B905" s="8">
        <v>7.0</v>
      </c>
      <c r="F905" s="4"/>
      <c r="G905" s="4"/>
      <c r="H905" s="4"/>
      <c r="I905" s="15"/>
      <c r="J905" s="4"/>
    </row>
    <row r="906" ht="14.25" customHeight="1">
      <c r="A906" s="8" t="s">
        <v>16</v>
      </c>
      <c r="B906" s="8">
        <v>5.7</v>
      </c>
      <c r="F906" s="4"/>
      <c r="G906" s="4"/>
      <c r="H906" s="4"/>
      <c r="I906" s="15"/>
      <c r="J906" s="4"/>
    </row>
    <row r="907" ht="14.25" customHeight="1">
      <c r="A907" s="8" t="s">
        <v>16</v>
      </c>
      <c r="B907" s="8">
        <v>8.2</v>
      </c>
      <c r="F907" s="4"/>
      <c r="G907" s="4"/>
      <c r="H907" s="4"/>
      <c r="I907" s="15"/>
      <c r="J907" s="4"/>
    </row>
    <row r="908" ht="14.25" customHeight="1">
      <c r="A908" s="8" t="s">
        <v>16</v>
      </c>
      <c r="B908" s="8">
        <v>6.2</v>
      </c>
      <c r="F908" s="4"/>
      <c r="G908" s="4"/>
      <c r="H908" s="4"/>
      <c r="I908" s="15"/>
      <c r="J908" s="4"/>
    </row>
    <row r="909" ht="14.25" customHeight="1">
      <c r="A909" s="8" t="s">
        <v>16</v>
      </c>
      <c r="B909" s="8">
        <v>6.6</v>
      </c>
      <c r="F909" s="4"/>
      <c r="G909" s="4"/>
      <c r="H909" s="4"/>
      <c r="I909" s="15"/>
      <c r="J909" s="4"/>
    </row>
    <row r="910" ht="14.25" customHeight="1">
      <c r="A910" s="8" t="s">
        <v>16</v>
      </c>
      <c r="B910" s="8">
        <v>4.7</v>
      </c>
      <c r="F910" s="4"/>
      <c r="G910" s="4"/>
      <c r="H910" s="4"/>
      <c r="I910" s="15"/>
      <c r="J910" s="4"/>
    </row>
    <row r="911" ht="14.25" customHeight="1">
      <c r="A911" s="8" t="s">
        <v>16</v>
      </c>
      <c r="B911" s="8">
        <v>6.3</v>
      </c>
      <c r="F911" s="4"/>
      <c r="G911" s="4"/>
      <c r="H911" s="4"/>
      <c r="I911" s="15"/>
      <c r="J911" s="4"/>
    </row>
    <row r="912" ht="14.25" customHeight="1">
      <c r="A912" s="8" t="s">
        <v>16</v>
      </c>
      <c r="B912" s="8">
        <v>6.1</v>
      </c>
      <c r="F912" s="4"/>
      <c r="G912" s="4"/>
      <c r="H912" s="4"/>
      <c r="I912" s="15"/>
      <c r="J912" s="4"/>
    </row>
    <row r="913" ht="14.25" customHeight="1">
      <c r="A913" s="8" t="s">
        <v>16</v>
      </c>
      <c r="B913" s="8">
        <v>6.7</v>
      </c>
      <c r="F913" s="4"/>
      <c r="G913" s="4"/>
      <c r="H913" s="4"/>
      <c r="I913" s="15"/>
      <c r="J913" s="4"/>
    </row>
    <row r="914" ht="14.25" customHeight="1">
      <c r="A914" s="8" t="s">
        <v>16</v>
      </c>
      <c r="B914" s="8">
        <v>6.1</v>
      </c>
      <c r="F914" s="4"/>
      <c r="G914" s="4"/>
      <c r="H914" s="4"/>
      <c r="I914" s="15"/>
      <c r="J914" s="4"/>
    </row>
    <row r="915" ht="14.25" customHeight="1">
      <c r="A915" s="8" t="s">
        <v>16</v>
      </c>
      <c r="B915" s="8">
        <v>7.0</v>
      </c>
      <c r="F915" s="4"/>
      <c r="G915" s="4"/>
      <c r="H915" s="4"/>
      <c r="I915" s="15"/>
      <c r="J915" s="4"/>
    </row>
    <row r="916" ht="14.25" customHeight="1">
      <c r="A916" s="8" t="s">
        <v>16</v>
      </c>
      <c r="B916" s="8">
        <v>7.4</v>
      </c>
      <c r="F916" s="4"/>
      <c r="G916" s="4"/>
      <c r="H916" s="4"/>
      <c r="I916" s="15"/>
      <c r="J916" s="4"/>
    </row>
    <row r="917" ht="14.25" customHeight="1">
      <c r="A917" s="8" t="s">
        <v>16</v>
      </c>
      <c r="B917" s="8">
        <v>7.3</v>
      </c>
      <c r="F917" s="4"/>
      <c r="G917" s="4"/>
      <c r="H917" s="4"/>
      <c r="I917" s="15"/>
      <c r="J917" s="4"/>
    </row>
    <row r="918" ht="14.25" customHeight="1">
      <c r="A918" s="8" t="s">
        <v>16</v>
      </c>
      <c r="B918" s="8">
        <v>5.8</v>
      </c>
      <c r="F918" s="4"/>
      <c r="G918" s="4"/>
      <c r="H918" s="4"/>
      <c r="I918" s="15"/>
      <c r="J918" s="4"/>
    </row>
    <row r="919" ht="14.25" customHeight="1">
      <c r="A919" s="8" t="s">
        <v>16</v>
      </c>
      <c r="B919" s="8">
        <v>6.7</v>
      </c>
      <c r="F919" s="4"/>
      <c r="G919" s="4"/>
      <c r="H919" s="4"/>
      <c r="I919" s="15"/>
      <c r="J919" s="4"/>
    </row>
    <row r="920" ht="14.25" customHeight="1">
      <c r="A920" s="8" t="s">
        <v>16</v>
      </c>
      <c r="B920" s="8">
        <v>5.8</v>
      </c>
      <c r="F920" s="4"/>
      <c r="G920" s="4"/>
      <c r="H920" s="4"/>
      <c r="I920" s="15"/>
      <c r="J920" s="4"/>
    </row>
    <row r="921" ht="14.25" customHeight="1">
      <c r="A921" s="8" t="s">
        <v>16</v>
      </c>
      <c r="B921" s="8">
        <v>7.8</v>
      </c>
      <c r="F921" s="4"/>
      <c r="G921" s="4"/>
      <c r="H921" s="4"/>
      <c r="I921" s="15"/>
      <c r="J921" s="4"/>
    </row>
    <row r="922" ht="14.25" customHeight="1">
      <c r="A922" s="8" t="s">
        <v>16</v>
      </c>
      <c r="B922" s="8">
        <v>6.6</v>
      </c>
      <c r="F922" s="4"/>
      <c r="G922" s="4"/>
      <c r="H922" s="4"/>
      <c r="I922" s="15"/>
      <c r="J922" s="4"/>
    </row>
    <row r="923" ht="14.25" customHeight="1">
      <c r="A923" s="8" t="s">
        <v>16</v>
      </c>
      <c r="B923" s="8">
        <v>6.5</v>
      </c>
      <c r="F923" s="4"/>
      <c r="G923" s="4"/>
      <c r="H923" s="4"/>
      <c r="I923" s="15"/>
      <c r="J923" s="4"/>
    </row>
    <row r="924" ht="14.25" customHeight="1">
      <c r="A924" s="8" t="s">
        <v>16</v>
      </c>
      <c r="B924" s="8">
        <v>6.7</v>
      </c>
      <c r="F924" s="4"/>
      <c r="G924" s="4"/>
      <c r="H924" s="4"/>
      <c r="I924" s="15"/>
      <c r="J924" s="4"/>
    </row>
    <row r="925" ht="14.25" customHeight="1">
      <c r="A925" s="8" t="s">
        <v>16</v>
      </c>
      <c r="B925" s="8">
        <v>7.3</v>
      </c>
      <c r="F925" s="4"/>
      <c r="G925" s="4"/>
      <c r="H925" s="4"/>
      <c r="I925" s="15"/>
      <c r="J925" s="4"/>
    </row>
    <row r="926" ht="14.25" customHeight="1">
      <c r="A926" s="8" t="s">
        <v>16</v>
      </c>
      <c r="B926" s="8">
        <v>5.8</v>
      </c>
      <c r="F926" s="4"/>
      <c r="G926" s="4"/>
      <c r="H926" s="4"/>
      <c r="I926" s="15"/>
      <c r="J926" s="4"/>
    </row>
    <row r="927" ht="14.25" customHeight="1">
      <c r="A927" s="8" t="s">
        <v>16</v>
      </c>
      <c r="B927" s="8">
        <v>5.5</v>
      </c>
      <c r="F927" s="4"/>
      <c r="G927" s="4"/>
      <c r="H927" s="4"/>
      <c r="I927" s="15"/>
      <c r="J927" s="4"/>
    </row>
    <row r="928" ht="14.25" customHeight="1">
      <c r="A928" s="8" t="s">
        <v>16</v>
      </c>
      <c r="B928" s="8">
        <v>6.3</v>
      </c>
      <c r="F928" s="4"/>
      <c r="G928" s="4"/>
      <c r="H928" s="4"/>
      <c r="I928" s="15"/>
      <c r="J928" s="4"/>
    </row>
    <row r="929" ht="14.25" customHeight="1">
      <c r="A929" s="8" t="s">
        <v>16</v>
      </c>
      <c r="B929" s="8">
        <v>7.4</v>
      </c>
      <c r="F929" s="4"/>
      <c r="G929" s="4"/>
      <c r="H929" s="4"/>
      <c r="I929" s="15"/>
      <c r="J929" s="4"/>
    </row>
    <row r="930" ht="14.25" customHeight="1">
      <c r="A930" s="8" t="s">
        <v>16</v>
      </c>
      <c r="B930" s="8">
        <v>5.9</v>
      </c>
      <c r="F930" s="4"/>
      <c r="G930" s="4"/>
      <c r="H930" s="4"/>
      <c r="I930" s="15"/>
      <c r="J930" s="4"/>
    </row>
    <row r="931" ht="14.25" customHeight="1">
      <c r="A931" s="8" t="s">
        <v>16</v>
      </c>
      <c r="B931" s="8">
        <v>6.2</v>
      </c>
      <c r="F931" s="4"/>
      <c r="G931" s="4"/>
      <c r="H931" s="4"/>
      <c r="I931" s="15"/>
      <c r="J931" s="4"/>
    </row>
    <row r="932" ht="14.25" customHeight="1">
      <c r="A932" s="8" t="s">
        <v>16</v>
      </c>
      <c r="B932" s="8">
        <v>5.9</v>
      </c>
      <c r="F932" s="4"/>
      <c r="G932" s="4"/>
      <c r="H932" s="4"/>
      <c r="I932" s="15"/>
      <c r="J932" s="4"/>
    </row>
    <row r="933" ht="14.25" customHeight="1">
      <c r="A933" s="8" t="s">
        <v>16</v>
      </c>
      <c r="B933" s="8">
        <v>6.5</v>
      </c>
      <c r="F933" s="4"/>
      <c r="G933" s="4"/>
      <c r="H933" s="4"/>
      <c r="I933" s="15"/>
      <c r="J933" s="4"/>
    </row>
    <row r="934" ht="14.25" customHeight="1">
      <c r="A934" s="8" t="s">
        <v>16</v>
      </c>
      <c r="B934" s="8">
        <v>4.4</v>
      </c>
      <c r="F934" s="4"/>
      <c r="G934" s="4"/>
      <c r="H934" s="4"/>
      <c r="I934" s="15"/>
      <c r="J934" s="4"/>
    </row>
    <row r="935" ht="14.25" customHeight="1">
      <c r="A935" s="8" t="s">
        <v>16</v>
      </c>
      <c r="B935" s="8">
        <v>3.5</v>
      </c>
      <c r="F935" s="4"/>
      <c r="G935" s="4"/>
      <c r="H935" s="4"/>
      <c r="I935" s="15"/>
      <c r="J935" s="4"/>
    </row>
    <row r="936" ht="14.25" customHeight="1">
      <c r="A936" s="8" t="s">
        <v>16</v>
      </c>
      <c r="B936" s="8">
        <v>6.6</v>
      </c>
      <c r="F936" s="4"/>
      <c r="G936" s="4"/>
      <c r="H936" s="4"/>
      <c r="I936" s="15"/>
      <c r="J936" s="4"/>
    </row>
    <row r="937" ht="14.25" customHeight="1">
      <c r="A937" s="8" t="s">
        <v>16</v>
      </c>
      <c r="B937" s="8">
        <v>6.0</v>
      </c>
      <c r="F937" s="4"/>
      <c r="G937" s="4"/>
      <c r="H937" s="4"/>
      <c r="I937" s="15"/>
      <c r="J937" s="4"/>
    </row>
    <row r="938" ht="14.25" customHeight="1">
      <c r="A938" s="8" t="s">
        <v>16</v>
      </c>
      <c r="B938" s="8">
        <v>6.4</v>
      </c>
      <c r="F938" s="4"/>
      <c r="G938" s="4"/>
      <c r="H938" s="4"/>
      <c r="I938" s="15"/>
      <c r="J938" s="4"/>
    </row>
    <row r="939" ht="14.25" customHeight="1">
      <c r="A939" s="8" t="s">
        <v>16</v>
      </c>
      <c r="B939" s="8">
        <v>6.5</v>
      </c>
      <c r="F939" s="4"/>
      <c r="G939" s="4"/>
      <c r="H939" s="4"/>
      <c r="I939" s="15"/>
      <c r="J939" s="4"/>
    </row>
    <row r="940" ht="14.25" customHeight="1">
      <c r="A940" s="8" t="s">
        <v>16</v>
      </c>
      <c r="B940" s="8">
        <v>4.3</v>
      </c>
      <c r="F940" s="4"/>
      <c r="G940" s="4"/>
      <c r="H940" s="4"/>
      <c r="I940" s="15"/>
      <c r="J940" s="4"/>
    </row>
    <row r="941" ht="14.25" customHeight="1">
      <c r="A941" s="8" t="s">
        <v>16</v>
      </c>
      <c r="B941" s="8">
        <v>4.2</v>
      </c>
      <c r="F941" s="4"/>
      <c r="G941" s="4"/>
      <c r="H941" s="4"/>
      <c r="I941" s="15"/>
      <c r="J941" s="4"/>
    </row>
    <row r="942" ht="14.25" customHeight="1">
      <c r="A942" s="8" t="s">
        <v>16</v>
      </c>
      <c r="B942" s="8">
        <v>6.5</v>
      </c>
      <c r="F942" s="4"/>
      <c r="G942" s="4"/>
      <c r="H942" s="4"/>
      <c r="I942" s="15"/>
      <c r="J942" s="4"/>
    </row>
    <row r="943" ht="14.25" customHeight="1">
      <c r="A943" s="8" t="s">
        <v>16</v>
      </c>
      <c r="B943" s="8">
        <v>6.1</v>
      </c>
      <c r="F943" s="4"/>
      <c r="G943" s="4"/>
      <c r="H943" s="4"/>
      <c r="I943" s="15"/>
      <c r="J943" s="4"/>
    </row>
    <row r="944" ht="14.25" customHeight="1">
      <c r="A944" s="8" t="s">
        <v>16</v>
      </c>
      <c r="B944" s="8">
        <v>6.3</v>
      </c>
      <c r="F944" s="4"/>
      <c r="G944" s="4"/>
      <c r="H944" s="4"/>
      <c r="I944" s="15"/>
      <c r="J944" s="4"/>
    </row>
    <row r="945" ht="14.25" customHeight="1">
      <c r="A945" s="8" t="s">
        <v>16</v>
      </c>
      <c r="B945" s="8">
        <v>6.2</v>
      </c>
      <c r="F945" s="4"/>
      <c r="G945" s="4"/>
      <c r="H945" s="4"/>
      <c r="I945" s="15"/>
      <c r="J945" s="4"/>
    </row>
    <row r="946" ht="14.25" customHeight="1">
      <c r="A946" s="8" t="s">
        <v>16</v>
      </c>
      <c r="B946" s="8">
        <v>5.9</v>
      </c>
      <c r="F946" s="4"/>
      <c r="G946" s="4"/>
      <c r="H946" s="4"/>
      <c r="I946" s="15"/>
      <c r="J946" s="4"/>
    </row>
    <row r="947" ht="14.25" customHeight="1">
      <c r="A947" s="8" t="s">
        <v>16</v>
      </c>
      <c r="B947" s="8">
        <v>5.9</v>
      </c>
      <c r="F947" s="4"/>
      <c r="G947" s="4"/>
      <c r="H947" s="4"/>
      <c r="I947" s="15"/>
      <c r="J947" s="4"/>
    </row>
    <row r="948" ht="14.25" customHeight="1">
      <c r="A948" s="8" t="s">
        <v>16</v>
      </c>
      <c r="B948" s="8">
        <v>6.5</v>
      </c>
      <c r="F948" s="4"/>
      <c r="G948" s="4"/>
      <c r="H948" s="4"/>
      <c r="I948" s="15"/>
      <c r="J948" s="4"/>
    </row>
    <row r="949" ht="14.25" customHeight="1">
      <c r="A949" s="8" t="s">
        <v>16</v>
      </c>
      <c r="B949" s="8">
        <v>6.4</v>
      </c>
      <c r="F949" s="4"/>
      <c r="G949" s="4"/>
      <c r="H949" s="4"/>
      <c r="I949" s="15"/>
      <c r="J949" s="4"/>
    </row>
    <row r="950" ht="14.25" customHeight="1">
      <c r="A950" s="8" t="s">
        <v>16</v>
      </c>
      <c r="B950" s="8">
        <v>6.5</v>
      </c>
      <c r="F950" s="4"/>
      <c r="G950" s="4"/>
      <c r="H950" s="4"/>
      <c r="I950" s="15"/>
      <c r="J950" s="4"/>
    </row>
    <row r="951" ht="14.25" customHeight="1">
      <c r="A951" s="8" t="s">
        <v>16</v>
      </c>
      <c r="B951" s="8">
        <v>5.7</v>
      </c>
      <c r="F951" s="4"/>
      <c r="G951" s="4"/>
      <c r="H951" s="4"/>
      <c r="I951" s="15"/>
      <c r="J951" s="4"/>
    </row>
    <row r="952" ht="14.25" customHeight="1">
      <c r="A952" s="8" t="s">
        <v>16</v>
      </c>
      <c r="B952" s="8">
        <v>8.0</v>
      </c>
      <c r="F952" s="4"/>
      <c r="G952" s="4"/>
      <c r="H952" s="4"/>
      <c r="I952" s="15"/>
      <c r="J952" s="4"/>
    </row>
    <row r="953" ht="14.25" customHeight="1">
      <c r="A953" s="8" t="s">
        <v>16</v>
      </c>
      <c r="B953" s="8">
        <v>7.3</v>
      </c>
      <c r="F953" s="4"/>
      <c r="G953" s="4"/>
      <c r="H953" s="4"/>
      <c r="I953" s="15"/>
      <c r="J953" s="4"/>
    </row>
    <row r="954" ht="14.25" customHeight="1">
      <c r="A954" s="8" t="s">
        <v>16</v>
      </c>
      <c r="B954" s="8">
        <v>6.7</v>
      </c>
      <c r="F954" s="4"/>
      <c r="G954" s="4"/>
      <c r="H954" s="4"/>
      <c r="I954" s="15"/>
      <c r="J954" s="4"/>
    </row>
    <row r="955" ht="14.25" customHeight="1">
      <c r="A955" s="8" t="s">
        <v>16</v>
      </c>
      <c r="B955" s="8">
        <v>7.5</v>
      </c>
      <c r="F955" s="4"/>
      <c r="G955" s="4"/>
      <c r="H955" s="4"/>
      <c r="I955" s="15"/>
      <c r="J955" s="4"/>
    </row>
    <row r="956" ht="14.25" customHeight="1">
      <c r="A956" s="8" t="s">
        <v>16</v>
      </c>
      <c r="B956" s="8">
        <v>5.4</v>
      </c>
      <c r="F956" s="4"/>
      <c r="G956" s="4"/>
      <c r="H956" s="4"/>
      <c r="I956" s="15"/>
      <c r="J956" s="4"/>
    </row>
    <row r="957" ht="14.25" customHeight="1">
      <c r="A957" s="8" t="s">
        <v>16</v>
      </c>
      <c r="B957" s="8">
        <v>6.6</v>
      </c>
      <c r="F957" s="4"/>
      <c r="G957" s="4"/>
      <c r="H957" s="4"/>
      <c r="I957" s="15"/>
      <c r="J957" s="4"/>
    </row>
    <row r="958" ht="14.25" customHeight="1">
      <c r="A958" s="8" t="s">
        <v>16</v>
      </c>
      <c r="B958" s="8">
        <v>7.7</v>
      </c>
      <c r="F958" s="4"/>
      <c r="G958" s="4"/>
      <c r="H958" s="4"/>
      <c r="I958" s="15"/>
      <c r="J958" s="4"/>
    </row>
    <row r="959" ht="14.25" customHeight="1">
      <c r="A959" s="8" t="s">
        <v>16</v>
      </c>
      <c r="B959" s="8">
        <v>5.8</v>
      </c>
      <c r="F959" s="4"/>
      <c r="G959" s="4"/>
      <c r="H959" s="4"/>
      <c r="I959" s="15"/>
      <c r="J959" s="4"/>
    </row>
    <row r="960" ht="14.25" customHeight="1">
      <c r="A960" s="8" t="s">
        <v>16</v>
      </c>
      <c r="B960" s="8">
        <v>6.4</v>
      </c>
      <c r="F960" s="4"/>
      <c r="G960" s="4"/>
      <c r="H960" s="4"/>
      <c r="I960" s="15"/>
      <c r="J960" s="4"/>
    </row>
    <row r="961" ht="14.25" customHeight="1">
      <c r="A961" s="8" t="s">
        <v>16</v>
      </c>
      <c r="B961" s="8">
        <v>5.6</v>
      </c>
      <c r="F961" s="4"/>
      <c r="G961" s="4"/>
      <c r="H961" s="4"/>
      <c r="I961" s="15"/>
      <c r="J961" s="4"/>
    </row>
    <row r="962" ht="14.25" customHeight="1">
      <c r="A962" s="8" t="s">
        <v>16</v>
      </c>
      <c r="B962" s="8">
        <v>6.0</v>
      </c>
      <c r="F962" s="4"/>
      <c r="G962" s="4"/>
      <c r="H962" s="4"/>
      <c r="I962" s="15"/>
      <c r="J962" s="4"/>
    </row>
    <row r="963" ht="14.25" customHeight="1">
      <c r="A963" s="8" t="s">
        <v>16</v>
      </c>
      <c r="B963" s="8">
        <v>6.2</v>
      </c>
      <c r="F963" s="4"/>
      <c r="G963" s="4"/>
      <c r="H963" s="4"/>
      <c r="I963" s="15"/>
      <c r="J963" s="4"/>
    </row>
    <row r="964" ht="14.25" customHeight="1">
      <c r="A964" s="8" t="s">
        <v>16</v>
      </c>
      <c r="B964" s="8">
        <v>5.9</v>
      </c>
      <c r="F964" s="4"/>
      <c r="G964" s="4"/>
      <c r="H964" s="4"/>
      <c r="I964" s="15"/>
      <c r="J964" s="4"/>
    </row>
    <row r="965" ht="14.25" customHeight="1">
      <c r="A965" s="8" t="s">
        <v>16</v>
      </c>
      <c r="B965" s="8">
        <v>5.1</v>
      </c>
      <c r="F965" s="4"/>
      <c r="G965" s="4"/>
      <c r="H965" s="4"/>
      <c r="I965" s="15"/>
      <c r="J965" s="4"/>
    </row>
    <row r="966" ht="14.25" customHeight="1">
      <c r="A966" s="8" t="s">
        <v>16</v>
      </c>
      <c r="B966" s="8">
        <v>6.8</v>
      </c>
      <c r="F966" s="4"/>
      <c r="G966" s="4"/>
      <c r="H966" s="4"/>
      <c r="I966" s="15"/>
      <c r="J966" s="4"/>
    </row>
    <row r="967" ht="14.25" customHeight="1">
      <c r="A967" s="8" t="s">
        <v>16</v>
      </c>
      <c r="B967" s="8">
        <v>6.0</v>
      </c>
      <c r="F967" s="4"/>
      <c r="G967" s="4"/>
      <c r="H967" s="4"/>
      <c r="I967" s="15"/>
      <c r="J967" s="4"/>
    </row>
    <row r="968" ht="14.25" customHeight="1">
      <c r="A968" s="8" t="s">
        <v>16</v>
      </c>
      <c r="B968" s="8">
        <v>5.1</v>
      </c>
      <c r="F968" s="4"/>
      <c r="G968" s="4"/>
      <c r="H968" s="4"/>
      <c r="I968" s="15"/>
      <c r="J968" s="4"/>
    </row>
    <row r="969" ht="14.25" customHeight="1">
      <c r="A969" s="8" t="s">
        <v>16</v>
      </c>
      <c r="B969" s="8">
        <v>5.8</v>
      </c>
      <c r="F969" s="4"/>
      <c r="G969" s="4"/>
      <c r="H969" s="4"/>
      <c r="I969" s="15"/>
      <c r="J969" s="4"/>
    </row>
    <row r="970" ht="14.25" customHeight="1">
      <c r="A970" s="8" t="s">
        <v>16</v>
      </c>
      <c r="B970" s="8">
        <v>6.2</v>
      </c>
      <c r="F970" s="4"/>
      <c r="G970" s="4"/>
      <c r="H970" s="4"/>
      <c r="I970" s="15"/>
      <c r="J970" s="4"/>
    </row>
    <row r="971" ht="14.25" customHeight="1">
      <c r="A971" s="8" t="s">
        <v>16</v>
      </c>
      <c r="B971" s="8">
        <v>6.4</v>
      </c>
      <c r="F971" s="4"/>
      <c r="G971" s="4"/>
      <c r="H971" s="4"/>
      <c r="I971" s="15"/>
      <c r="J971" s="4"/>
    </row>
    <row r="972" ht="14.25" customHeight="1">
      <c r="A972" s="8" t="s">
        <v>16</v>
      </c>
      <c r="B972" s="8">
        <v>4.8</v>
      </c>
      <c r="F972" s="4"/>
      <c r="G972" s="4"/>
      <c r="H972" s="4"/>
      <c r="I972" s="15"/>
      <c r="J972" s="4"/>
    </row>
    <row r="973" ht="14.25" customHeight="1">
      <c r="A973" s="8" t="s">
        <v>16</v>
      </c>
      <c r="B973" s="8">
        <v>4.9</v>
      </c>
      <c r="F973" s="4"/>
      <c r="G973" s="4"/>
      <c r="H973" s="4"/>
      <c r="I973" s="15"/>
      <c r="J973" s="4"/>
    </row>
    <row r="974" ht="14.25" customHeight="1">
      <c r="A974" s="8" t="s">
        <v>16</v>
      </c>
      <c r="B974" s="8">
        <v>5.6</v>
      </c>
      <c r="F974" s="4"/>
      <c r="G974" s="4"/>
      <c r="H974" s="4"/>
      <c r="I974" s="15"/>
      <c r="J974" s="4"/>
    </row>
    <row r="975" ht="14.25" customHeight="1">
      <c r="A975" s="8" t="s">
        <v>16</v>
      </c>
      <c r="B975" s="8">
        <v>5.5</v>
      </c>
      <c r="F975" s="4"/>
      <c r="G975" s="4"/>
      <c r="H975" s="4"/>
      <c r="I975" s="15"/>
      <c r="J975" s="4"/>
    </row>
    <row r="976" ht="14.25" customHeight="1">
      <c r="A976" s="8" t="s">
        <v>16</v>
      </c>
      <c r="B976" s="8">
        <v>3.7</v>
      </c>
      <c r="F976" s="4"/>
      <c r="G976" s="4"/>
      <c r="H976" s="4"/>
      <c r="I976" s="15"/>
      <c r="J976" s="4"/>
    </row>
    <row r="977" ht="14.25" customHeight="1">
      <c r="A977" s="8" t="s">
        <v>16</v>
      </c>
      <c r="B977" s="8">
        <v>5.9</v>
      </c>
      <c r="F977" s="4"/>
      <c r="G977" s="4"/>
      <c r="H977" s="4"/>
      <c r="I977" s="15"/>
      <c r="J977" s="4"/>
    </row>
    <row r="978" ht="14.25" customHeight="1">
      <c r="A978" s="8" t="s">
        <v>16</v>
      </c>
      <c r="B978" s="8">
        <v>6.3</v>
      </c>
      <c r="F978" s="4"/>
      <c r="G978" s="4"/>
      <c r="H978" s="4"/>
      <c r="I978" s="15"/>
      <c r="J978" s="4"/>
    </row>
    <row r="979" ht="14.25" customHeight="1">
      <c r="A979" s="8" t="s">
        <v>16</v>
      </c>
      <c r="B979" s="8">
        <v>7.6</v>
      </c>
      <c r="F979" s="4"/>
      <c r="G979" s="4"/>
      <c r="H979" s="4"/>
      <c r="I979" s="15"/>
      <c r="J979" s="4"/>
    </row>
    <row r="980" ht="14.25" customHeight="1">
      <c r="A980" s="8" t="s">
        <v>16</v>
      </c>
      <c r="B980" s="8">
        <v>8.3</v>
      </c>
      <c r="F980" s="4"/>
      <c r="G980" s="4"/>
      <c r="H980" s="4"/>
      <c r="I980" s="15"/>
      <c r="J980" s="4"/>
    </row>
    <row r="981" ht="14.25" customHeight="1">
      <c r="A981" s="8" t="s">
        <v>16</v>
      </c>
      <c r="B981" s="8">
        <v>6.9</v>
      </c>
      <c r="F981" s="4"/>
      <c r="G981" s="4"/>
      <c r="H981" s="4"/>
      <c r="I981" s="15"/>
      <c r="J981" s="4"/>
    </row>
    <row r="982" ht="14.25" customHeight="1">
      <c r="A982" s="8" t="s">
        <v>16</v>
      </c>
      <c r="B982" s="8">
        <v>6.7</v>
      </c>
      <c r="F982" s="4"/>
      <c r="G982" s="4"/>
      <c r="H982" s="4"/>
      <c r="I982" s="15"/>
      <c r="J982" s="4"/>
    </row>
    <row r="983" ht="14.25" customHeight="1">
      <c r="A983" s="8" t="s">
        <v>16</v>
      </c>
      <c r="B983" s="8">
        <v>6.8</v>
      </c>
      <c r="F983" s="4"/>
      <c r="G983" s="4"/>
      <c r="H983" s="4"/>
      <c r="I983" s="15"/>
      <c r="J983" s="4"/>
    </row>
    <row r="984" ht="14.25" customHeight="1">
      <c r="A984" s="8" t="s">
        <v>16</v>
      </c>
      <c r="B984" s="8">
        <v>7.1</v>
      </c>
      <c r="F984" s="4"/>
      <c r="G984" s="4"/>
      <c r="H984" s="4"/>
      <c r="I984" s="15"/>
      <c r="J984" s="4"/>
    </row>
    <row r="985" ht="14.25" customHeight="1">
      <c r="A985" s="8" t="s">
        <v>16</v>
      </c>
      <c r="B985" s="8">
        <v>6.4</v>
      </c>
      <c r="F985" s="4"/>
      <c r="G985" s="4"/>
      <c r="H985" s="4"/>
      <c r="I985" s="15"/>
      <c r="J985" s="4"/>
    </row>
    <row r="986" ht="14.25" customHeight="1">
      <c r="A986" s="8" t="s">
        <v>16</v>
      </c>
      <c r="B986" s="8">
        <v>6.4</v>
      </c>
      <c r="F986" s="4"/>
      <c r="G986" s="4"/>
      <c r="H986" s="4"/>
      <c r="I986" s="15"/>
      <c r="J986" s="4"/>
    </row>
    <row r="987" ht="14.25" customHeight="1">
      <c r="A987" s="8" t="s">
        <v>16</v>
      </c>
      <c r="B987" s="8">
        <v>7.4</v>
      </c>
      <c r="F987" s="4"/>
      <c r="G987" s="4"/>
      <c r="H987" s="4"/>
      <c r="I987" s="15"/>
      <c r="J987" s="4"/>
    </row>
    <row r="988" ht="14.25" customHeight="1">
      <c r="A988" s="8" t="s">
        <v>16</v>
      </c>
      <c r="B988" s="8">
        <v>6.4</v>
      </c>
      <c r="F988" s="4"/>
      <c r="G988" s="4"/>
      <c r="H988" s="4"/>
      <c r="I988" s="15"/>
      <c r="J988" s="4"/>
    </row>
    <row r="989" ht="14.25" customHeight="1">
      <c r="A989" s="8" t="s">
        <v>16</v>
      </c>
      <c r="B989" s="8">
        <v>6.0</v>
      </c>
      <c r="F989" s="4"/>
      <c r="G989" s="4"/>
      <c r="H989" s="4"/>
      <c r="I989" s="15"/>
      <c r="J989" s="4"/>
    </row>
    <row r="990" ht="14.25" customHeight="1">
      <c r="A990" s="8" t="s">
        <v>16</v>
      </c>
      <c r="B990" s="8">
        <v>6.5</v>
      </c>
      <c r="F990" s="4"/>
      <c r="G990" s="4"/>
      <c r="H990" s="4"/>
      <c r="I990" s="15"/>
      <c r="J990" s="4"/>
    </row>
    <row r="991" ht="14.25" customHeight="1">
      <c r="A991" s="8" t="s">
        <v>16</v>
      </c>
      <c r="B991" s="8">
        <v>7.8</v>
      </c>
      <c r="F991" s="4"/>
      <c r="G991" s="4"/>
      <c r="H991" s="4"/>
      <c r="I991" s="15"/>
      <c r="J991" s="4"/>
    </row>
    <row r="992" ht="14.25" customHeight="1">
      <c r="A992" s="8" t="s">
        <v>16</v>
      </c>
      <c r="B992" s="8">
        <v>6.0</v>
      </c>
      <c r="F992" s="4"/>
      <c r="G992" s="4"/>
      <c r="H992" s="4"/>
      <c r="I992" s="15"/>
      <c r="J992" s="4"/>
    </row>
    <row r="993" ht="14.25" customHeight="1">
      <c r="A993" s="8" t="s">
        <v>16</v>
      </c>
      <c r="B993" s="8">
        <v>7.0</v>
      </c>
      <c r="F993" s="4"/>
      <c r="G993" s="4"/>
      <c r="H993" s="4"/>
      <c r="I993" s="15"/>
      <c r="J993" s="4"/>
    </row>
    <row r="994" ht="14.25" customHeight="1">
      <c r="A994" s="8" t="s">
        <v>16</v>
      </c>
      <c r="B994" s="8">
        <v>6.0</v>
      </c>
      <c r="F994" s="4"/>
      <c r="G994" s="4"/>
      <c r="H994" s="4"/>
      <c r="I994" s="15"/>
      <c r="J994" s="4"/>
    </row>
    <row r="995" ht="14.25" customHeight="1">
      <c r="A995" s="8" t="s">
        <v>16</v>
      </c>
      <c r="B995" s="8">
        <v>6.1</v>
      </c>
      <c r="F995" s="4"/>
      <c r="G995" s="4"/>
      <c r="H995" s="4"/>
      <c r="I995" s="15"/>
      <c r="J995" s="4"/>
    </row>
    <row r="996" ht="14.25" customHeight="1">
      <c r="A996" s="8" t="s">
        <v>16</v>
      </c>
      <c r="B996" s="8">
        <v>6.8</v>
      </c>
      <c r="F996" s="4"/>
      <c r="G996" s="4"/>
      <c r="H996" s="4"/>
      <c r="I996" s="15"/>
      <c r="J996" s="4"/>
    </row>
    <row r="997" ht="14.25" customHeight="1">
      <c r="A997" s="8" t="s">
        <v>16</v>
      </c>
      <c r="B997" s="8">
        <v>6.4</v>
      </c>
      <c r="F997" s="4"/>
      <c r="G997" s="4"/>
      <c r="H997" s="4"/>
      <c r="I997" s="15"/>
      <c r="J997" s="4"/>
    </row>
    <row r="998" ht="14.25" customHeight="1">
      <c r="A998" s="8" t="s">
        <v>16</v>
      </c>
      <c r="B998" s="8">
        <v>4.5</v>
      </c>
      <c r="F998" s="4"/>
      <c r="G998" s="4"/>
      <c r="H998" s="4"/>
      <c r="I998" s="15"/>
      <c r="J998" s="4"/>
    </row>
    <row r="999" ht="14.25" customHeight="1">
      <c r="A999" s="8" t="s">
        <v>16</v>
      </c>
      <c r="B999" s="8">
        <v>5.8</v>
      </c>
      <c r="F999" s="4"/>
      <c r="G999" s="4"/>
      <c r="H999" s="4"/>
      <c r="I999" s="15"/>
      <c r="J999" s="4"/>
    </row>
    <row r="1000" ht="14.25" customHeight="1">
      <c r="A1000" s="8" t="s">
        <v>16</v>
      </c>
      <c r="B1000" s="8">
        <v>6.3</v>
      </c>
      <c r="F1000" s="4"/>
      <c r="G1000" s="4"/>
      <c r="H1000" s="4"/>
      <c r="I1000" s="15"/>
      <c r="J1000" s="4"/>
    </row>
    <row r="1001" ht="14.25" customHeight="1">
      <c r="A1001" s="8" t="s">
        <v>16</v>
      </c>
      <c r="B1001" s="8">
        <v>5.7</v>
      </c>
      <c r="F1001" s="4"/>
      <c r="G1001" s="4"/>
      <c r="H1001" s="4"/>
      <c r="I1001" s="15"/>
      <c r="J1001" s="4"/>
    </row>
    <row r="1002" ht="14.25" customHeight="1">
      <c r="A1002" s="8" t="s">
        <v>16</v>
      </c>
      <c r="B1002" s="8">
        <v>7.2</v>
      </c>
      <c r="F1002" s="4"/>
      <c r="G1002" s="4"/>
      <c r="H1002" s="4"/>
      <c r="I1002" s="15"/>
      <c r="J1002" s="4"/>
    </row>
    <row r="1003" ht="14.25" customHeight="1">
      <c r="A1003" s="8" t="s">
        <v>16</v>
      </c>
      <c r="B1003" s="8">
        <v>7.6</v>
      </c>
      <c r="F1003" s="4"/>
      <c r="G1003" s="4"/>
      <c r="H1003" s="4"/>
      <c r="I1003" s="15"/>
      <c r="J1003" s="4"/>
    </row>
    <row r="1004" ht="14.25" customHeight="1">
      <c r="A1004" s="8" t="s">
        <v>16</v>
      </c>
      <c r="B1004" s="8">
        <v>4.7</v>
      </c>
      <c r="F1004" s="4"/>
      <c r="G1004" s="4"/>
      <c r="H1004" s="4"/>
      <c r="I1004" s="15"/>
      <c r="J1004" s="4"/>
    </row>
    <row r="1005" ht="14.25" customHeight="1">
      <c r="A1005" s="8" t="s">
        <v>16</v>
      </c>
      <c r="B1005" s="8">
        <v>6.6</v>
      </c>
      <c r="F1005" s="4"/>
      <c r="G1005" s="4"/>
      <c r="H1005" s="4"/>
      <c r="I1005" s="15"/>
      <c r="J1005" s="4"/>
    </row>
    <row r="1006" ht="14.25" customHeight="1">
      <c r="A1006" s="8" t="s">
        <v>16</v>
      </c>
      <c r="B1006" s="8">
        <v>6.8</v>
      </c>
      <c r="F1006" s="4"/>
      <c r="G1006" s="4"/>
      <c r="H1006" s="4"/>
      <c r="I1006" s="15"/>
      <c r="J1006" s="4"/>
    </row>
    <row r="1007" ht="14.25" customHeight="1">
      <c r="A1007" s="8" t="s">
        <v>16</v>
      </c>
      <c r="B1007" s="8">
        <v>7.3</v>
      </c>
      <c r="F1007" s="4"/>
      <c r="G1007" s="4"/>
      <c r="H1007" s="4"/>
      <c r="I1007" s="15"/>
      <c r="J1007" s="4"/>
    </row>
    <row r="1008" ht="14.25" customHeight="1">
      <c r="A1008" s="8" t="s">
        <v>16</v>
      </c>
      <c r="B1008" s="8">
        <v>4.8</v>
      </c>
      <c r="F1008" s="4"/>
      <c r="G1008" s="4"/>
      <c r="H1008" s="4"/>
      <c r="I1008" s="15"/>
      <c r="J1008" s="4"/>
    </row>
    <row r="1009" ht="14.25" customHeight="1">
      <c r="A1009" s="8" t="s">
        <v>16</v>
      </c>
      <c r="B1009" s="8">
        <v>6.3</v>
      </c>
      <c r="F1009" s="4"/>
      <c r="G1009" s="4"/>
      <c r="H1009" s="4"/>
      <c r="I1009" s="15"/>
      <c r="J1009" s="4"/>
    </row>
    <row r="1010" ht="14.25" customHeight="1">
      <c r="A1010" s="8" t="s">
        <v>16</v>
      </c>
      <c r="B1010" s="8">
        <v>5.5</v>
      </c>
      <c r="F1010" s="4"/>
      <c r="G1010" s="4"/>
      <c r="H1010" s="4"/>
      <c r="I1010" s="15"/>
      <c r="J1010" s="4"/>
    </row>
    <row r="1011" ht="14.25" customHeight="1">
      <c r="A1011" s="8" t="s">
        <v>16</v>
      </c>
      <c r="B1011" s="8">
        <v>6.2</v>
      </c>
      <c r="F1011" s="4"/>
      <c r="G1011" s="4"/>
      <c r="H1011" s="4"/>
      <c r="I1011" s="15"/>
      <c r="J1011" s="4"/>
    </row>
    <row r="1012" ht="14.25" customHeight="1">
      <c r="A1012" s="8" t="s">
        <v>16</v>
      </c>
      <c r="B1012" s="8">
        <v>5.8</v>
      </c>
      <c r="F1012" s="4"/>
      <c r="G1012" s="4"/>
      <c r="H1012" s="4"/>
      <c r="I1012" s="15"/>
      <c r="J1012" s="4"/>
    </row>
    <row r="1013" ht="14.25" customHeight="1">
      <c r="A1013" s="8" t="s">
        <v>16</v>
      </c>
      <c r="B1013" s="8">
        <v>5.7</v>
      </c>
      <c r="F1013" s="4"/>
      <c r="G1013" s="4"/>
      <c r="H1013" s="4"/>
      <c r="I1013" s="15"/>
      <c r="J1013" s="4"/>
    </row>
    <row r="1014" ht="14.25" customHeight="1">
      <c r="A1014" s="8" t="s">
        <v>16</v>
      </c>
      <c r="B1014" s="8">
        <v>6.5</v>
      </c>
      <c r="F1014" s="4"/>
      <c r="G1014" s="4"/>
      <c r="H1014" s="4"/>
      <c r="I1014" s="15"/>
      <c r="J1014" s="4"/>
    </row>
    <row r="1015" ht="14.25" customHeight="1">
      <c r="A1015" s="8" t="s">
        <v>16</v>
      </c>
      <c r="B1015" s="8">
        <v>6.7</v>
      </c>
      <c r="F1015" s="4"/>
      <c r="G1015" s="4"/>
      <c r="H1015" s="4"/>
      <c r="I1015" s="15"/>
      <c r="J1015" s="4"/>
    </row>
    <row r="1016" ht="14.25" customHeight="1">
      <c r="A1016" s="8" t="s">
        <v>16</v>
      </c>
      <c r="B1016" s="8">
        <v>7.4</v>
      </c>
      <c r="F1016" s="4"/>
      <c r="G1016" s="4"/>
      <c r="H1016" s="4"/>
      <c r="I1016" s="15"/>
      <c r="J1016" s="4"/>
    </row>
    <row r="1017" ht="14.25" customHeight="1">
      <c r="A1017" s="8" t="s">
        <v>16</v>
      </c>
      <c r="B1017" s="8">
        <v>6.9</v>
      </c>
      <c r="F1017" s="4"/>
      <c r="G1017" s="4"/>
      <c r="H1017" s="4"/>
      <c r="I1017" s="15"/>
      <c r="J1017" s="4"/>
    </row>
    <row r="1018" ht="14.25" customHeight="1">
      <c r="A1018" s="8" t="s">
        <v>16</v>
      </c>
      <c r="B1018" s="8">
        <v>5.5</v>
      </c>
      <c r="F1018" s="4"/>
      <c r="G1018" s="4"/>
      <c r="H1018" s="4"/>
      <c r="I1018" s="15"/>
      <c r="J1018" s="4"/>
    </row>
    <row r="1019" ht="14.25" customHeight="1">
      <c r="A1019" s="8" t="s">
        <v>16</v>
      </c>
      <c r="B1019" s="8">
        <v>8.1</v>
      </c>
      <c r="F1019" s="4"/>
      <c r="G1019" s="4"/>
      <c r="H1019" s="4"/>
      <c r="I1019" s="15"/>
      <c r="J1019" s="4"/>
    </row>
    <row r="1020" ht="14.25" customHeight="1">
      <c r="A1020" s="8" t="s">
        <v>16</v>
      </c>
      <c r="B1020" s="8">
        <v>7.7</v>
      </c>
      <c r="F1020" s="4"/>
      <c r="G1020" s="4"/>
      <c r="H1020" s="4"/>
      <c r="I1020" s="15"/>
      <c r="J1020" s="4"/>
    </row>
    <row r="1021" ht="14.25" customHeight="1">
      <c r="A1021" s="8" t="s">
        <v>16</v>
      </c>
      <c r="B1021" s="8">
        <v>7.3</v>
      </c>
      <c r="F1021" s="4"/>
      <c r="G1021" s="4"/>
      <c r="H1021" s="4"/>
      <c r="I1021" s="15"/>
      <c r="J1021" s="4"/>
    </row>
    <row r="1022" ht="14.25" customHeight="1">
      <c r="A1022" s="8" t="s">
        <v>16</v>
      </c>
      <c r="B1022" s="8">
        <v>5.2</v>
      </c>
      <c r="F1022" s="4"/>
      <c r="G1022" s="4"/>
      <c r="H1022" s="4"/>
      <c r="I1022" s="15"/>
      <c r="J1022" s="4"/>
    </row>
    <row r="1023" ht="14.25" customHeight="1">
      <c r="A1023" s="8" t="s">
        <v>16</v>
      </c>
      <c r="B1023" s="8">
        <v>7.1</v>
      </c>
      <c r="F1023" s="4"/>
      <c r="G1023" s="4"/>
      <c r="H1023" s="4"/>
      <c r="I1023" s="15"/>
      <c r="J1023" s="4"/>
    </row>
    <row r="1024" ht="14.25" customHeight="1">
      <c r="A1024" s="8" t="s">
        <v>16</v>
      </c>
      <c r="B1024" s="8">
        <v>7.1</v>
      </c>
      <c r="F1024" s="4"/>
      <c r="G1024" s="4"/>
      <c r="H1024" s="4"/>
      <c r="I1024" s="15"/>
      <c r="J1024" s="4"/>
    </row>
    <row r="1025" ht="14.25" customHeight="1">
      <c r="A1025" s="8" t="s">
        <v>16</v>
      </c>
      <c r="B1025" s="8">
        <v>7.2</v>
      </c>
      <c r="F1025" s="4"/>
      <c r="G1025" s="4"/>
      <c r="H1025" s="4"/>
      <c r="I1025" s="15"/>
      <c r="J1025" s="4"/>
    </row>
    <row r="1026" ht="14.25" customHeight="1">
      <c r="A1026" s="8" t="s">
        <v>16</v>
      </c>
      <c r="B1026" s="8">
        <v>6.5</v>
      </c>
      <c r="F1026" s="4"/>
      <c r="G1026" s="4"/>
      <c r="H1026" s="4"/>
      <c r="I1026" s="15"/>
      <c r="J1026" s="4"/>
    </row>
    <row r="1027" ht="14.25" customHeight="1">
      <c r="A1027" s="8" t="s">
        <v>16</v>
      </c>
      <c r="B1027" s="8">
        <v>4.6</v>
      </c>
      <c r="F1027" s="4"/>
      <c r="G1027" s="4"/>
      <c r="H1027" s="4"/>
      <c r="I1027" s="15"/>
      <c r="J1027" s="4"/>
    </row>
    <row r="1028" ht="14.25" customHeight="1">
      <c r="A1028" s="8" t="s">
        <v>16</v>
      </c>
      <c r="B1028" s="8">
        <v>5.6</v>
      </c>
      <c r="F1028" s="4"/>
      <c r="G1028" s="4"/>
      <c r="H1028" s="4"/>
      <c r="I1028" s="15"/>
      <c r="J1028" s="4"/>
    </row>
    <row r="1029" ht="14.25" customHeight="1">
      <c r="A1029" s="8" t="s">
        <v>16</v>
      </c>
      <c r="B1029" s="8">
        <v>7.7</v>
      </c>
      <c r="F1029" s="4"/>
      <c r="G1029" s="4"/>
      <c r="H1029" s="4"/>
      <c r="I1029" s="15"/>
      <c r="J1029" s="4"/>
    </row>
    <row r="1030" ht="14.25" customHeight="1">
      <c r="A1030" s="8" t="s">
        <v>16</v>
      </c>
      <c r="B1030" s="8">
        <v>7.2</v>
      </c>
      <c r="F1030" s="4"/>
      <c r="G1030" s="4"/>
      <c r="H1030" s="4"/>
      <c r="I1030" s="15"/>
      <c r="J1030" s="4"/>
    </row>
    <row r="1031" ht="14.25" customHeight="1">
      <c r="A1031" s="8" t="s">
        <v>16</v>
      </c>
      <c r="B1031" s="8">
        <v>6.8</v>
      </c>
      <c r="F1031" s="4"/>
      <c r="G1031" s="4"/>
      <c r="H1031" s="4"/>
      <c r="I1031" s="15"/>
      <c r="J1031" s="4"/>
    </row>
    <row r="1032" ht="14.25" customHeight="1">
      <c r="A1032" s="8" t="s">
        <v>16</v>
      </c>
      <c r="B1032" s="8">
        <v>5.4</v>
      </c>
      <c r="F1032" s="4"/>
      <c r="G1032" s="4"/>
      <c r="H1032" s="4"/>
      <c r="I1032" s="15"/>
      <c r="J1032" s="4"/>
    </row>
    <row r="1033" ht="14.25" customHeight="1">
      <c r="A1033" s="8" t="s">
        <v>16</v>
      </c>
      <c r="B1033" s="8">
        <v>6.3</v>
      </c>
      <c r="F1033" s="4"/>
      <c r="G1033" s="4"/>
      <c r="H1033" s="4"/>
      <c r="I1033" s="15"/>
      <c r="J1033" s="4"/>
    </row>
    <row r="1034" ht="14.25" customHeight="1">
      <c r="A1034" s="8" t="s">
        <v>16</v>
      </c>
      <c r="B1034" s="8">
        <v>5.6</v>
      </c>
      <c r="F1034" s="4"/>
      <c r="G1034" s="4"/>
      <c r="H1034" s="4"/>
      <c r="I1034" s="15"/>
      <c r="J1034" s="4"/>
    </row>
    <row r="1035" ht="14.25" customHeight="1">
      <c r="A1035" s="8" t="s">
        <v>16</v>
      </c>
      <c r="B1035" s="8">
        <v>6.8</v>
      </c>
      <c r="F1035" s="4"/>
      <c r="G1035" s="4"/>
      <c r="H1035" s="4"/>
      <c r="I1035" s="15"/>
      <c r="J1035" s="4"/>
    </row>
    <row r="1036" ht="14.25" customHeight="1">
      <c r="A1036" s="8" t="s">
        <v>16</v>
      </c>
      <c r="B1036" s="8">
        <v>4.3</v>
      </c>
      <c r="F1036" s="4"/>
      <c r="G1036" s="4"/>
      <c r="H1036" s="4"/>
      <c r="I1036" s="15"/>
      <c r="J1036" s="4"/>
    </row>
    <row r="1037" ht="14.25" customHeight="1">
      <c r="A1037" s="8" t="s">
        <v>16</v>
      </c>
      <c r="B1037" s="8">
        <v>6.3</v>
      </c>
      <c r="F1037" s="4"/>
      <c r="G1037" s="4"/>
      <c r="H1037" s="4"/>
      <c r="I1037" s="15"/>
      <c r="J1037" s="4"/>
    </row>
    <row r="1038" ht="14.25" customHeight="1">
      <c r="A1038" s="8" t="s">
        <v>16</v>
      </c>
      <c r="B1038" s="8">
        <v>6.5</v>
      </c>
      <c r="F1038" s="4"/>
      <c r="G1038" s="4"/>
      <c r="H1038" s="4"/>
      <c r="I1038" s="15"/>
      <c r="J1038" s="4"/>
    </row>
    <row r="1039" ht="14.25" customHeight="1">
      <c r="A1039" s="8" t="s">
        <v>16</v>
      </c>
      <c r="B1039" s="8">
        <v>6.4</v>
      </c>
      <c r="F1039" s="4"/>
      <c r="G1039" s="4"/>
      <c r="H1039" s="4"/>
      <c r="I1039" s="15"/>
      <c r="J1039" s="4"/>
    </row>
    <row r="1040" ht="14.25" customHeight="1">
      <c r="A1040" s="8" t="s">
        <v>16</v>
      </c>
      <c r="B1040" s="8">
        <v>6.3</v>
      </c>
      <c r="F1040" s="4"/>
      <c r="G1040" s="4"/>
      <c r="H1040" s="4"/>
      <c r="I1040" s="15"/>
      <c r="J1040" s="4"/>
    </row>
    <row r="1041" ht="14.25" customHeight="1">
      <c r="A1041" s="8" t="s">
        <v>16</v>
      </c>
      <c r="B1041" s="8">
        <v>5.9</v>
      </c>
      <c r="F1041" s="4"/>
      <c r="G1041" s="4"/>
      <c r="H1041" s="4"/>
      <c r="I1041" s="15"/>
      <c r="J1041" s="4"/>
    </row>
    <row r="1042" ht="14.25" customHeight="1">
      <c r="A1042" s="8" t="s">
        <v>16</v>
      </c>
      <c r="B1042" s="8">
        <v>6.5</v>
      </c>
      <c r="F1042" s="4"/>
      <c r="G1042" s="4"/>
      <c r="H1042" s="4"/>
      <c r="I1042" s="15"/>
      <c r="J1042" s="4"/>
    </row>
    <row r="1043" ht="14.25" customHeight="1">
      <c r="A1043" s="8" t="s">
        <v>16</v>
      </c>
      <c r="B1043" s="8">
        <v>6.5</v>
      </c>
      <c r="F1043" s="4"/>
      <c r="G1043" s="4"/>
      <c r="H1043" s="4"/>
      <c r="I1043" s="15"/>
      <c r="J1043" s="4"/>
    </row>
    <row r="1044" ht="14.25" customHeight="1">
      <c r="A1044" s="8" t="s">
        <v>16</v>
      </c>
      <c r="B1044" s="8">
        <v>6.1</v>
      </c>
      <c r="F1044" s="4"/>
      <c r="G1044" s="4"/>
      <c r="H1044" s="4"/>
      <c r="I1044" s="15"/>
      <c r="J1044" s="4"/>
    </row>
    <row r="1045" ht="14.25" customHeight="1">
      <c r="A1045" s="8" t="s">
        <v>16</v>
      </c>
      <c r="B1045" s="8">
        <v>5.9</v>
      </c>
      <c r="F1045" s="4"/>
      <c r="G1045" s="4"/>
      <c r="H1045" s="4"/>
      <c r="I1045" s="15"/>
      <c r="J1045" s="4"/>
    </row>
    <row r="1046" ht="14.25" customHeight="1">
      <c r="A1046" s="8" t="s">
        <v>16</v>
      </c>
      <c r="B1046" s="8">
        <v>6.6</v>
      </c>
      <c r="F1046" s="4"/>
      <c r="G1046" s="4"/>
      <c r="H1046" s="4"/>
      <c r="I1046" s="15"/>
      <c r="J1046" s="4"/>
    </row>
    <row r="1047" ht="14.25" customHeight="1">
      <c r="A1047" s="8" t="s">
        <v>16</v>
      </c>
      <c r="B1047" s="8">
        <v>7.4</v>
      </c>
      <c r="F1047" s="4"/>
      <c r="G1047" s="4"/>
      <c r="H1047" s="4"/>
      <c r="I1047" s="15"/>
      <c r="J1047" s="4"/>
    </row>
    <row r="1048" ht="14.25" customHeight="1">
      <c r="A1048" s="8" t="s">
        <v>16</v>
      </c>
      <c r="B1048" s="8">
        <v>7.3</v>
      </c>
      <c r="F1048" s="4"/>
      <c r="G1048" s="4"/>
      <c r="H1048" s="4"/>
      <c r="I1048" s="15"/>
      <c r="J1048" s="4"/>
    </row>
    <row r="1049" ht="14.25" customHeight="1">
      <c r="A1049" s="8" t="s">
        <v>16</v>
      </c>
      <c r="B1049" s="8">
        <v>6.6</v>
      </c>
      <c r="F1049" s="4"/>
      <c r="G1049" s="4"/>
      <c r="H1049" s="4"/>
      <c r="I1049" s="15"/>
      <c r="J1049" s="4"/>
    </row>
    <row r="1050" ht="14.25" customHeight="1">
      <c r="A1050" s="8" t="s">
        <v>16</v>
      </c>
      <c r="B1050" s="8">
        <v>5.6</v>
      </c>
      <c r="F1050" s="4"/>
      <c r="G1050" s="4"/>
      <c r="H1050" s="4"/>
      <c r="I1050" s="15"/>
      <c r="J1050" s="4"/>
    </row>
    <row r="1051" ht="14.25" customHeight="1">
      <c r="A1051" s="8" t="s">
        <v>16</v>
      </c>
      <c r="B1051" s="8">
        <v>5.3</v>
      </c>
      <c r="F1051" s="4"/>
      <c r="G1051" s="4"/>
      <c r="H1051" s="4"/>
      <c r="I1051" s="15"/>
      <c r="J1051" s="4"/>
    </row>
    <row r="1052" ht="14.25" customHeight="1">
      <c r="A1052" s="8" t="s">
        <v>16</v>
      </c>
      <c r="B1052" s="8">
        <v>6.0</v>
      </c>
      <c r="F1052" s="4"/>
      <c r="G1052" s="4"/>
      <c r="H1052" s="4"/>
      <c r="I1052" s="15"/>
      <c r="J1052" s="4"/>
    </row>
    <row r="1053" ht="14.25" customHeight="1">
      <c r="A1053" s="8" t="s">
        <v>16</v>
      </c>
      <c r="B1053" s="8">
        <v>5.4</v>
      </c>
      <c r="F1053" s="4"/>
      <c r="G1053" s="4"/>
      <c r="H1053" s="4"/>
      <c r="I1053" s="15"/>
      <c r="J1053" s="4"/>
    </row>
    <row r="1054" ht="14.25" customHeight="1">
      <c r="A1054" s="8" t="s">
        <v>16</v>
      </c>
      <c r="B1054" s="8">
        <v>6.8</v>
      </c>
      <c r="F1054" s="4"/>
      <c r="G1054" s="4"/>
      <c r="H1054" s="4"/>
      <c r="I1054" s="15"/>
      <c r="J1054" s="4"/>
    </row>
    <row r="1055" ht="14.25" customHeight="1">
      <c r="A1055" s="8" t="s">
        <v>16</v>
      </c>
      <c r="B1055" s="8">
        <v>6.4</v>
      </c>
      <c r="F1055" s="4"/>
      <c r="G1055" s="4"/>
      <c r="H1055" s="4"/>
      <c r="I1055" s="15"/>
      <c r="J1055" s="4"/>
    </row>
    <row r="1056" ht="14.25" customHeight="1">
      <c r="A1056" s="8" t="s">
        <v>16</v>
      </c>
      <c r="B1056" s="8">
        <v>7.1</v>
      </c>
      <c r="F1056" s="4"/>
      <c r="G1056" s="4"/>
      <c r="H1056" s="4"/>
      <c r="I1056" s="15"/>
      <c r="J1056" s="4"/>
    </row>
    <row r="1057" ht="14.25" customHeight="1">
      <c r="A1057" s="8" t="s">
        <v>16</v>
      </c>
      <c r="B1057" s="8">
        <v>4.9</v>
      </c>
      <c r="F1057" s="4"/>
      <c r="G1057" s="4"/>
      <c r="H1057" s="4"/>
      <c r="I1057" s="15"/>
      <c r="J1057" s="4"/>
    </row>
    <row r="1058" ht="14.25" customHeight="1">
      <c r="A1058" s="8" t="s">
        <v>16</v>
      </c>
      <c r="B1058" s="8">
        <v>5.8</v>
      </c>
      <c r="F1058" s="4"/>
      <c r="G1058" s="4"/>
      <c r="H1058" s="4"/>
      <c r="I1058" s="15"/>
      <c r="J1058" s="4"/>
    </row>
    <row r="1059" ht="14.25" customHeight="1">
      <c r="A1059" s="8" t="s">
        <v>16</v>
      </c>
      <c r="B1059" s="8">
        <v>7.1</v>
      </c>
      <c r="F1059" s="4"/>
      <c r="G1059" s="4"/>
      <c r="H1059" s="4"/>
      <c r="I1059" s="15"/>
      <c r="J1059" s="4"/>
    </row>
    <row r="1060" ht="14.25" customHeight="1">
      <c r="A1060" s="8" t="s">
        <v>16</v>
      </c>
      <c r="B1060" s="8">
        <v>7.2</v>
      </c>
      <c r="F1060" s="4"/>
      <c r="G1060" s="4"/>
      <c r="H1060" s="4"/>
      <c r="I1060" s="15"/>
      <c r="J1060" s="4"/>
    </row>
    <row r="1061" ht="14.25" customHeight="1">
      <c r="A1061" s="8" t="s">
        <v>16</v>
      </c>
      <c r="B1061" s="8">
        <v>6.0</v>
      </c>
      <c r="F1061" s="4"/>
      <c r="G1061" s="4"/>
      <c r="H1061" s="4"/>
      <c r="I1061" s="15"/>
      <c r="J1061" s="4"/>
    </row>
    <row r="1062" ht="14.25" customHeight="1">
      <c r="A1062" s="8" t="s">
        <v>16</v>
      </c>
      <c r="B1062" s="8">
        <v>6.0</v>
      </c>
      <c r="F1062" s="4"/>
      <c r="G1062" s="4"/>
      <c r="H1062" s="4"/>
      <c r="I1062" s="15"/>
      <c r="J1062" s="4"/>
    </row>
    <row r="1063" ht="14.25" customHeight="1">
      <c r="A1063" s="8" t="s">
        <v>816</v>
      </c>
      <c r="B1063" s="8">
        <v>7.0</v>
      </c>
      <c r="F1063" s="4"/>
      <c r="G1063" s="4"/>
      <c r="H1063" s="4"/>
      <c r="I1063" s="15"/>
      <c r="J1063" s="4"/>
    </row>
    <row r="1064" ht="14.25" customHeight="1">
      <c r="A1064" s="8" t="s">
        <v>16</v>
      </c>
      <c r="B1064" s="8">
        <v>5.4</v>
      </c>
      <c r="F1064" s="4"/>
      <c r="G1064" s="4"/>
      <c r="H1064" s="4"/>
      <c r="I1064" s="15"/>
      <c r="J1064" s="4"/>
    </row>
    <row r="1065" ht="14.25" customHeight="1">
      <c r="A1065" s="8" t="s">
        <v>16</v>
      </c>
      <c r="B1065" s="8">
        <v>6.5</v>
      </c>
      <c r="F1065" s="4"/>
      <c r="G1065" s="4"/>
      <c r="H1065" s="4"/>
      <c r="I1065" s="15"/>
      <c r="J1065" s="4"/>
    </row>
    <row r="1066" ht="14.25" customHeight="1">
      <c r="A1066" s="8" t="s">
        <v>16</v>
      </c>
      <c r="B1066" s="8">
        <v>6.4</v>
      </c>
      <c r="F1066" s="4"/>
      <c r="G1066" s="4"/>
      <c r="H1066" s="4"/>
      <c r="I1066" s="15"/>
      <c r="J1066" s="4"/>
    </row>
    <row r="1067" ht="14.25" customHeight="1">
      <c r="A1067" s="8" t="s">
        <v>16</v>
      </c>
      <c r="B1067" s="8">
        <v>4.9</v>
      </c>
      <c r="F1067" s="4"/>
      <c r="G1067" s="4"/>
      <c r="H1067" s="4"/>
      <c r="I1067" s="15"/>
      <c r="J1067" s="4"/>
    </row>
    <row r="1068" ht="14.25" customHeight="1">
      <c r="A1068" s="8" t="s">
        <v>16</v>
      </c>
      <c r="B1068" s="8">
        <v>6.3</v>
      </c>
      <c r="F1068" s="4"/>
      <c r="G1068" s="4"/>
      <c r="H1068" s="4"/>
      <c r="I1068" s="15"/>
      <c r="J1068" s="4"/>
    </row>
    <row r="1069" ht="14.25" customHeight="1">
      <c r="A1069" s="8" t="s">
        <v>16</v>
      </c>
      <c r="B1069" s="8">
        <v>7.7</v>
      </c>
      <c r="F1069" s="4"/>
      <c r="G1069" s="4"/>
      <c r="H1069" s="4"/>
      <c r="I1069" s="15"/>
      <c r="J1069" s="4"/>
    </row>
    <row r="1070" ht="14.25" customHeight="1">
      <c r="A1070" s="8" t="s">
        <v>16</v>
      </c>
      <c r="B1070" s="8">
        <v>7.8</v>
      </c>
      <c r="F1070" s="4"/>
      <c r="G1070" s="4"/>
      <c r="H1070" s="4"/>
      <c r="I1070" s="15"/>
      <c r="J1070" s="4"/>
    </row>
    <row r="1071" ht="14.25" customHeight="1">
      <c r="A1071" s="8" t="s">
        <v>16</v>
      </c>
      <c r="B1071" s="8">
        <v>5.5</v>
      </c>
      <c r="F1071" s="4"/>
      <c r="G1071" s="4"/>
      <c r="H1071" s="4"/>
      <c r="I1071" s="15"/>
      <c r="J1071" s="4"/>
    </row>
    <row r="1072" ht="14.25" customHeight="1">
      <c r="A1072" s="8" t="s">
        <v>16</v>
      </c>
      <c r="B1072" s="8">
        <v>7.5</v>
      </c>
      <c r="F1072" s="4"/>
      <c r="G1072" s="4"/>
      <c r="H1072" s="4"/>
      <c r="I1072" s="15"/>
      <c r="J1072" s="4"/>
    </row>
    <row r="1073" ht="14.25" customHeight="1">
      <c r="A1073" s="8" t="s">
        <v>16</v>
      </c>
      <c r="B1073" s="8">
        <v>6.4</v>
      </c>
      <c r="F1073" s="4"/>
      <c r="G1073" s="4"/>
      <c r="H1073" s="4"/>
      <c r="I1073" s="15"/>
      <c r="J1073" s="4"/>
    </row>
    <row r="1074" ht="14.25" customHeight="1">
      <c r="A1074" s="8" t="s">
        <v>16</v>
      </c>
      <c r="B1074" s="8">
        <v>5.6</v>
      </c>
      <c r="F1074" s="4"/>
      <c r="G1074" s="4"/>
      <c r="H1074" s="4"/>
      <c r="I1074" s="15"/>
      <c r="J1074" s="4"/>
    </row>
    <row r="1075" ht="14.25" customHeight="1">
      <c r="A1075" s="8" t="s">
        <v>16</v>
      </c>
      <c r="B1075" s="8">
        <v>7.5</v>
      </c>
      <c r="F1075" s="4"/>
      <c r="G1075" s="4"/>
      <c r="H1075" s="4"/>
      <c r="I1075" s="15"/>
      <c r="J1075" s="4"/>
    </row>
    <row r="1076" ht="14.25" customHeight="1">
      <c r="A1076" s="8" t="s">
        <v>16</v>
      </c>
      <c r="B1076" s="8">
        <v>6.8</v>
      </c>
      <c r="F1076" s="4"/>
      <c r="G1076" s="4"/>
      <c r="H1076" s="4"/>
      <c r="I1076" s="15"/>
      <c r="J1076" s="4"/>
    </row>
    <row r="1077" ht="14.25" customHeight="1">
      <c r="A1077" s="8" t="s">
        <v>16</v>
      </c>
      <c r="B1077" s="8">
        <v>6.8</v>
      </c>
      <c r="F1077" s="4"/>
      <c r="G1077" s="4"/>
      <c r="H1077" s="4"/>
      <c r="I1077" s="15"/>
      <c r="J1077" s="4"/>
    </row>
    <row r="1078" ht="14.25" customHeight="1">
      <c r="A1078" s="8" t="s">
        <v>16</v>
      </c>
      <c r="B1078" s="8">
        <v>6.0</v>
      </c>
      <c r="F1078" s="4"/>
      <c r="G1078" s="4"/>
      <c r="H1078" s="4"/>
      <c r="I1078" s="15"/>
      <c r="J1078" s="4"/>
    </row>
    <row r="1079" ht="14.25" customHeight="1">
      <c r="A1079" s="8" t="s">
        <v>16</v>
      </c>
      <c r="B1079" s="8">
        <v>7.3</v>
      </c>
      <c r="F1079" s="4"/>
      <c r="G1079" s="4"/>
      <c r="H1079" s="4"/>
      <c r="I1079" s="15"/>
      <c r="J1079" s="4"/>
    </row>
    <row r="1080" ht="14.25" customHeight="1">
      <c r="A1080" s="8" t="s">
        <v>16</v>
      </c>
      <c r="B1080" s="8">
        <v>6.0</v>
      </c>
      <c r="F1080" s="4"/>
      <c r="G1080" s="4"/>
      <c r="H1080" s="4"/>
      <c r="I1080" s="15"/>
      <c r="J1080" s="4"/>
    </row>
    <row r="1081" ht="14.25" customHeight="1">
      <c r="A1081" s="8" t="s">
        <v>16</v>
      </c>
      <c r="B1081" s="8">
        <v>7.0</v>
      </c>
      <c r="F1081" s="4"/>
      <c r="G1081" s="4"/>
      <c r="H1081" s="4"/>
      <c r="I1081" s="15"/>
      <c r="J1081" s="4"/>
    </row>
    <row r="1082" ht="14.25" customHeight="1">
      <c r="A1082" s="8" t="s">
        <v>16</v>
      </c>
      <c r="B1082" s="8">
        <v>5.1</v>
      </c>
      <c r="F1082" s="4"/>
      <c r="G1082" s="4"/>
      <c r="H1082" s="4"/>
      <c r="I1082" s="15"/>
      <c r="J1082" s="4"/>
    </row>
    <row r="1083" ht="14.25" customHeight="1">
      <c r="A1083" s="8" t="s">
        <v>16</v>
      </c>
      <c r="B1083" s="8">
        <v>6.8</v>
      </c>
      <c r="F1083" s="4"/>
      <c r="G1083" s="4"/>
      <c r="H1083" s="4"/>
      <c r="I1083" s="15"/>
      <c r="J1083" s="4"/>
    </row>
    <row r="1084" ht="14.25" customHeight="1">
      <c r="A1084" s="8" t="s">
        <v>16</v>
      </c>
      <c r="B1084" s="8">
        <v>6.5</v>
      </c>
      <c r="F1084" s="4"/>
      <c r="G1084" s="4"/>
      <c r="H1084" s="4"/>
      <c r="I1084" s="15"/>
      <c r="J1084" s="4"/>
    </row>
    <row r="1085" ht="14.25" customHeight="1">
      <c r="A1085" s="8" t="s">
        <v>16</v>
      </c>
      <c r="B1085" s="8">
        <v>6.6</v>
      </c>
      <c r="F1085" s="4"/>
      <c r="G1085" s="4"/>
      <c r="H1085" s="4"/>
      <c r="I1085" s="15"/>
      <c r="J1085" s="4"/>
    </row>
    <row r="1086" ht="14.25" customHeight="1">
      <c r="A1086" s="8" t="s">
        <v>16</v>
      </c>
      <c r="B1086" s="8">
        <v>7.2</v>
      </c>
      <c r="F1086" s="4"/>
      <c r="G1086" s="4"/>
      <c r="H1086" s="4"/>
      <c r="I1086" s="15"/>
      <c r="J1086" s="4"/>
    </row>
    <row r="1087" ht="14.25" customHeight="1">
      <c r="A1087" s="8" t="s">
        <v>16</v>
      </c>
      <c r="B1087" s="8">
        <v>7.0</v>
      </c>
      <c r="F1087" s="4"/>
      <c r="G1087" s="4"/>
      <c r="H1087" s="4"/>
      <c r="I1087" s="15"/>
      <c r="J1087" s="4"/>
    </row>
    <row r="1088" ht="14.25" customHeight="1">
      <c r="A1088" s="8" t="s">
        <v>16</v>
      </c>
      <c r="B1088" s="8">
        <v>7.0</v>
      </c>
      <c r="F1088" s="4"/>
      <c r="G1088" s="4"/>
      <c r="H1088" s="4"/>
      <c r="I1088" s="15"/>
      <c r="J1088" s="4"/>
    </row>
    <row r="1089" ht="14.25" customHeight="1">
      <c r="A1089" s="8" t="s">
        <v>16</v>
      </c>
      <c r="B1089" s="8">
        <v>5.9</v>
      </c>
      <c r="F1089" s="4"/>
      <c r="G1089" s="4"/>
      <c r="H1089" s="4"/>
      <c r="I1089" s="15"/>
      <c r="J1089" s="4"/>
    </row>
    <row r="1090" ht="14.25" customHeight="1">
      <c r="A1090" s="8" t="s">
        <v>16</v>
      </c>
      <c r="B1090" s="8">
        <v>5.4</v>
      </c>
      <c r="F1090" s="4"/>
      <c r="G1090" s="4"/>
      <c r="H1090" s="4"/>
      <c r="I1090" s="15"/>
      <c r="J1090" s="4"/>
    </row>
    <row r="1091" ht="14.25" customHeight="1">
      <c r="A1091" s="8" t="s">
        <v>16</v>
      </c>
      <c r="B1091" s="8">
        <v>6.6</v>
      </c>
      <c r="F1091" s="4"/>
      <c r="G1091" s="4"/>
      <c r="H1091" s="4"/>
      <c r="I1091" s="15"/>
      <c r="J1091" s="4"/>
    </row>
    <row r="1092" ht="14.25" customHeight="1">
      <c r="A1092" s="8" t="s">
        <v>16</v>
      </c>
      <c r="B1092" s="8">
        <v>7.0</v>
      </c>
      <c r="F1092" s="4"/>
      <c r="G1092" s="4"/>
      <c r="H1092" s="4"/>
      <c r="I1092" s="15"/>
      <c r="J1092" s="4"/>
    </row>
    <row r="1093" ht="14.25" customHeight="1">
      <c r="A1093" s="8" t="s">
        <v>16</v>
      </c>
      <c r="B1093" s="8">
        <v>6.5</v>
      </c>
      <c r="F1093" s="4"/>
      <c r="G1093" s="4"/>
      <c r="H1093" s="4"/>
      <c r="I1093" s="15"/>
      <c r="J1093" s="4"/>
    </row>
    <row r="1094" ht="14.25" customHeight="1">
      <c r="A1094" s="8" t="s">
        <v>16</v>
      </c>
      <c r="B1094" s="8">
        <v>6.3</v>
      </c>
      <c r="F1094" s="4"/>
      <c r="G1094" s="4"/>
      <c r="H1094" s="4"/>
      <c r="I1094" s="15"/>
      <c r="J1094" s="4"/>
    </row>
    <row r="1095" ht="14.25" customHeight="1">
      <c r="A1095" s="8" t="s">
        <v>16</v>
      </c>
      <c r="B1095" s="8">
        <v>6.5</v>
      </c>
      <c r="F1095" s="4"/>
      <c r="G1095" s="4"/>
      <c r="H1095" s="4"/>
      <c r="I1095" s="15"/>
      <c r="J1095" s="4"/>
    </row>
    <row r="1096" ht="14.25" customHeight="1">
      <c r="A1096" s="8" t="s">
        <v>16</v>
      </c>
      <c r="B1096" s="8">
        <v>6.5</v>
      </c>
      <c r="F1096" s="4"/>
      <c r="G1096" s="4"/>
      <c r="H1096" s="4"/>
      <c r="I1096" s="15"/>
      <c r="J1096" s="4"/>
    </row>
    <row r="1097" ht="14.25" customHeight="1">
      <c r="A1097" s="8" t="s">
        <v>16</v>
      </c>
      <c r="B1097" s="8">
        <v>5.8</v>
      </c>
      <c r="F1097" s="4"/>
      <c r="G1097" s="4"/>
      <c r="H1097" s="4"/>
      <c r="I1097" s="15"/>
      <c r="J1097" s="4"/>
    </row>
    <row r="1098" ht="14.25" customHeight="1">
      <c r="A1098" s="8" t="s">
        <v>16</v>
      </c>
      <c r="B1098" s="8">
        <v>6.6</v>
      </c>
      <c r="F1098" s="4"/>
      <c r="G1098" s="4"/>
      <c r="H1098" s="4"/>
      <c r="I1098" s="15"/>
      <c r="J1098" s="4"/>
    </row>
    <row r="1099" ht="14.25" customHeight="1">
      <c r="A1099" s="8" t="s">
        <v>16</v>
      </c>
      <c r="B1099" s="8">
        <v>5.4</v>
      </c>
      <c r="F1099" s="4"/>
      <c r="G1099" s="4"/>
      <c r="H1099" s="4"/>
      <c r="I1099" s="15"/>
      <c r="J1099" s="4"/>
    </row>
    <row r="1100" ht="14.25" customHeight="1">
      <c r="A1100" s="8" t="s">
        <v>16</v>
      </c>
      <c r="B1100" s="8">
        <v>6.1</v>
      </c>
      <c r="F1100" s="4"/>
      <c r="G1100" s="4"/>
      <c r="H1100" s="4"/>
      <c r="I1100" s="15"/>
      <c r="J1100" s="4"/>
    </row>
    <row r="1101" ht="14.25" customHeight="1">
      <c r="A1101" s="8" t="s">
        <v>16</v>
      </c>
      <c r="B1101" s="8">
        <v>4.0</v>
      </c>
      <c r="F1101" s="4"/>
      <c r="G1101" s="4"/>
      <c r="H1101" s="4"/>
      <c r="I1101" s="15"/>
      <c r="J1101" s="4"/>
    </row>
    <row r="1102" ht="14.25" customHeight="1">
      <c r="A1102" s="8" t="s">
        <v>16</v>
      </c>
      <c r="B1102" s="8">
        <v>7.6</v>
      </c>
      <c r="F1102" s="4"/>
      <c r="G1102" s="4"/>
      <c r="H1102" s="4"/>
      <c r="I1102" s="15"/>
      <c r="J1102" s="4"/>
    </row>
    <row r="1103" ht="14.25" customHeight="1">
      <c r="A1103" s="8" t="s">
        <v>816</v>
      </c>
      <c r="B1103" s="8">
        <v>7.9</v>
      </c>
      <c r="F1103" s="4"/>
      <c r="G1103" s="4"/>
      <c r="H1103" s="4"/>
      <c r="I1103" s="15"/>
      <c r="J1103" s="4"/>
    </row>
    <row r="1104" ht="14.25" customHeight="1">
      <c r="A1104" s="8" t="s">
        <v>16</v>
      </c>
      <c r="B1104" s="8">
        <v>5.3</v>
      </c>
      <c r="F1104" s="4"/>
      <c r="G1104" s="4"/>
      <c r="H1104" s="4"/>
      <c r="I1104" s="15"/>
      <c r="J1104" s="4"/>
    </row>
    <row r="1105" ht="14.25" customHeight="1">
      <c r="A1105" s="8" t="s">
        <v>16</v>
      </c>
      <c r="B1105" s="8">
        <v>6.6</v>
      </c>
      <c r="F1105" s="4"/>
      <c r="G1105" s="4"/>
      <c r="H1105" s="4"/>
      <c r="I1105" s="15"/>
      <c r="J1105" s="4"/>
    </row>
    <row r="1106" ht="14.25" customHeight="1">
      <c r="A1106" s="8" t="s">
        <v>16</v>
      </c>
      <c r="B1106" s="8">
        <v>6.3</v>
      </c>
      <c r="F1106" s="4"/>
      <c r="G1106" s="4"/>
      <c r="H1106" s="4"/>
      <c r="I1106" s="15"/>
      <c r="J1106" s="4"/>
    </row>
    <row r="1107" ht="14.25" customHeight="1">
      <c r="A1107" s="8" t="s">
        <v>1189</v>
      </c>
      <c r="B1107" s="8">
        <v>7.2</v>
      </c>
      <c r="F1107" s="4"/>
      <c r="G1107" s="4"/>
      <c r="H1107" s="4"/>
      <c r="I1107" s="15"/>
      <c r="J1107" s="4"/>
    </row>
    <row r="1108" ht="14.25" customHeight="1">
      <c r="A1108" s="8" t="s">
        <v>16</v>
      </c>
      <c r="B1108" s="8">
        <v>7.0</v>
      </c>
      <c r="F1108" s="4"/>
      <c r="G1108" s="4"/>
      <c r="H1108" s="4"/>
      <c r="I1108" s="15"/>
      <c r="J1108" s="4"/>
    </row>
    <row r="1109" ht="14.25" customHeight="1">
      <c r="A1109" s="8" t="s">
        <v>16</v>
      </c>
      <c r="B1109" s="8">
        <v>6.9</v>
      </c>
      <c r="F1109" s="4"/>
      <c r="G1109" s="4"/>
      <c r="H1109" s="4"/>
      <c r="I1109" s="15"/>
      <c r="J1109" s="4"/>
    </row>
    <row r="1110" ht="14.25" customHeight="1">
      <c r="A1110" s="8" t="s">
        <v>16</v>
      </c>
      <c r="B1110" s="8">
        <v>5.2</v>
      </c>
      <c r="F1110" s="4"/>
      <c r="G1110" s="4"/>
      <c r="H1110" s="4"/>
      <c r="I1110" s="15"/>
      <c r="J1110" s="4"/>
    </row>
    <row r="1111" ht="14.25" customHeight="1">
      <c r="A1111" s="8" t="s">
        <v>16</v>
      </c>
      <c r="B1111" s="8">
        <v>8.1</v>
      </c>
      <c r="F1111" s="4"/>
      <c r="G1111" s="4"/>
      <c r="H1111" s="4"/>
      <c r="I1111" s="15"/>
      <c r="J1111" s="4"/>
    </row>
    <row r="1112" ht="14.25" customHeight="1">
      <c r="A1112" s="8" t="s">
        <v>16</v>
      </c>
      <c r="B1112" s="8">
        <v>6.6</v>
      </c>
      <c r="F1112" s="4"/>
      <c r="G1112" s="4"/>
      <c r="H1112" s="4"/>
      <c r="I1112" s="15"/>
      <c r="J1112" s="4"/>
    </row>
    <row r="1113" ht="14.25" customHeight="1">
      <c r="A1113" s="8" t="s">
        <v>16</v>
      </c>
      <c r="B1113" s="8">
        <v>6.2</v>
      </c>
      <c r="F1113" s="4"/>
      <c r="G1113" s="4"/>
      <c r="H1113" s="4"/>
      <c r="I1113" s="15"/>
      <c r="J1113" s="4"/>
    </row>
    <row r="1114" ht="14.25" customHeight="1">
      <c r="A1114" s="8" t="s">
        <v>16</v>
      </c>
      <c r="B1114" s="8">
        <v>7.2</v>
      </c>
      <c r="F1114" s="4"/>
      <c r="G1114" s="4"/>
      <c r="H1114" s="4"/>
      <c r="I1114" s="15"/>
      <c r="J1114" s="4"/>
    </row>
    <row r="1115" ht="14.25" customHeight="1">
      <c r="A1115" s="8" t="s">
        <v>16</v>
      </c>
      <c r="B1115" s="8">
        <v>7.3</v>
      </c>
      <c r="F1115" s="4"/>
      <c r="G1115" s="4"/>
      <c r="H1115" s="4"/>
      <c r="I1115" s="15"/>
      <c r="J1115" s="4"/>
    </row>
    <row r="1116" ht="14.25" customHeight="1">
      <c r="A1116" s="8" t="s">
        <v>16</v>
      </c>
      <c r="B1116" s="8">
        <v>6.7</v>
      </c>
      <c r="F1116" s="4"/>
      <c r="G1116" s="4"/>
      <c r="H1116" s="4"/>
      <c r="I1116" s="15"/>
      <c r="J1116" s="4"/>
    </row>
    <row r="1117" ht="14.25" customHeight="1">
      <c r="A1117" s="8" t="s">
        <v>16</v>
      </c>
      <c r="B1117" s="8">
        <v>6.4</v>
      </c>
      <c r="F1117" s="4"/>
      <c r="G1117" s="4"/>
      <c r="H1117" s="4"/>
      <c r="I1117" s="15"/>
      <c r="J1117" s="4"/>
    </row>
    <row r="1118" ht="14.25" customHeight="1">
      <c r="A1118" s="8" t="s">
        <v>16</v>
      </c>
      <c r="B1118" s="8">
        <v>7.8</v>
      </c>
      <c r="F1118" s="4"/>
      <c r="G1118" s="4"/>
      <c r="H1118" s="4"/>
      <c r="I1118" s="15"/>
      <c r="J1118" s="4"/>
    </row>
    <row r="1119" ht="14.25" customHeight="1">
      <c r="A1119" s="8" t="s">
        <v>16</v>
      </c>
      <c r="B1119" s="8">
        <v>6.4</v>
      </c>
      <c r="F1119" s="4"/>
      <c r="G1119" s="4"/>
      <c r="H1119" s="4"/>
      <c r="I1119" s="15"/>
      <c r="J1119" s="4"/>
    </row>
    <row r="1120" ht="14.25" customHeight="1">
      <c r="A1120" s="8" t="s">
        <v>16</v>
      </c>
      <c r="B1120" s="8">
        <v>4.1</v>
      </c>
      <c r="F1120" s="4"/>
      <c r="G1120" s="4"/>
      <c r="H1120" s="4"/>
      <c r="I1120" s="15"/>
      <c r="J1120" s="4"/>
    </row>
    <row r="1121" ht="14.25" customHeight="1">
      <c r="A1121" s="8" t="s">
        <v>16</v>
      </c>
      <c r="B1121" s="8">
        <v>4.1</v>
      </c>
      <c r="F1121" s="4"/>
      <c r="G1121" s="4"/>
      <c r="H1121" s="4"/>
      <c r="I1121" s="15"/>
      <c r="J1121" s="4"/>
    </row>
    <row r="1122" ht="14.25" customHeight="1">
      <c r="A1122" s="8" t="s">
        <v>16</v>
      </c>
      <c r="B1122" s="8">
        <v>7.4</v>
      </c>
      <c r="F1122" s="4"/>
      <c r="G1122" s="4"/>
      <c r="H1122" s="4"/>
      <c r="I1122" s="15"/>
      <c r="J1122" s="4"/>
    </row>
    <row r="1123" ht="14.25" customHeight="1">
      <c r="A1123" s="8" t="s">
        <v>16</v>
      </c>
      <c r="B1123" s="8">
        <v>5.8</v>
      </c>
      <c r="F1123" s="4"/>
      <c r="G1123" s="4"/>
      <c r="H1123" s="4"/>
      <c r="I1123" s="15"/>
      <c r="J1123" s="4"/>
    </row>
    <row r="1124" ht="14.25" customHeight="1">
      <c r="A1124" s="8" t="s">
        <v>16</v>
      </c>
      <c r="B1124" s="8">
        <v>7.6</v>
      </c>
      <c r="F1124" s="4"/>
      <c r="G1124" s="4"/>
      <c r="H1124" s="4"/>
      <c r="I1124" s="15"/>
      <c r="J1124" s="4"/>
    </row>
    <row r="1125" ht="14.25" customHeight="1">
      <c r="A1125" s="8" t="s">
        <v>16</v>
      </c>
      <c r="B1125" s="8">
        <v>7.2</v>
      </c>
      <c r="F1125" s="4"/>
      <c r="G1125" s="4"/>
      <c r="H1125" s="4"/>
      <c r="I1125" s="15"/>
      <c r="J1125" s="4"/>
    </row>
    <row r="1126" ht="14.25" customHeight="1">
      <c r="A1126" s="8" t="s">
        <v>16</v>
      </c>
      <c r="B1126" s="8">
        <v>7.8</v>
      </c>
      <c r="F1126" s="4"/>
      <c r="G1126" s="4"/>
      <c r="H1126" s="4"/>
      <c r="I1126" s="15"/>
      <c r="J1126" s="4"/>
    </row>
    <row r="1127" ht="14.25" customHeight="1">
      <c r="A1127" s="8" t="s">
        <v>16</v>
      </c>
      <c r="B1127" s="8">
        <v>7.7</v>
      </c>
      <c r="F1127" s="4"/>
      <c r="G1127" s="4"/>
      <c r="H1127" s="4"/>
      <c r="I1127" s="15"/>
      <c r="J1127" s="4"/>
    </row>
    <row r="1128" ht="14.25" customHeight="1">
      <c r="A1128" s="8" t="s">
        <v>16</v>
      </c>
      <c r="B1128" s="8">
        <v>6.4</v>
      </c>
      <c r="F1128" s="4"/>
      <c r="G1128" s="4"/>
      <c r="H1128" s="4"/>
      <c r="I1128" s="15"/>
      <c r="J1128" s="4"/>
    </row>
    <row r="1129" ht="14.25" customHeight="1">
      <c r="A1129" s="8" t="s">
        <v>16</v>
      </c>
      <c r="B1129" s="8">
        <v>5.1</v>
      </c>
      <c r="F1129" s="4"/>
      <c r="G1129" s="4"/>
      <c r="H1129" s="4"/>
      <c r="I1129" s="15"/>
      <c r="J1129" s="4"/>
    </row>
    <row r="1130" ht="14.25" customHeight="1">
      <c r="A1130" s="8" t="s">
        <v>16</v>
      </c>
      <c r="B1130" s="8">
        <v>5.5</v>
      </c>
      <c r="F1130" s="4"/>
      <c r="G1130" s="4"/>
      <c r="H1130" s="4"/>
      <c r="I1130" s="15"/>
      <c r="J1130" s="4"/>
    </row>
    <row r="1131" ht="14.25" customHeight="1">
      <c r="A1131" s="8" t="s">
        <v>16</v>
      </c>
      <c r="B1131" s="8">
        <v>7.4</v>
      </c>
      <c r="F1131" s="4"/>
      <c r="G1131" s="4"/>
      <c r="H1131" s="4"/>
      <c r="I1131" s="15"/>
      <c r="J1131" s="4"/>
    </row>
    <row r="1132" ht="14.25" customHeight="1">
      <c r="A1132" s="8" t="s">
        <v>16</v>
      </c>
      <c r="B1132" s="8">
        <v>6.0</v>
      </c>
      <c r="F1132" s="4"/>
      <c r="G1132" s="4"/>
      <c r="H1132" s="4"/>
      <c r="I1132" s="15"/>
      <c r="J1132" s="4"/>
    </row>
    <row r="1133" ht="14.25" customHeight="1">
      <c r="A1133" s="8" t="s">
        <v>16</v>
      </c>
      <c r="B1133" s="8">
        <v>7.5</v>
      </c>
      <c r="F1133" s="4"/>
      <c r="G1133" s="4"/>
      <c r="H1133" s="4"/>
      <c r="I1133" s="15"/>
      <c r="J1133" s="4"/>
    </row>
    <row r="1134" ht="14.25" customHeight="1">
      <c r="A1134" s="8" t="s">
        <v>16</v>
      </c>
      <c r="B1134" s="8">
        <v>7.0</v>
      </c>
      <c r="F1134" s="4"/>
      <c r="G1134" s="4"/>
      <c r="H1134" s="4"/>
      <c r="I1134" s="15"/>
      <c r="J1134" s="4"/>
    </row>
    <row r="1135" ht="14.25" customHeight="1">
      <c r="A1135" s="8" t="s">
        <v>16</v>
      </c>
      <c r="B1135" s="8">
        <v>7.5</v>
      </c>
      <c r="F1135" s="4"/>
      <c r="G1135" s="4"/>
      <c r="H1135" s="4"/>
      <c r="I1135" s="15"/>
      <c r="J1135" s="4"/>
    </row>
    <row r="1136" ht="14.25" customHeight="1">
      <c r="A1136" s="8" t="s">
        <v>16</v>
      </c>
      <c r="B1136" s="8">
        <v>7.3</v>
      </c>
      <c r="F1136" s="4"/>
      <c r="G1136" s="4"/>
      <c r="H1136" s="4"/>
      <c r="I1136" s="15"/>
      <c r="J1136" s="4"/>
    </row>
    <row r="1137" ht="14.25" customHeight="1">
      <c r="A1137" s="8" t="s">
        <v>16</v>
      </c>
      <c r="B1137" s="8">
        <v>5.7</v>
      </c>
      <c r="F1137" s="4"/>
      <c r="G1137" s="4"/>
      <c r="H1137" s="4"/>
      <c r="I1137" s="15"/>
      <c r="J1137" s="4"/>
    </row>
    <row r="1138" ht="14.25" customHeight="1">
      <c r="A1138" s="8" t="s">
        <v>16</v>
      </c>
      <c r="B1138" s="8">
        <v>7.3</v>
      </c>
      <c r="F1138" s="4"/>
      <c r="G1138" s="4"/>
      <c r="H1138" s="4"/>
      <c r="I1138" s="15"/>
      <c r="J1138" s="4"/>
    </row>
    <row r="1139" ht="14.25" customHeight="1">
      <c r="A1139" s="8" t="s">
        <v>16</v>
      </c>
      <c r="B1139" s="8">
        <v>7.2</v>
      </c>
      <c r="F1139" s="4"/>
      <c r="G1139" s="4"/>
      <c r="H1139" s="4"/>
      <c r="I1139" s="15"/>
      <c r="J1139" s="4"/>
    </row>
    <row r="1140" ht="14.25" customHeight="1">
      <c r="A1140" s="8" t="s">
        <v>16</v>
      </c>
      <c r="B1140" s="8">
        <v>5.9</v>
      </c>
      <c r="F1140" s="4"/>
      <c r="G1140" s="4"/>
      <c r="H1140" s="4"/>
      <c r="I1140" s="15"/>
      <c r="J1140" s="4"/>
    </row>
    <row r="1141" ht="14.25" customHeight="1">
      <c r="A1141" s="8" t="s">
        <v>16</v>
      </c>
      <c r="B1141" s="8">
        <v>7.8</v>
      </c>
      <c r="F1141" s="4"/>
      <c r="G1141" s="4"/>
      <c r="H1141" s="4"/>
      <c r="I1141" s="15"/>
      <c r="J1141" s="4"/>
    </row>
    <row r="1142" ht="14.25" customHeight="1">
      <c r="A1142" s="8" t="s">
        <v>16</v>
      </c>
      <c r="B1142" s="8">
        <v>7.7</v>
      </c>
      <c r="F1142" s="4"/>
      <c r="G1142" s="4"/>
      <c r="H1142" s="4"/>
      <c r="I1142" s="15"/>
      <c r="J1142" s="4"/>
    </row>
    <row r="1143" ht="14.25" customHeight="1">
      <c r="A1143" s="8" t="s">
        <v>16</v>
      </c>
      <c r="B1143" s="8">
        <v>8.1</v>
      </c>
      <c r="F1143" s="4"/>
      <c r="G1143" s="4"/>
      <c r="H1143" s="4"/>
      <c r="I1143" s="15"/>
      <c r="J1143" s="4"/>
    </row>
    <row r="1144" ht="14.25" customHeight="1">
      <c r="A1144" s="8" t="s">
        <v>16</v>
      </c>
      <c r="B1144" s="8">
        <v>6.6</v>
      </c>
      <c r="F1144" s="4"/>
      <c r="G1144" s="4"/>
      <c r="H1144" s="4"/>
      <c r="I1144" s="15"/>
      <c r="J1144" s="4"/>
    </row>
    <row r="1145" ht="14.25" customHeight="1">
      <c r="A1145" s="8" t="s">
        <v>16</v>
      </c>
      <c r="B1145" s="8">
        <v>7.1</v>
      </c>
      <c r="F1145" s="4"/>
      <c r="G1145" s="4"/>
      <c r="H1145" s="4"/>
      <c r="I1145" s="15"/>
      <c r="J1145" s="4"/>
    </row>
    <row r="1146" ht="14.25" customHeight="1">
      <c r="A1146" s="8" t="s">
        <v>16</v>
      </c>
      <c r="B1146" s="8">
        <v>5.9</v>
      </c>
      <c r="F1146" s="4"/>
      <c r="G1146" s="4"/>
      <c r="H1146" s="4"/>
      <c r="I1146" s="15"/>
      <c r="J1146" s="4"/>
    </row>
    <row r="1147" ht="14.25" customHeight="1">
      <c r="A1147" s="8" t="s">
        <v>16</v>
      </c>
      <c r="B1147" s="8">
        <v>8.0</v>
      </c>
      <c r="F1147" s="4"/>
      <c r="G1147" s="4"/>
      <c r="H1147" s="4"/>
      <c r="I1147" s="15"/>
      <c r="J1147" s="4"/>
    </row>
    <row r="1148" ht="14.25" customHeight="1">
      <c r="A1148" s="8" t="s">
        <v>16</v>
      </c>
      <c r="B1148" s="8">
        <v>4.6</v>
      </c>
      <c r="F1148" s="4"/>
      <c r="G1148" s="4"/>
      <c r="H1148" s="4"/>
      <c r="I1148" s="15"/>
      <c r="J1148" s="4"/>
    </row>
    <row r="1149" ht="14.25" customHeight="1">
      <c r="A1149" s="8" t="s">
        <v>16</v>
      </c>
      <c r="B1149" s="8">
        <v>6.1</v>
      </c>
      <c r="F1149" s="4"/>
      <c r="G1149" s="4"/>
      <c r="H1149" s="4"/>
      <c r="I1149" s="15"/>
      <c r="J1149" s="4"/>
    </row>
    <row r="1150" ht="14.25" customHeight="1">
      <c r="A1150" s="8" t="s">
        <v>16</v>
      </c>
      <c r="B1150" s="8">
        <v>6.4</v>
      </c>
      <c r="F1150" s="4"/>
      <c r="G1150" s="4"/>
      <c r="H1150" s="4"/>
      <c r="I1150" s="15"/>
      <c r="J1150" s="4"/>
    </row>
    <row r="1151" ht="14.25" customHeight="1">
      <c r="A1151" s="8" t="s">
        <v>16</v>
      </c>
      <c r="B1151" s="8">
        <v>6.0</v>
      </c>
      <c r="F1151" s="4"/>
      <c r="G1151" s="4"/>
      <c r="H1151" s="4"/>
      <c r="I1151" s="15"/>
      <c r="J1151" s="4"/>
    </row>
    <row r="1152" ht="14.25" customHeight="1">
      <c r="A1152" s="8" t="s">
        <v>16</v>
      </c>
      <c r="B1152" s="8">
        <v>5.2</v>
      </c>
      <c r="F1152" s="4"/>
      <c r="G1152" s="4"/>
      <c r="H1152" s="4"/>
      <c r="I1152" s="15"/>
      <c r="J1152" s="4"/>
    </row>
    <row r="1153" ht="14.25" customHeight="1">
      <c r="A1153" s="8" t="s">
        <v>16</v>
      </c>
      <c r="B1153" s="8">
        <v>7.6</v>
      </c>
      <c r="F1153" s="4"/>
      <c r="G1153" s="4"/>
      <c r="H1153" s="4"/>
      <c r="I1153" s="15"/>
      <c r="J1153" s="4"/>
    </row>
    <row r="1154" ht="14.25" customHeight="1">
      <c r="A1154" s="8" t="s">
        <v>16</v>
      </c>
      <c r="B1154" s="8">
        <v>6.4</v>
      </c>
      <c r="F1154" s="4"/>
      <c r="G1154" s="4"/>
      <c r="H1154" s="4"/>
      <c r="I1154" s="15"/>
      <c r="J1154" s="4"/>
    </row>
    <row r="1155" ht="14.25" customHeight="1">
      <c r="A1155" s="8" t="s">
        <v>16</v>
      </c>
      <c r="B1155" s="8">
        <v>6.1</v>
      </c>
      <c r="F1155" s="4"/>
      <c r="G1155" s="4"/>
      <c r="H1155" s="4"/>
      <c r="I1155" s="15"/>
      <c r="J1155" s="4"/>
    </row>
    <row r="1156" ht="14.25" customHeight="1">
      <c r="A1156" s="8" t="s">
        <v>16</v>
      </c>
      <c r="B1156" s="8">
        <v>6.1</v>
      </c>
      <c r="F1156" s="4"/>
      <c r="G1156" s="4"/>
      <c r="H1156" s="4"/>
      <c r="I1156" s="15"/>
      <c r="J1156" s="4"/>
    </row>
    <row r="1157" ht="14.25" customHeight="1">
      <c r="A1157" s="8" t="s">
        <v>16</v>
      </c>
      <c r="B1157" s="8">
        <v>5.2</v>
      </c>
      <c r="F1157" s="4"/>
      <c r="G1157" s="4"/>
      <c r="H1157" s="4"/>
      <c r="I1157" s="15"/>
      <c r="J1157" s="4"/>
    </row>
    <row r="1158" ht="14.25" customHeight="1">
      <c r="A1158" s="8" t="s">
        <v>16</v>
      </c>
      <c r="B1158" s="8">
        <v>7.7</v>
      </c>
      <c r="F1158" s="4"/>
      <c r="G1158" s="4"/>
      <c r="H1158" s="4"/>
      <c r="I1158" s="15"/>
      <c r="J1158" s="4"/>
    </row>
    <row r="1159" ht="14.25" customHeight="1">
      <c r="A1159" s="8" t="s">
        <v>16</v>
      </c>
      <c r="B1159" s="8">
        <v>7.3</v>
      </c>
      <c r="F1159" s="4"/>
      <c r="G1159" s="4"/>
      <c r="H1159" s="4"/>
      <c r="I1159" s="15"/>
      <c r="J1159" s="4"/>
    </row>
    <row r="1160" ht="14.25" customHeight="1">
      <c r="A1160" s="8" t="s">
        <v>16</v>
      </c>
      <c r="B1160" s="8">
        <v>6.9</v>
      </c>
      <c r="F1160" s="4"/>
      <c r="G1160" s="4"/>
      <c r="H1160" s="4"/>
      <c r="I1160" s="15"/>
      <c r="J1160" s="4"/>
    </row>
    <row r="1161" ht="14.25" customHeight="1">
      <c r="A1161" s="8" t="s">
        <v>16</v>
      </c>
      <c r="B1161" s="8">
        <v>8.5</v>
      </c>
      <c r="F1161" s="4"/>
      <c r="G1161" s="4"/>
      <c r="H1161" s="4"/>
      <c r="I1161" s="15"/>
      <c r="J1161" s="4"/>
    </row>
    <row r="1162" ht="14.25" customHeight="1">
      <c r="A1162" s="8" t="s">
        <v>16</v>
      </c>
      <c r="B1162" s="8">
        <v>6.3</v>
      </c>
      <c r="F1162" s="4"/>
      <c r="G1162" s="4"/>
      <c r="H1162" s="4"/>
      <c r="I1162" s="15"/>
      <c r="J1162" s="4"/>
    </row>
    <row r="1163" ht="14.25" customHeight="1">
      <c r="A1163" s="8" t="s">
        <v>16</v>
      </c>
      <c r="B1163" s="8">
        <v>5.9</v>
      </c>
      <c r="F1163" s="4"/>
      <c r="G1163" s="4"/>
      <c r="H1163" s="4"/>
      <c r="I1163" s="15"/>
      <c r="J1163" s="4"/>
    </row>
    <row r="1164" ht="14.25" customHeight="1">
      <c r="A1164" s="8" t="s">
        <v>2573</v>
      </c>
      <c r="B1164" s="8">
        <v>7.8</v>
      </c>
      <c r="F1164" s="4"/>
      <c r="G1164" s="4"/>
      <c r="H1164" s="4"/>
      <c r="I1164" s="15"/>
      <c r="J1164" s="4"/>
    </row>
    <row r="1165" ht="14.25" customHeight="1">
      <c r="A1165" s="8" t="s">
        <v>16</v>
      </c>
      <c r="B1165" s="8">
        <v>6.7</v>
      </c>
      <c r="F1165" s="4"/>
      <c r="G1165" s="4"/>
      <c r="H1165" s="4"/>
      <c r="I1165" s="15"/>
      <c r="J1165" s="4"/>
    </row>
    <row r="1166" ht="14.25" customHeight="1">
      <c r="A1166" s="8" t="s">
        <v>16</v>
      </c>
      <c r="B1166" s="8">
        <v>6.4</v>
      </c>
      <c r="F1166" s="4"/>
      <c r="G1166" s="4"/>
      <c r="H1166" s="4"/>
      <c r="I1166" s="15"/>
      <c r="J1166" s="4"/>
    </row>
    <row r="1167" ht="14.25" customHeight="1">
      <c r="A1167" s="8" t="s">
        <v>16</v>
      </c>
      <c r="B1167" s="8">
        <v>5.9</v>
      </c>
      <c r="F1167" s="4"/>
      <c r="G1167" s="4"/>
      <c r="H1167" s="4"/>
      <c r="I1167" s="15"/>
      <c r="J1167" s="4"/>
    </row>
    <row r="1168" ht="14.25" customHeight="1">
      <c r="A1168" s="8" t="s">
        <v>16</v>
      </c>
      <c r="B1168" s="8">
        <v>6.6</v>
      </c>
      <c r="F1168" s="4"/>
      <c r="G1168" s="4"/>
      <c r="H1168" s="4"/>
      <c r="I1168" s="15"/>
      <c r="J1168" s="4"/>
    </row>
    <row r="1169" ht="14.25" customHeight="1">
      <c r="A1169" s="8" t="s">
        <v>16</v>
      </c>
      <c r="B1169" s="8">
        <v>6.8</v>
      </c>
      <c r="F1169" s="4"/>
      <c r="G1169" s="4"/>
      <c r="H1169" s="4"/>
      <c r="I1169" s="15"/>
      <c r="J1169" s="4"/>
    </row>
    <row r="1170" ht="14.25" customHeight="1">
      <c r="A1170" s="8" t="s">
        <v>16</v>
      </c>
      <c r="B1170" s="8">
        <v>6.5</v>
      </c>
      <c r="F1170" s="4"/>
      <c r="G1170" s="4"/>
      <c r="H1170" s="4"/>
      <c r="I1170" s="15"/>
      <c r="J1170" s="4"/>
    </row>
    <row r="1171" ht="14.25" customHeight="1">
      <c r="A1171" s="8" t="s">
        <v>16</v>
      </c>
      <c r="B1171" s="8">
        <v>6.6</v>
      </c>
      <c r="F1171" s="4"/>
      <c r="G1171" s="4"/>
      <c r="H1171" s="4"/>
      <c r="I1171" s="15"/>
      <c r="J1171" s="4"/>
    </row>
    <row r="1172" ht="14.25" customHeight="1">
      <c r="A1172" s="8" t="s">
        <v>16</v>
      </c>
      <c r="B1172" s="8">
        <v>5.8</v>
      </c>
      <c r="F1172" s="4"/>
      <c r="G1172" s="4"/>
      <c r="H1172" s="4"/>
      <c r="I1172" s="15"/>
      <c r="J1172" s="4"/>
    </row>
    <row r="1173" ht="14.25" customHeight="1">
      <c r="A1173" s="8" t="s">
        <v>16</v>
      </c>
      <c r="B1173" s="8">
        <v>6.9</v>
      </c>
      <c r="F1173" s="4"/>
      <c r="G1173" s="4"/>
      <c r="H1173" s="4"/>
      <c r="I1173" s="15"/>
      <c r="J1173" s="4"/>
    </row>
    <row r="1174" ht="14.25" customHeight="1">
      <c r="A1174" s="8" t="s">
        <v>16</v>
      </c>
      <c r="B1174" s="8">
        <v>7.1</v>
      </c>
      <c r="F1174" s="4"/>
      <c r="G1174" s="4"/>
      <c r="H1174" s="4"/>
      <c r="I1174" s="15"/>
      <c r="J1174" s="4"/>
    </row>
    <row r="1175" ht="14.25" customHeight="1">
      <c r="A1175" s="8" t="s">
        <v>16</v>
      </c>
      <c r="B1175" s="8">
        <v>5.8</v>
      </c>
      <c r="F1175" s="4"/>
      <c r="G1175" s="4"/>
      <c r="H1175" s="4"/>
      <c r="I1175" s="15"/>
      <c r="J1175" s="4"/>
    </row>
    <row r="1176" ht="14.25" customHeight="1">
      <c r="A1176" s="8" t="s">
        <v>16</v>
      </c>
      <c r="B1176" s="8">
        <v>7.2</v>
      </c>
      <c r="F1176" s="4"/>
      <c r="G1176" s="4"/>
      <c r="H1176" s="4"/>
      <c r="I1176" s="15"/>
      <c r="J1176" s="4"/>
    </row>
    <row r="1177" ht="14.25" customHeight="1">
      <c r="A1177" s="8" t="s">
        <v>16</v>
      </c>
      <c r="B1177" s="8">
        <v>6.0</v>
      </c>
      <c r="F1177" s="4"/>
      <c r="G1177" s="4"/>
      <c r="H1177" s="4"/>
      <c r="I1177" s="15"/>
      <c r="J1177" s="4"/>
    </row>
    <row r="1178" ht="14.25" customHeight="1">
      <c r="A1178" s="8" t="s">
        <v>16</v>
      </c>
      <c r="B1178" s="8">
        <v>4.7</v>
      </c>
      <c r="F1178" s="4"/>
      <c r="G1178" s="4"/>
      <c r="H1178" s="4"/>
      <c r="I1178" s="15"/>
      <c r="J1178" s="4"/>
    </row>
    <row r="1179" ht="14.25" customHeight="1">
      <c r="A1179" s="8" t="s">
        <v>16</v>
      </c>
      <c r="B1179" s="8">
        <v>5.2</v>
      </c>
      <c r="F1179" s="4"/>
      <c r="G1179" s="4"/>
      <c r="H1179" s="4"/>
      <c r="I1179" s="15"/>
      <c r="J1179" s="4"/>
    </row>
    <row r="1180" ht="14.25" customHeight="1">
      <c r="A1180" s="8" t="s">
        <v>16</v>
      </c>
      <c r="B1180" s="8">
        <v>5.5</v>
      </c>
      <c r="F1180" s="4"/>
      <c r="G1180" s="4"/>
      <c r="H1180" s="4"/>
      <c r="I1180" s="15"/>
      <c r="J1180" s="4"/>
    </row>
    <row r="1181" ht="14.25" customHeight="1">
      <c r="A1181" s="8" t="s">
        <v>16</v>
      </c>
      <c r="B1181" s="8">
        <v>7.0</v>
      </c>
      <c r="F1181" s="4"/>
      <c r="G1181" s="4"/>
      <c r="H1181" s="4"/>
      <c r="I1181" s="15"/>
      <c r="J1181" s="4"/>
    </row>
    <row r="1182" ht="14.25" customHeight="1">
      <c r="A1182" s="8" t="s">
        <v>16</v>
      </c>
      <c r="B1182" s="8">
        <v>5.8</v>
      </c>
      <c r="F1182" s="4"/>
      <c r="G1182" s="4"/>
      <c r="H1182" s="4"/>
      <c r="I1182" s="15"/>
      <c r="J1182" s="4"/>
    </row>
    <row r="1183" ht="14.25" customHeight="1">
      <c r="A1183" s="8" t="s">
        <v>16</v>
      </c>
      <c r="B1183" s="8">
        <v>6.2</v>
      </c>
      <c r="F1183" s="4"/>
      <c r="G1183" s="4"/>
      <c r="H1183" s="4"/>
      <c r="I1183" s="15"/>
      <c r="J1183" s="4"/>
    </row>
    <row r="1184" ht="14.25" customHeight="1">
      <c r="A1184" s="8" t="s">
        <v>16</v>
      </c>
      <c r="B1184" s="8">
        <v>6.5</v>
      </c>
      <c r="F1184" s="4"/>
      <c r="G1184" s="4"/>
      <c r="H1184" s="4"/>
      <c r="I1184" s="15"/>
      <c r="J1184" s="4"/>
    </row>
    <row r="1185" ht="14.25" customHeight="1">
      <c r="A1185" s="8" t="s">
        <v>16</v>
      </c>
      <c r="B1185" s="8">
        <v>7.2</v>
      </c>
      <c r="F1185" s="4"/>
      <c r="G1185" s="4"/>
      <c r="H1185" s="4"/>
      <c r="I1185" s="15"/>
      <c r="J1185" s="4"/>
    </row>
    <row r="1186" ht="14.25" customHeight="1">
      <c r="A1186" s="8" t="s">
        <v>16</v>
      </c>
      <c r="B1186" s="8">
        <v>5.1</v>
      </c>
      <c r="F1186" s="4"/>
      <c r="G1186" s="4"/>
      <c r="H1186" s="4"/>
      <c r="I1186" s="15"/>
      <c r="J1186" s="4"/>
    </row>
    <row r="1187" ht="14.25" customHeight="1">
      <c r="A1187" s="8" t="s">
        <v>16</v>
      </c>
      <c r="B1187" s="8">
        <v>4.7</v>
      </c>
      <c r="F1187" s="4"/>
      <c r="G1187" s="4"/>
      <c r="H1187" s="4"/>
      <c r="I1187" s="15"/>
      <c r="J1187" s="4"/>
    </row>
    <row r="1188" ht="14.25" customHeight="1">
      <c r="A1188" s="8" t="s">
        <v>16</v>
      </c>
      <c r="B1188" s="8">
        <v>5.9</v>
      </c>
      <c r="F1188" s="4"/>
      <c r="G1188" s="4"/>
      <c r="H1188" s="4"/>
      <c r="I1188" s="15"/>
      <c r="J1188" s="4"/>
    </row>
    <row r="1189" ht="14.25" customHeight="1">
      <c r="A1189" s="8" t="s">
        <v>16</v>
      </c>
      <c r="B1189" s="8">
        <v>5.8</v>
      </c>
      <c r="F1189" s="4"/>
      <c r="G1189" s="4"/>
      <c r="H1189" s="4"/>
      <c r="I1189" s="15"/>
      <c r="J1189" s="4"/>
    </row>
    <row r="1190" ht="14.25" customHeight="1">
      <c r="A1190" s="8" t="s">
        <v>16</v>
      </c>
      <c r="B1190" s="8">
        <v>7.2</v>
      </c>
      <c r="F1190" s="4"/>
      <c r="G1190" s="4"/>
      <c r="H1190" s="4"/>
      <c r="I1190" s="15"/>
      <c r="J1190" s="4"/>
    </row>
    <row r="1191" ht="14.25" customHeight="1">
      <c r="A1191" s="8" t="s">
        <v>16</v>
      </c>
      <c r="B1191" s="8">
        <v>6.2</v>
      </c>
      <c r="F1191" s="4"/>
      <c r="G1191" s="4"/>
      <c r="H1191" s="4"/>
      <c r="I1191" s="15"/>
      <c r="J1191" s="4"/>
    </row>
    <row r="1192" ht="14.25" customHeight="1">
      <c r="A1192" s="8" t="s">
        <v>16</v>
      </c>
      <c r="B1192" s="8">
        <v>5.7</v>
      </c>
      <c r="F1192" s="4"/>
      <c r="G1192" s="4"/>
      <c r="H1192" s="4"/>
      <c r="I1192" s="15"/>
      <c r="J1192" s="4"/>
    </row>
    <row r="1193" ht="14.25" customHeight="1">
      <c r="A1193" s="8" t="s">
        <v>16</v>
      </c>
      <c r="B1193" s="8">
        <v>6.1</v>
      </c>
      <c r="F1193" s="4"/>
      <c r="G1193" s="4"/>
      <c r="H1193" s="4"/>
      <c r="I1193" s="15"/>
      <c r="J1193" s="4"/>
    </row>
    <row r="1194" ht="14.25" customHeight="1">
      <c r="A1194" s="8" t="s">
        <v>16</v>
      </c>
      <c r="B1194" s="8">
        <v>6.0</v>
      </c>
      <c r="F1194" s="4"/>
      <c r="G1194" s="4"/>
      <c r="H1194" s="4"/>
      <c r="I1194" s="15"/>
      <c r="J1194" s="4"/>
    </row>
    <row r="1195" ht="14.25" customHeight="1">
      <c r="A1195" s="8" t="s">
        <v>16</v>
      </c>
      <c r="B1195" s="8">
        <v>6.9</v>
      </c>
      <c r="F1195" s="4"/>
      <c r="G1195" s="4"/>
      <c r="H1195" s="4"/>
      <c r="I1195" s="15"/>
      <c r="J1195" s="4"/>
    </row>
    <row r="1196" ht="14.25" customHeight="1">
      <c r="A1196" s="8" t="s">
        <v>16</v>
      </c>
      <c r="B1196" s="8">
        <v>6.5</v>
      </c>
      <c r="F1196" s="4"/>
      <c r="G1196" s="4"/>
      <c r="H1196" s="4"/>
      <c r="I1196" s="15"/>
      <c r="J1196" s="4"/>
    </row>
    <row r="1197" ht="14.25" customHeight="1">
      <c r="A1197" s="8" t="s">
        <v>16</v>
      </c>
      <c r="B1197" s="8">
        <v>5.0</v>
      </c>
      <c r="F1197" s="4"/>
      <c r="G1197" s="4"/>
      <c r="H1197" s="4"/>
      <c r="I1197" s="15"/>
      <c r="J1197" s="4"/>
    </row>
    <row r="1198" ht="14.25" customHeight="1">
      <c r="A1198" s="8" t="s">
        <v>16</v>
      </c>
      <c r="B1198" s="8">
        <v>5.7</v>
      </c>
      <c r="F1198" s="4"/>
      <c r="G1198" s="4"/>
      <c r="H1198" s="4"/>
      <c r="I1198" s="15"/>
      <c r="J1198" s="4"/>
    </row>
    <row r="1199" ht="14.25" customHeight="1">
      <c r="A1199" s="8" t="s">
        <v>16</v>
      </c>
      <c r="B1199" s="8">
        <v>7.0</v>
      </c>
      <c r="F1199" s="4"/>
      <c r="G1199" s="4"/>
      <c r="H1199" s="4"/>
      <c r="I1199" s="15"/>
      <c r="J1199" s="4"/>
    </row>
    <row r="1200" ht="14.25" customHeight="1">
      <c r="A1200" s="8" t="s">
        <v>16</v>
      </c>
      <c r="B1200" s="8">
        <v>5.1</v>
      </c>
      <c r="F1200" s="4"/>
      <c r="G1200" s="4"/>
      <c r="H1200" s="4"/>
      <c r="I1200" s="15"/>
      <c r="J1200" s="4"/>
    </row>
    <row r="1201" ht="14.25" customHeight="1">
      <c r="A1201" s="8" t="s">
        <v>16</v>
      </c>
      <c r="B1201" s="8">
        <v>5.3</v>
      </c>
      <c r="F1201" s="4"/>
      <c r="G1201" s="4"/>
      <c r="H1201" s="4"/>
      <c r="I1201" s="15"/>
      <c r="J1201" s="4"/>
    </row>
    <row r="1202" ht="14.25" customHeight="1">
      <c r="A1202" s="8" t="s">
        <v>16</v>
      </c>
      <c r="B1202" s="8">
        <v>4.4</v>
      </c>
      <c r="F1202" s="4"/>
      <c r="G1202" s="4"/>
      <c r="H1202" s="4"/>
      <c r="I1202" s="15"/>
      <c r="J1202" s="4"/>
    </row>
    <row r="1203" ht="14.25" customHeight="1">
      <c r="A1203" s="8" t="s">
        <v>16</v>
      </c>
      <c r="B1203" s="8">
        <v>4.7</v>
      </c>
      <c r="F1203" s="4"/>
      <c r="G1203" s="4"/>
      <c r="H1203" s="4"/>
      <c r="I1203" s="15"/>
      <c r="J1203" s="4"/>
    </row>
    <row r="1204" ht="14.25" customHeight="1">
      <c r="A1204" s="8" t="s">
        <v>16</v>
      </c>
      <c r="B1204" s="8">
        <v>6.7</v>
      </c>
      <c r="F1204" s="4"/>
      <c r="G1204" s="4"/>
      <c r="H1204" s="4"/>
      <c r="I1204" s="15"/>
      <c r="J1204" s="4"/>
    </row>
    <row r="1205" ht="14.25" customHeight="1">
      <c r="A1205" s="8" t="s">
        <v>16</v>
      </c>
      <c r="B1205" s="8">
        <v>6.7</v>
      </c>
      <c r="F1205" s="4"/>
      <c r="G1205" s="4"/>
      <c r="H1205" s="4"/>
      <c r="I1205" s="15"/>
      <c r="J1205" s="4"/>
    </row>
    <row r="1206" ht="14.25" customHeight="1">
      <c r="A1206" s="8" t="s">
        <v>16</v>
      </c>
      <c r="B1206" s="8">
        <v>5.7</v>
      </c>
      <c r="F1206" s="4"/>
      <c r="G1206" s="4"/>
      <c r="H1206" s="4"/>
      <c r="I1206" s="15"/>
      <c r="J1206" s="4"/>
    </row>
    <row r="1207" ht="14.25" customHeight="1">
      <c r="A1207" s="8" t="s">
        <v>16</v>
      </c>
      <c r="B1207" s="8">
        <v>7.4</v>
      </c>
      <c r="F1207" s="4"/>
      <c r="G1207" s="4"/>
      <c r="H1207" s="4"/>
      <c r="I1207" s="15"/>
      <c r="J1207" s="4"/>
    </row>
    <row r="1208" ht="14.25" customHeight="1">
      <c r="A1208" s="8" t="s">
        <v>16</v>
      </c>
      <c r="B1208" s="8">
        <v>6.1</v>
      </c>
      <c r="F1208" s="4"/>
      <c r="G1208" s="4"/>
      <c r="H1208" s="4"/>
      <c r="I1208" s="15"/>
      <c r="J1208" s="4"/>
    </row>
    <row r="1209" ht="14.25" customHeight="1">
      <c r="A1209" s="8" t="s">
        <v>16</v>
      </c>
      <c r="B1209" s="8">
        <v>6.4</v>
      </c>
      <c r="F1209" s="4"/>
      <c r="G1209" s="4"/>
      <c r="H1209" s="4"/>
      <c r="I1209" s="15"/>
      <c r="J1209" s="4"/>
    </row>
    <row r="1210" ht="14.25" customHeight="1">
      <c r="A1210" s="8" t="s">
        <v>16</v>
      </c>
      <c r="B1210" s="8">
        <v>6.2</v>
      </c>
      <c r="F1210" s="4"/>
      <c r="G1210" s="4"/>
      <c r="H1210" s="4"/>
      <c r="I1210" s="15"/>
      <c r="J1210" s="4"/>
    </row>
    <row r="1211" ht="14.25" customHeight="1">
      <c r="A1211" s="8" t="s">
        <v>16</v>
      </c>
      <c r="B1211" s="8">
        <v>6.2</v>
      </c>
      <c r="F1211" s="4"/>
      <c r="G1211" s="4"/>
      <c r="H1211" s="4"/>
      <c r="I1211" s="15"/>
      <c r="J1211" s="4"/>
    </row>
    <row r="1212" ht="14.25" customHeight="1">
      <c r="A1212" s="8" t="s">
        <v>16</v>
      </c>
      <c r="B1212" s="8">
        <v>5.9</v>
      </c>
      <c r="F1212" s="4"/>
      <c r="G1212" s="4"/>
      <c r="H1212" s="4"/>
      <c r="I1212" s="15"/>
      <c r="J1212" s="4"/>
    </row>
    <row r="1213" ht="14.25" customHeight="1">
      <c r="A1213" s="8" t="s">
        <v>16</v>
      </c>
      <c r="B1213" s="8">
        <v>4.0</v>
      </c>
      <c r="F1213" s="4"/>
      <c r="G1213" s="4"/>
      <c r="H1213" s="4"/>
      <c r="I1213" s="15"/>
      <c r="J1213" s="4"/>
    </row>
    <row r="1214" ht="14.25" customHeight="1">
      <c r="A1214" s="8" t="s">
        <v>16</v>
      </c>
      <c r="B1214" s="8">
        <v>6.2</v>
      </c>
      <c r="F1214" s="4"/>
      <c r="G1214" s="4"/>
      <c r="H1214" s="4"/>
      <c r="I1214" s="15"/>
      <c r="J1214" s="4"/>
    </row>
    <row r="1215" ht="14.25" customHeight="1">
      <c r="A1215" s="8" t="s">
        <v>16</v>
      </c>
      <c r="B1215" s="8">
        <v>4.6</v>
      </c>
      <c r="F1215" s="4"/>
      <c r="G1215" s="4"/>
      <c r="H1215" s="4"/>
      <c r="I1215" s="15"/>
      <c r="J1215" s="4"/>
    </row>
    <row r="1216" ht="14.25" customHeight="1">
      <c r="A1216" s="8" t="s">
        <v>16</v>
      </c>
      <c r="B1216" s="8">
        <v>6.4</v>
      </c>
      <c r="F1216" s="4"/>
      <c r="G1216" s="4"/>
      <c r="H1216" s="4"/>
      <c r="I1216" s="15"/>
      <c r="J1216" s="4"/>
    </row>
    <row r="1217" ht="14.25" customHeight="1">
      <c r="A1217" s="8" t="s">
        <v>16</v>
      </c>
      <c r="B1217" s="8">
        <v>5.9</v>
      </c>
      <c r="F1217" s="4"/>
      <c r="G1217" s="4"/>
      <c r="H1217" s="4"/>
      <c r="I1217" s="15"/>
      <c r="J1217" s="4"/>
    </row>
    <row r="1218" ht="14.25" customHeight="1">
      <c r="A1218" s="8" t="s">
        <v>16</v>
      </c>
      <c r="B1218" s="8">
        <v>5.1</v>
      </c>
      <c r="F1218" s="4"/>
      <c r="G1218" s="4"/>
      <c r="H1218" s="4"/>
      <c r="I1218" s="15"/>
      <c r="J1218" s="4"/>
    </row>
    <row r="1219" ht="14.25" customHeight="1">
      <c r="A1219" s="8" t="s">
        <v>16</v>
      </c>
      <c r="B1219" s="8">
        <v>7.6</v>
      </c>
      <c r="F1219" s="4"/>
      <c r="G1219" s="4"/>
      <c r="H1219" s="4"/>
      <c r="I1219" s="15"/>
      <c r="J1219" s="4"/>
    </row>
    <row r="1220" ht="14.25" customHeight="1">
      <c r="A1220" s="8" t="s">
        <v>16</v>
      </c>
      <c r="B1220" s="8">
        <v>4.2</v>
      </c>
      <c r="F1220" s="4"/>
      <c r="G1220" s="4"/>
      <c r="H1220" s="4"/>
      <c r="I1220" s="15"/>
      <c r="J1220" s="4"/>
    </row>
    <row r="1221" ht="14.25" customHeight="1">
      <c r="A1221" s="8" t="s">
        <v>16</v>
      </c>
      <c r="B1221" s="8">
        <v>7.8</v>
      </c>
      <c r="F1221" s="4"/>
      <c r="G1221" s="4"/>
      <c r="H1221" s="4"/>
      <c r="I1221" s="15"/>
      <c r="J1221" s="4"/>
    </row>
    <row r="1222" ht="14.25" customHeight="1">
      <c r="A1222" s="8" t="s">
        <v>16</v>
      </c>
      <c r="B1222" s="8">
        <v>5.8</v>
      </c>
      <c r="F1222" s="4"/>
      <c r="G1222" s="4"/>
      <c r="H1222" s="4"/>
      <c r="I1222" s="15"/>
      <c r="J1222" s="4"/>
    </row>
    <row r="1223" ht="14.25" customHeight="1">
      <c r="A1223" s="8" t="s">
        <v>16</v>
      </c>
      <c r="B1223" s="8">
        <v>5.9</v>
      </c>
      <c r="F1223" s="4"/>
      <c r="G1223" s="4"/>
      <c r="H1223" s="4"/>
      <c r="I1223" s="15"/>
      <c r="J1223" s="4"/>
    </row>
    <row r="1224" ht="14.25" customHeight="1">
      <c r="A1224" s="8" t="s">
        <v>1189</v>
      </c>
      <c r="B1224" s="8">
        <v>8.4</v>
      </c>
      <c r="F1224" s="4"/>
      <c r="G1224" s="4"/>
      <c r="H1224" s="4"/>
      <c r="I1224" s="15"/>
      <c r="J1224" s="4"/>
    </row>
    <row r="1225" ht="14.25" customHeight="1">
      <c r="A1225" s="8" t="s">
        <v>16</v>
      </c>
      <c r="B1225" s="8">
        <v>4.8</v>
      </c>
      <c r="F1225" s="4"/>
      <c r="G1225" s="4"/>
      <c r="H1225" s="4"/>
      <c r="I1225" s="15"/>
      <c r="J1225" s="4"/>
    </row>
    <row r="1226" ht="14.25" customHeight="1">
      <c r="A1226" s="8" t="s">
        <v>16</v>
      </c>
      <c r="B1226" s="8">
        <v>6.2</v>
      </c>
      <c r="F1226" s="4"/>
      <c r="G1226" s="4"/>
      <c r="H1226" s="4"/>
      <c r="I1226" s="15"/>
      <c r="J1226" s="4"/>
    </row>
    <row r="1227" ht="14.25" customHeight="1">
      <c r="A1227" s="8" t="s">
        <v>16</v>
      </c>
      <c r="B1227" s="8">
        <v>6.5</v>
      </c>
      <c r="F1227" s="4"/>
      <c r="G1227" s="4"/>
      <c r="H1227" s="4"/>
      <c r="I1227" s="15"/>
      <c r="J1227" s="4"/>
    </row>
    <row r="1228" ht="14.25" customHeight="1">
      <c r="A1228" s="8" t="s">
        <v>16</v>
      </c>
      <c r="B1228" s="8">
        <v>6.3</v>
      </c>
      <c r="F1228" s="4"/>
      <c r="G1228" s="4"/>
      <c r="H1228" s="4"/>
      <c r="I1228" s="15"/>
      <c r="J1228" s="4"/>
    </row>
    <row r="1229" ht="14.25" customHeight="1">
      <c r="A1229" s="8" t="s">
        <v>16</v>
      </c>
      <c r="B1229" s="8">
        <v>3.3</v>
      </c>
      <c r="F1229" s="4"/>
      <c r="G1229" s="4"/>
      <c r="H1229" s="4"/>
      <c r="I1229" s="15"/>
      <c r="J1229" s="4"/>
    </row>
    <row r="1230" ht="14.25" customHeight="1">
      <c r="A1230" s="8" t="s">
        <v>16</v>
      </c>
      <c r="B1230" s="8">
        <v>5.9</v>
      </c>
      <c r="F1230" s="4"/>
      <c r="G1230" s="4"/>
      <c r="H1230" s="4"/>
      <c r="I1230" s="15"/>
      <c r="J1230" s="4"/>
    </row>
    <row r="1231" ht="14.25" customHeight="1">
      <c r="A1231" s="8" t="s">
        <v>16</v>
      </c>
      <c r="B1231" s="8">
        <v>5.8</v>
      </c>
      <c r="F1231" s="4"/>
      <c r="G1231" s="4"/>
      <c r="H1231" s="4"/>
      <c r="I1231" s="15"/>
      <c r="J1231" s="4"/>
    </row>
    <row r="1232" ht="14.25" customHeight="1">
      <c r="A1232" s="8" t="s">
        <v>16</v>
      </c>
      <c r="B1232" s="8">
        <v>4.7</v>
      </c>
      <c r="F1232" s="4"/>
      <c r="G1232" s="4"/>
      <c r="H1232" s="4"/>
      <c r="I1232" s="15"/>
      <c r="J1232" s="4"/>
    </row>
    <row r="1233" ht="14.25" customHeight="1">
      <c r="A1233" s="8" t="s">
        <v>16</v>
      </c>
      <c r="B1233" s="8">
        <v>4.1</v>
      </c>
      <c r="F1233" s="4"/>
      <c r="G1233" s="4"/>
      <c r="H1233" s="4"/>
      <c r="I1233" s="15"/>
      <c r="J1233" s="4"/>
    </row>
    <row r="1234" ht="14.25" customHeight="1">
      <c r="A1234" s="8" t="s">
        <v>16</v>
      </c>
      <c r="B1234" s="8">
        <v>6.8</v>
      </c>
      <c r="F1234" s="4"/>
      <c r="G1234" s="4"/>
      <c r="H1234" s="4"/>
      <c r="I1234" s="15"/>
      <c r="J1234" s="4"/>
    </row>
    <row r="1235" ht="14.25" customHeight="1">
      <c r="A1235" s="8" t="s">
        <v>16</v>
      </c>
      <c r="B1235" s="8">
        <v>6.2</v>
      </c>
      <c r="F1235" s="4"/>
      <c r="G1235" s="4"/>
      <c r="H1235" s="4"/>
      <c r="I1235" s="15"/>
      <c r="J1235" s="4"/>
    </row>
    <row r="1236" ht="14.25" customHeight="1">
      <c r="A1236" s="8" t="s">
        <v>16</v>
      </c>
      <c r="B1236" s="8">
        <v>4.5</v>
      </c>
      <c r="F1236" s="4"/>
      <c r="G1236" s="4"/>
      <c r="H1236" s="4"/>
      <c r="I1236" s="15"/>
      <c r="J1236" s="4"/>
    </row>
    <row r="1237" ht="14.25" customHeight="1">
      <c r="A1237" s="8" t="s">
        <v>16</v>
      </c>
      <c r="B1237" s="8">
        <v>5.8</v>
      </c>
      <c r="F1237" s="4"/>
      <c r="G1237" s="4"/>
      <c r="H1237" s="4"/>
      <c r="I1237" s="15"/>
      <c r="J1237" s="4"/>
    </row>
    <row r="1238" ht="14.25" customHeight="1">
      <c r="A1238" s="8" t="s">
        <v>16</v>
      </c>
      <c r="B1238" s="8">
        <v>7.3</v>
      </c>
      <c r="F1238" s="4"/>
      <c r="G1238" s="4"/>
      <c r="H1238" s="4"/>
      <c r="I1238" s="15"/>
      <c r="J1238" s="4"/>
    </row>
    <row r="1239" ht="14.25" customHeight="1">
      <c r="A1239" s="8" t="s">
        <v>16</v>
      </c>
      <c r="B1239" s="8">
        <v>5.9</v>
      </c>
      <c r="F1239" s="4"/>
      <c r="G1239" s="4"/>
      <c r="H1239" s="4"/>
      <c r="I1239" s="15"/>
      <c r="J1239" s="4"/>
    </row>
    <row r="1240" ht="14.25" customHeight="1">
      <c r="A1240" s="8" t="s">
        <v>16</v>
      </c>
      <c r="B1240" s="8">
        <v>4.4</v>
      </c>
      <c r="F1240" s="4"/>
      <c r="G1240" s="4"/>
      <c r="H1240" s="4"/>
      <c r="I1240" s="15"/>
      <c r="J1240" s="4"/>
    </row>
    <row r="1241" ht="14.25" customHeight="1">
      <c r="A1241" s="8" t="s">
        <v>16</v>
      </c>
      <c r="B1241" s="8">
        <v>5.8</v>
      </c>
      <c r="F1241" s="4"/>
      <c r="G1241" s="4"/>
      <c r="H1241" s="4"/>
      <c r="I1241" s="15"/>
      <c r="J1241" s="4"/>
    </row>
    <row r="1242" ht="14.25" customHeight="1">
      <c r="A1242" s="8" t="s">
        <v>16</v>
      </c>
      <c r="B1242" s="8">
        <v>5.1</v>
      </c>
      <c r="F1242" s="4"/>
      <c r="G1242" s="4"/>
      <c r="H1242" s="4"/>
      <c r="I1242" s="15"/>
      <c r="J1242" s="4"/>
    </row>
    <row r="1243" ht="14.25" customHeight="1">
      <c r="A1243" s="8" t="s">
        <v>16</v>
      </c>
      <c r="B1243" s="8">
        <v>6.9</v>
      </c>
      <c r="F1243" s="4"/>
      <c r="G1243" s="4"/>
      <c r="H1243" s="4"/>
      <c r="I1243" s="15"/>
      <c r="J1243" s="4"/>
    </row>
    <row r="1244" ht="14.25" customHeight="1">
      <c r="A1244" s="8" t="s">
        <v>16</v>
      </c>
      <c r="B1244" s="8">
        <v>6.2</v>
      </c>
      <c r="F1244" s="4"/>
      <c r="G1244" s="4"/>
      <c r="H1244" s="4"/>
      <c r="I1244" s="15"/>
      <c r="J1244" s="4"/>
    </row>
    <row r="1245" ht="14.25" customHeight="1">
      <c r="A1245" s="8" t="s">
        <v>16</v>
      </c>
      <c r="B1245" s="8">
        <v>6.9</v>
      </c>
      <c r="F1245" s="4"/>
      <c r="G1245" s="4"/>
      <c r="H1245" s="4"/>
      <c r="I1245" s="15"/>
      <c r="J1245" s="4"/>
    </row>
    <row r="1246" ht="14.25" customHeight="1">
      <c r="A1246" s="8" t="s">
        <v>16</v>
      </c>
      <c r="B1246" s="8">
        <v>7.3</v>
      </c>
      <c r="F1246" s="4"/>
      <c r="G1246" s="4"/>
      <c r="H1246" s="4"/>
      <c r="I1246" s="15"/>
      <c r="J1246" s="4"/>
    </row>
    <row r="1247" ht="14.25" customHeight="1">
      <c r="A1247" s="8" t="s">
        <v>816</v>
      </c>
      <c r="B1247" s="8">
        <v>7.1</v>
      </c>
      <c r="F1247" s="4"/>
      <c r="G1247" s="4"/>
      <c r="H1247" s="4"/>
      <c r="I1247" s="15"/>
      <c r="J1247" s="4"/>
    </row>
    <row r="1248" ht="14.25" customHeight="1">
      <c r="A1248" s="8" t="s">
        <v>2749</v>
      </c>
      <c r="B1248" s="8">
        <v>6.0</v>
      </c>
      <c r="F1248" s="4"/>
      <c r="G1248" s="4"/>
      <c r="H1248" s="4"/>
      <c r="I1248" s="15"/>
      <c r="J1248" s="4"/>
    </row>
    <row r="1249" ht="14.25" customHeight="1">
      <c r="A1249" s="8" t="s">
        <v>16</v>
      </c>
      <c r="B1249" s="8">
        <v>7.0</v>
      </c>
      <c r="F1249" s="4"/>
      <c r="G1249" s="4"/>
      <c r="H1249" s="4"/>
      <c r="I1249" s="15"/>
      <c r="J1249" s="4"/>
    </row>
    <row r="1250" ht="14.25" customHeight="1">
      <c r="A1250" s="8" t="s">
        <v>16</v>
      </c>
      <c r="B1250" s="8">
        <v>7.6</v>
      </c>
      <c r="F1250" s="4"/>
      <c r="G1250" s="4"/>
      <c r="H1250" s="4"/>
      <c r="I1250" s="15"/>
      <c r="J1250" s="4"/>
    </row>
    <row r="1251" ht="14.25" customHeight="1">
      <c r="A1251" s="8" t="s">
        <v>2758</v>
      </c>
      <c r="B1251" s="8">
        <v>8.4</v>
      </c>
      <c r="F1251" s="4"/>
      <c r="G1251" s="4"/>
      <c r="H1251" s="4"/>
      <c r="I1251" s="15"/>
      <c r="J1251" s="4"/>
    </row>
    <row r="1252" ht="14.25" customHeight="1">
      <c r="A1252" s="8" t="s">
        <v>16</v>
      </c>
      <c r="B1252" s="8">
        <v>7.1</v>
      </c>
      <c r="F1252" s="4"/>
      <c r="G1252" s="4"/>
      <c r="H1252" s="4"/>
      <c r="I1252" s="15"/>
      <c r="J1252" s="4"/>
    </row>
    <row r="1253" ht="14.25" customHeight="1">
      <c r="A1253" s="8" t="s">
        <v>16</v>
      </c>
      <c r="B1253" s="8">
        <v>6.7</v>
      </c>
      <c r="F1253" s="4"/>
      <c r="G1253" s="4"/>
      <c r="H1253" s="4"/>
      <c r="I1253" s="15"/>
      <c r="J1253" s="4"/>
    </row>
    <row r="1254" ht="14.25" customHeight="1">
      <c r="A1254" s="8" t="s">
        <v>16</v>
      </c>
      <c r="B1254" s="8">
        <v>7.0</v>
      </c>
      <c r="F1254" s="4"/>
      <c r="G1254" s="4"/>
      <c r="H1254" s="4"/>
      <c r="I1254" s="15"/>
      <c r="J1254" s="4"/>
    </row>
    <row r="1255" ht="14.25" customHeight="1">
      <c r="A1255" s="8" t="s">
        <v>16</v>
      </c>
      <c r="B1255" s="8">
        <v>8.0</v>
      </c>
      <c r="F1255" s="4"/>
      <c r="G1255" s="4"/>
      <c r="H1255" s="4"/>
      <c r="I1255" s="15"/>
      <c r="J1255" s="4"/>
    </row>
    <row r="1256" ht="14.25" customHeight="1">
      <c r="A1256" s="8" t="s">
        <v>16</v>
      </c>
      <c r="B1256" s="8">
        <v>5.3</v>
      </c>
      <c r="F1256" s="4"/>
      <c r="G1256" s="4"/>
      <c r="H1256" s="4"/>
      <c r="I1256" s="15"/>
      <c r="J1256" s="4"/>
    </row>
    <row r="1257" ht="14.25" customHeight="1">
      <c r="A1257" s="8" t="s">
        <v>16</v>
      </c>
      <c r="B1257" s="8">
        <v>4.9</v>
      </c>
      <c r="F1257" s="4"/>
      <c r="G1257" s="4"/>
      <c r="H1257" s="4"/>
      <c r="I1257" s="15"/>
      <c r="J1257" s="4"/>
    </row>
    <row r="1258" ht="14.25" customHeight="1">
      <c r="A1258" s="8" t="s">
        <v>16</v>
      </c>
      <c r="B1258" s="8">
        <v>6.4</v>
      </c>
      <c r="F1258" s="4"/>
      <c r="G1258" s="4"/>
      <c r="H1258" s="4"/>
      <c r="I1258" s="15"/>
      <c r="J1258" s="4"/>
    </row>
    <row r="1259" ht="14.25" customHeight="1">
      <c r="A1259" s="8" t="s">
        <v>816</v>
      </c>
      <c r="B1259" s="8">
        <v>7.4</v>
      </c>
      <c r="F1259" s="4"/>
      <c r="G1259" s="4"/>
      <c r="H1259" s="4"/>
      <c r="I1259" s="15"/>
      <c r="J1259" s="4"/>
    </row>
    <row r="1260" ht="14.25" customHeight="1">
      <c r="A1260" s="8" t="s">
        <v>16</v>
      </c>
      <c r="B1260" s="8">
        <v>6.1</v>
      </c>
      <c r="F1260" s="4"/>
      <c r="G1260" s="4"/>
      <c r="H1260" s="4"/>
      <c r="I1260" s="15"/>
      <c r="J1260" s="4"/>
    </row>
    <row r="1261" ht="14.25" customHeight="1">
      <c r="A1261" s="8" t="s">
        <v>16</v>
      </c>
      <c r="B1261" s="8">
        <v>6.5</v>
      </c>
      <c r="F1261" s="4"/>
      <c r="G1261" s="4"/>
      <c r="H1261" s="4"/>
      <c r="I1261" s="15"/>
      <c r="J1261" s="4"/>
    </row>
    <row r="1262" ht="14.25" customHeight="1">
      <c r="A1262" s="8" t="s">
        <v>16</v>
      </c>
      <c r="B1262" s="8">
        <v>5.7</v>
      </c>
      <c r="F1262" s="4"/>
      <c r="G1262" s="4"/>
      <c r="H1262" s="4"/>
      <c r="I1262" s="15"/>
      <c r="J1262" s="4"/>
    </row>
    <row r="1263" ht="14.25" customHeight="1">
      <c r="A1263" s="8" t="s">
        <v>16</v>
      </c>
      <c r="B1263" s="8">
        <v>5.1</v>
      </c>
      <c r="F1263" s="4"/>
      <c r="G1263" s="4"/>
      <c r="H1263" s="4"/>
      <c r="I1263" s="15"/>
      <c r="J1263" s="4"/>
    </row>
    <row r="1264" ht="14.25" customHeight="1">
      <c r="A1264" s="8" t="s">
        <v>16</v>
      </c>
      <c r="B1264" s="8">
        <v>6.6</v>
      </c>
      <c r="F1264" s="4"/>
      <c r="G1264" s="4"/>
      <c r="H1264" s="4"/>
      <c r="I1264" s="15"/>
      <c r="J1264" s="4"/>
    </row>
    <row r="1265" ht="14.25" customHeight="1">
      <c r="A1265" s="8" t="s">
        <v>816</v>
      </c>
      <c r="B1265" s="8">
        <v>6.5</v>
      </c>
      <c r="F1265" s="4"/>
      <c r="G1265" s="4"/>
      <c r="H1265" s="4"/>
      <c r="I1265" s="15"/>
      <c r="J1265" s="4"/>
    </row>
    <row r="1266" ht="14.25" customHeight="1">
      <c r="A1266" s="8" t="s">
        <v>16</v>
      </c>
      <c r="B1266" s="8">
        <v>6.9</v>
      </c>
      <c r="F1266" s="4"/>
      <c r="G1266" s="4"/>
      <c r="H1266" s="4"/>
      <c r="I1266" s="15"/>
      <c r="J1266" s="4"/>
    </row>
    <row r="1267" ht="14.25" customHeight="1">
      <c r="A1267" s="8" t="s">
        <v>16</v>
      </c>
      <c r="B1267" s="8">
        <v>7.6</v>
      </c>
      <c r="F1267" s="4"/>
      <c r="G1267" s="4"/>
      <c r="H1267" s="4"/>
      <c r="I1267" s="15"/>
      <c r="J1267" s="4"/>
    </row>
    <row r="1268" ht="14.25" customHeight="1">
      <c r="A1268" s="8" t="s">
        <v>16</v>
      </c>
      <c r="B1268" s="8">
        <v>5.6</v>
      </c>
      <c r="F1268" s="4"/>
      <c r="G1268" s="4"/>
      <c r="H1268" s="4"/>
      <c r="I1268" s="15"/>
      <c r="J1268" s="4"/>
    </row>
    <row r="1269" ht="14.25" customHeight="1">
      <c r="A1269" s="8" t="s">
        <v>16</v>
      </c>
      <c r="B1269" s="8">
        <v>6.2</v>
      </c>
      <c r="F1269" s="4"/>
      <c r="G1269" s="4"/>
      <c r="H1269" s="4"/>
      <c r="I1269" s="15"/>
      <c r="J1269" s="4"/>
    </row>
    <row r="1270" ht="14.25" customHeight="1">
      <c r="A1270" s="8" t="s">
        <v>16</v>
      </c>
      <c r="B1270" s="8">
        <v>4.4</v>
      </c>
      <c r="F1270" s="4"/>
      <c r="G1270" s="4"/>
      <c r="H1270" s="4"/>
      <c r="I1270" s="15"/>
      <c r="J1270" s="4"/>
    </row>
    <row r="1271" ht="14.25" customHeight="1">
      <c r="A1271" s="8" t="s">
        <v>16</v>
      </c>
      <c r="B1271" s="8">
        <v>5.6</v>
      </c>
      <c r="F1271" s="4"/>
      <c r="G1271" s="4"/>
      <c r="H1271" s="4"/>
      <c r="I1271" s="15"/>
      <c r="J1271" s="4"/>
    </row>
    <row r="1272" ht="14.25" customHeight="1">
      <c r="A1272" s="8" t="s">
        <v>16</v>
      </c>
      <c r="B1272" s="8">
        <v>5.5</v>
      </c>
      <c r="F1272" s="4"/>
      <c r="G1272" s="4"/>
      <c r="H1272" s="4"/>
      <c r="I1272" s="15"/>
      <c r="J1272" s="4"/>
    </row>
    <row r="1273" ht="14.25" customHeight="1">
      <c r="A1273" s="8" t="s">
        <v>16</v>
      </c>
      <c r="B1273" s="8">
        <v>6.7</v>
      </c>
      <c r="F1273" s="4"/>
      <c r="G1273" s="4"/>
      <c r="H1273" s="4"/>
      <c r="I1273" s="15"/>
      <c r="J1273" s="4"/>
    </row>
    <row r="1274" ht="14.25" customHeight="1">
      <c r="A1274" s="8" t="s">
        <v>16</v>
      </c>
      <c r="B1274" s="8">
        <v>6.1</v>
      </c>
      <c r="F1274" s="4"/>
      <c r="G1274" s="4"/>
      <c r="H1274" s="4"/>
      <c r="I1274" s="15"/>
      <c r="J1274" s="4"/>
    </row>
    <row r="1275" ht="14.25" customHeight="1">
      <c r="A1275" s="8" t="s">
        <v>16</v>
      </c>
      <c r="B1275" s="8">
        <v>6.2</v>
      </c>
      <c r="F1275" s="4"/>
      <c r="G1275" s="4"/>
      <c r="H1275" s="4"/>
      <c r="I1275" s="15"/>
      <c r="J1275" s="4"/>
    </row>
    <row r="1276" ht="14.25" customHeight="1">
      <c r="A1276" s="8" t="s">
        <v>16</v>
      </c>
      <c r="B1276" s="8">
        <v>7.3</v>
      </c>
      <c r="F1276" s="4"/>
      <c r="G1276" s="4"/>
      <c r="H1276" s="4"/>
      <c r="I1276" s="15"/>
      <c r="J1276" s="4"/>
    </row>
    <row r="1277" ht="14.25" customHeight="1">
      <c r="A1277" s="8" t="s">
        <v>16</v>
      </c>
      <c r="B1277" s="8">
        <v>6.6</v>
      </c>
      <c r="F1277" s="4"/>
      <c r="G1277" s="4"/>
      <c r="H1277" s="4"/>
      <c r="I1277" s="15"/>
      <c r="J1277" s="4"/>
    </row>
    <row r="1278" ht="14.25" customHeight="1">
      <c r="A1278" s="8" t="s">
        <v>16</v>
      </c>
      <c r="B1278" s="8">
        <v>8.2</v>
      </c>
      <c r="F1278" s="4"/>
      <c r="G1278" s="4"/>
      <c r="H1278" s="4"/>
      <c r="I1278" s="15"/>
      <c r="J1278" s="4"/>
    </row>
    <row r="1279" ht="14.25" customHeight="1">
      <c r="A1279" s="8" t="s">
        <v>16</v>
      </c>
      <c r="B1279" s="8">
        <v>6.4</v>
      </c>
      <c r="F1279" s="4"/>
      <c r="G1279" s="4"/>
      <c r="H1279" s="4"/>
      <c r="I1279" s="15"/>
      <c r="J1279" s="4"/>
    </row>
    <row r="1280" ht="14.25" customHeight="1">
      <c r="A1280" s="8" t="s">
        <v>16</v>
      </c>
      <c r="B1280" s="8">
        <v>6.4</v>
      </c>
      <c r="F1280" s="4"/>
      <c r="G1280" s="4"/>
      <c r="H1280" s="4"/>
      <c r="I1280" s="15"/>
      <c r="J1280" s="4"/>
    </row>
    <row r="1281" ht="14.25" customHeight="1">
      <c r="A1281" s="8" t="s">
        <v>16</v>
      </c>
      <c r="B1281" s="8">
        <v>5.2</v>
      </c>
      <c r="F1281" s="4"/>
      <c r="G1281" s="4"/>
      <c r="H1281" s="4"/>
      <c r="I1281" s="15"/>
      <c r="J1281" s="4"/>
    </row>
    <row r="1282" ht="14.25" customHeight="1">
      <c r="A1282" s="8" t="s">
        <v>16</v>
      </c>
      <c r="B1282" s="8">
        <v>6.5</v>
      </c>
      <c r="F1282" s="4"/>
      <c r="G1282" s="4"/>
      <c r="H1282" s="4"/>
      <c r="I1282" s="15"/>
      <c r="J1282" s="4"/>
    </row>
    <row r="1283" ht="14.25" customHeight="1">
      <c r="A1283" s="8" t="s">
        <v>16</v>
      </c>
      <c r="B1283" s="8">
        <v>7.1</v>
      </c>
      <c r="F1283" s="4"/>
      <c r="G1283" s="4"/>
      <c r="H1283" s="4"/>
      <c r="I1283" s="15"/>
      <c r="J1283" s="4"/>
    </row>
    <row r="1284" ht="14.25" customHeight="1">
      <c r="A1284" s="8" t="s">
        <v>16</v>
      </c>
      <c r="B1284" s="8">
        <v>7.3</v>
      </c>
      <c r="F1284" s="4"/>
      <c r="G1284" s="4"/>
      <c r="H1284" s="4"/>
      <c r="I1284" s="15"/>
      <c r="J1284" s="4"/>
    </row>
    <row r="1285" ht="14.25" customHeight="1">
      <c r="A1285" s="8" t="s">
        <v>16</v>
      </c>
      <c r="B1285" s="8">
        <v>5.2</v>
      </c>
      <c r="F1285" s="4"/>
      <c r="G1285" s="4"/>
      <c r="H1285" s="4"/>
      <c r="I1285" s="15"/>
      <c r="J1285" s="4"/>
    </row>
    <row r="1286" ht="14.25" customHeight="1">
      <c r="A1286" s="8" t="s">
        <v>16</v>
      </c>
      <c r="B1286" s="8">
        <v>7.7</v>
      </c>
      <c r="F1286" s="4"/>
      <c r="G1286" s="4"/>
      <c r="H1286" s="4"/>
      <c r="I1286" s="15"/>
      <c r="J1286" s="4"/>
    </row>
    <row r="1287" ht="14.25" customHeight="1">
      <c r="A1287" s="8" t="s">
        <v>16</v>
      </c>
      <c r="B1287" s="8">
        <v>7.6</v>
      </c>
      <c r="F1287" s="4"/>
      <c r="G1287" s="4"/>
      <c r="H1287" s="4"/>
      <c r="I1287" s="15"/>
      <c r="J1287" s="4"/>
    </row>
    <row r="1288" ht="14.25" customHeight="1">
      <c r="A1288" s="8" t="s">
        <v>16</v>
      </c>
      <c r="B1288" s="8">
        <v>5.7</v>
      </c>
      <c r="F1288" s="4"/>
      <c r="G1288" s="4"/>
      <c r="H1288" s="4"/>
      <c r="I1288" s="15"/>
      <c r="J1288" s="4"/>
    </row>
    <row r="1289" ht="14.25" customHeight="1">
      <c r="A1289" s="8" t="s">
        <v>16</v>
      </c>
      <c r="B1289" s="8">
        <v>7.0</v>
      </c>
      <c r="F1289" s="4"/>
      <c r="G1289" s="4"/>
      <c r="H1289" s="4"/>
      <c r="I1289" s="15"/>
      <c r="J1289" s="4"/>
    </row>
    <row r="1290" ht="14.25" customHeight="1">
      <c r="A1290" s="8" t="s">
        <v>16</v>
      </c>
      <c r="B1290" s="8">
        <v>6.0</v>
      </c>
      <c r="F1290" s="4"/>
      <c r="G1290" s="4"/>
      <c r="H1290" s="4"/>
      <c r="I1290" s="15"/>
      <c r="J1290" s="4"/>
    </row>
    <row r="1291" ht="14.25" customHeight="1">
      <c r="A1291" s="8" t="s">
        <v>16</v>
      </c>
      <c r="B1291" s="8">
        <v>8.1</v>
      </c>
      <c r="F1291" s="4"/>
      <c r="G1291" s="4"/>
      <c r="H1291" s="4"/>
      <c r="I1291" s="15"/>
      <c r="J1291" s="4"/>
    </row>
    <row r="1292" ht="14.25" customHeight="1">
      <c r="A1292" s="8" t="s">
        <v>16</v>
      </c>
      <c r="B1292" s="8">
        <v>8.0</v>
      </c>
      <c r="F1292" s="4"/>
      <c r="G1292" s="4"/>
      <c r="H1292" s="4"/>
      <c r="I1292" s="15"/>
      <c r="J1292" s="4"/>
    </row>
    <row r="1293" ht="14.25" customHeight="1">
      <c r="A1293" s="8" t="s">
        <v>16</v>
      </c>
      <c r="B1293" s="8">
        <v>5.6</v>
      </c>
      <c r="F1293" s="4"/>
      <c r="G1293" s="4"/>
      <c r="H1293" s="4"/>
      <c r="I1293" s="15"/>
      <c r="J1293" s="4"/>
    </row>
    <row r="1294" ht="14.25" customHeight="1">
      <c r="A1294" s="8" t="s">
        <v>16</v>
      </c>
      <c r="B1294" s="8">
        <v>6.1</v>
      </c>
      <c r="F1294" s="4"/>
      <c r="G1294" s="4"/>
      <c r="H1294" s="4"/>
      <c r="I1294" s="15"/>
      <c r="J1294" s="4"/>
    </row>
    <row r="1295" ht="14.25" customHeight="1">
      <c r="A1295" s="8" t="s">
        <v>16</v>
      </c>
      <c r="B1295" s="8">
        <v>6.9</v>
      </c>
      <c r="F1295" s="4"/>
      <c r="G1295" s="4"/>
      <c r="H1295" s="4"/>
      <c r="I1295" s="15"/>
      <c r="J1295" s="4"/>
    </row>
    <row r="1296" ht="14.25" customHeight="1">
      <c r="A1296" s="8" t="s">
        <v>16</v>
      </c>
      <c r="B1296" s="8">
        <v>5.2</v>
      </c>
      <c r="F1296" s="4"/>
      <c r="G1296" s="4"/>
      <c r="H1296" s="4"/>
      <c r="I1296" s="15"/>
      <c r="J1296" s="4"/>
    </row>
    <row r="1297" ht="14.25" customHeight="1">
      <c r="A1297" s="8" t="s">
        <v>16</v>
      </c>
      <c r="B1297" s="8">
        <v>7.0</v>
      </c>
      <c r="F1297" s="4"/>
      <c r="G1297" s="4"/>
      <c r="H1297" s="4"/>
      <c r="I1297" s="15"/>
      <c r="J1297" s="4"/>
    </row>
    <row r="1298" ht="14.25" customHeight="1">
      <c r="A1298" s="8" t="s">
        <v>16</v>
      </c>
      <c r="B1298" s="8">
        <v>6.3</v>
      </c>
      <c r="F1298" s="4"/>
      <c r="G1298" s="4"/>
      <c r="H1298" s="4"/>
      <c r="I1298" s="15"/>
      <c r="J1298" s="4"/>
    </row>
    <row r="1299" ht="14.25" customHeight="1">
      <c r="A1299" s="8" t="s">
        <v>16</v>
      </c>
      <c r="B1299" s="8">
        <v>7.0</v>
      </c>
      <c r="F1299" s="4"/>
      <c r="G1299" s="4"/>
      <c r="H1299" s="4"/>
      <c r="I1299" s="15"/>
      <c r="J1299" s="4"/>
    </row>
    <row r="1300" ht="14.25" customHeight="1">
      <c r="A1300" s="8" t="s">
        <v>16</v>
      </c>
      <c r="B1300" s="8">
        <v>6.9</v>
      </c>
      <c r="F1300" s="4"/>
      <c r="G1300" s="4"/>
      <c r="H1300" s="4"/>
      <c r="I1300" s="15"/>
      <c r="J1300" s="4"/>
    </row>
    <row r="1301" ht="14.25" customHeight="1">
      <c r="A1301" s="8" t="s">
        <v>16</v>
      </c>
      <c r="B1301" s="8">
        <v>6.2</v>
      </c>
      <c r="F1301" s="4"/>
      <c r="G1301" s="4"/>
      <c r="H1301" s="4"/>
      <c r="I1301" s="15"/>
      <c r="J1301" s="4"/>
    </row>
    <row r="1302" ht="14.25" customHeight="1">
      <c r="A1302" s="8" t="s">
        <v>16</v>
      </c>
      <c r="B1302" s="8">
        <v>6.4</v>
      </c>
      <c r="F1302" s="4"/>
      <c r="G1302" s="4"/>
      <c r="H1302" s="4"/>
      <c r="I1302" s="15"/>
      <c r="J1302" s="4"/>
    </row>
    <row r="1303" ht="14.25" customHeight="1">
      <c r="A1303" s="8" t="s">
        <v>16</v>
      </c>
      <c r="B1303" s="8">
        <v>6.4</v>
      </c>
      <c r="F1303" s="4"/>
      <c r="G1303" s="4"/>
      <c r="H1303" s="4"/>
      <c r="I1303" s="15"/>
      <c r="J1303" s="4"/>
    </row>
    <row r="1304" ht="14.25" customHeight="1">
      <c r="A1304" s="8" t="s">
        <v>16</v>
      </c>
      <c r="B1304" s="8">
        <v>5.7</v>
      </c>
      <c r="F1304" s="4"/>
      <c r="G1304" s="4"/>
      <c r="H1304" s="4"/>
      <c r="I1304" s="15"/>
      <c r="J1304" s="4"/>
    </row>
    <row r="1305" ht="14.25" customHeight="1">
      <c r="A1305" s="8" t="s">
        <v>16</v>
      </c>
      <c r="B1305" s="8">
        <v>6.1</v>
      </c>
      <c r="F1305" s="4"/>
      <c r="G1305" s="4"/>
      <c r="H1305" s="4"/>
      <c r="I1305" s="15"/>
      <c r="J1305" s="4"/>
    </row>
    <row r="1306" ht="14.25" customHeight="1">
      <c r="A1306" s="8" t="s">
        <v>16</v>
      </c>
      <c r="B1306" s="8">
        <v>5.4</v>
      </c>
      <c r="F1306" s="4"/>
      <c r="G1306" s="4"/>
      <c r="H1306" s="4"/>
      <c r="I1306" s="15"/>
      <c r="J1306" s="4"/>
    </row>
    <row r="1307" ht="14.25" customHeight="1">
      <c r="A1307" s="8" t="s">
        <v>16</v>
      </c>
      <c r="B1307" s="8">
        <v>6.7</v>
      </c>
      <c r="F1307" s="4"/>
      <c r="G1307" s="4"/>
      <c r="H1307" s="4"/>
      <c r="I1307" s="15"/>
      <c r="J1307" s="4"/>
    </row>
    <row r="1308" ht="14.25" customHeight="1">
      <c r="A1308" s="8" t="s">
        <v>16</v>
      </c>
      <c r="B1308" s="8">
        <v>6.8</v>
      </c>
      <c r="F1308" s="4"/>
      <c r="G1308" s="4"/>
      <c r="H1308" s="4"/>
      <c r="I1308" s="15"/>
      <c r="J1308" s="4"/>
    </row>
    <row r="1309" ht="14.25" customHeight="1">
      <c r="A1309" s="8" t="s">
        <v>16</v>
      </c>
      <c r="B1309" s="8">
        <v>6.0</v>
      </c>
      <c r="F1309" s="4"/>
      <c r="G1309" s="4"/>
      <c r="H1309" s="4"/>
      <c r="I1309" s="15"/>
      <c r="J1309" s="4"/>
    </row>
    <row r="1310" ht="14.25" customHeight="1">
      <c r="A1310" s="8" t="s">
        <v>16</v>
      </c>
      <c r="B1310" s="8">
        <v>7.8</v>
      </c>
      <c r="F1310" s="4"/>
      <c r="G1310" s="4"/>
      <c r="H1310" s="4"/>
      <c r="I1310" s="15"/>
      <c r="J1310" s="4"/>
    </row>
    <row r="1311" ht="14.25" customHeight="1">
      <c r="A1311" s="8" t="s">
        <v>16</v>
      </c>
      <c r="B1311" s="8">
        <v>5.3</v>
      </c>
      <c r="F1311" s="4"/>
      <c r="G1311" s="4"/>
      <c r="H1311" s="4"/>
      <c r="I1311" s="15"/>
      <c r="J1311" s="4"/>
    </row>
    <row r="1312" ht="14.25" customHeight="1">
      <c r="A1312" s="8" t="s">
        <v>16</v>
      </c>
      <c r="B1312" s="8">
        <v>4.5</v>
      </c>
      <c r="F1312" s="4"/>
      <c r="G1312" s="4"/>
      <c r="H1312" s="4"/>
      <c r="I1312" s="15"/>
      <c r="J1312" s="4"/>
    </row>
    <row r="1313" ht="14.25" customHeight="1">
      <c r="A1313" s="8" t="s">
        <v>16</v>
      </c>
      <c r="B1313" s="8">
        <v>5.4</v>
      </c>
      <c r="F1313" s="4"/>
      <c r="G1313" s="4"/>
      <c r="H1313" s="4"/>
      <c r="I1313" s="15"/>
      <c r="J1313" s="4"/>
    </row>
    <row r="1314" ht="14.25" customHeight="1">
      <c r="A1314" s="8" t="s">
        <v>16</v>
      </c>
      <c r="B1314" s="8">
        <v>7.8</v>
      </c>
      <c r="F1314" s="4"/>
      <c r="G1314" s="4"/>
      <c r="H1314" s="4"/>
      <c r="I1314" s="15"/>
      <c r="J1314" s="4"/>
    </row>
    <row r="1315" ht="14.25" customHeight="1">
      <c r="A1315" s="8" t="s">
        <v>2884</v>
      </c>
      <c r="B1315" s="8">
        <v>7.2</v>
      </c>
      <c r="F1315" s="4"/>
      <c r="G1315" s="4"/>
      <c r="H1315" s="4"/>
      <c r="I1315" s="15"/>
      <c r="J1315" s="4"/>
    </row>
    <row r="1316" ht="14.25" customHeight="1">
      <c r="A1316" s="8" t="s">
        <v>16</v>
      </c>
      <c r="B1316" s="8">
        <v>6.6</v>
      </c>
      <c r="F1316" s="4"/>
      <c r="G1316" s="4"/>
      <c r="H1316" s="4"/>
      <c r="I1316" s="15"/>
      <c r="J1316" s="4"/>
    </row>
    <row r="1317" ht="14.25" customHeight="1">
      <c r="A1317" s="8" t="s">
        <v>16</v>
      </c>
      <c r="B1317" s="8">
        <v>7.6</v>
      </c>
      <c r="F1317" s="4"/>
      <c r="G1317" s="4"/>
      <c r="H1317" s="4"/>
      <c r="I1317" s="15"/>
      <c r="J1317" s="4"/>
    </row>
    <row r="1318" ht="14.25" customHeight="1">
      <c r="A1318" s="8" t="s">
        <v>16</v>
      </c>
      <c r="B1318" s="8">
        <v>5.9</v>
      </c>
      <c r="F1318" s="4"/>
      <c r="G1318" s="4"/>
      <c r="H1318" s="4"/>
      <c r="I1318" s="15"/>
      <c r="J1318" s="4"/>
    </row>
    <row r="1319" ht="14.25" customHeight="1">
      <c r="A1319" s="8" t="s">
        <v>16</v>
      </c>
      <c r="B1319" s="8">
        <v>6.7</v>
      </c>
      <c r="F1319" s="4"/>
      <c r="G1319" s="4"/>
      <c r="H1319" s="4"/>
      <c r="I1319" s="15"/>
      <c r="J1319" s="4"/>
    </row>
    <row r="1320" ht="14.25" customHeight="1">
      <c r="A1320" s="8" t="s">
        <v>16</v>
      </c>
      <c r="B1320" s="8">
        <v>7.7</v>
      </c>
      <c r="F1320" s="4"/>
      <c r="G1320" s="4"/>
      <c r="H1320" s="4"/>
      <c r="I1320" s="15"/>
      <c r="J1320" s="4"/>
    </row>
    <row r="1321" ht="14.25" customHeight="1">
      <c r="A1321" s="8" t="s">
        <v>16</v>
      </c>
      <c r="B1321" s="8">
        <v>5.4</v>
      </c>
      <c r="F1321" s="4"/>
      <c r="G1321" s="4"/>
      <c r="H1321" s="4"/>
      <c r="I1321" s="15"/>
      <c r="J1321" s="4"/>
    </row>
    <row r="1322" ht="14.25" customHeight="1">
      <c r="A1322" s="8" t="s">
        <v>16</v>
      </c>
      <c r="B1322" s="8">
        <v>6.9</v>
      </c>
      <c r="F1322" s="4"/>
      <c r="G1322" s="4"/>
      <c r="H1322" s="4"/>
      <c r="I1322" s="15"/>
      <c r="J1322" s="4"/>
    </row>
    <row r="1323" ht="14.25" customHeight="1">
      <c r="A1323" s="8" t="s">
        <v>16</v>
      </c>
      <c r="B1323" s="8">
        <v>7.7</v>
      </c>
      <c r="F1323" s="4"/>
      <c r="G1323" s="4"/>
      <c r="H1323" s="4"/>
      <c r="I1323" s="15"/>
      <c r="J1323" s="4"/>
    </row>
    <row r="1324" ht="14.25" customHeight="1">
      <c r="A1324" s="8" t="s">
        <v>16</v>
      </c>
      <c r="B1324" s="8">
        <v>6.8</v>
      </c>
      <c r="F1324" s="4"/>
      <c r="G1324" s="4"/>
      <c r="H1324" s="4"/>
      <c r="I1324" s="15"/>
      <c r="J1324" s="4"/>
    </row>
    <row r="1325" ht="14.25" customHeight="1">
      <c r="A1325" s="8" t="s">
        <v>16</v>
      </c>
      <c r="B1325" s="8">
        <v>6.4</v>
      </c>
      <c r="F1325" s="4"/>
      <c r="G1325" s="4"/>
      <c r="H1325" s="4"/>
      <c r="I1325" s="15"/>
      <c r="J1325" s="4"/>
    </row>
    <row r="1326" ht="14.25" customHeight="1">
      <c r="A1326" s="8" t="s">
        <v>16</v>
      </c>
      <c r="B1326" s="8">
        <v>5.7</v>
      </c>
      <c r="F1326" s="4"/>
      <c r="G1326" s="4"/>
      <c r="H1326" s="4"/>
      <c r="I1326" s="15"/>
      <c r="J1326" s="4"/>
    </row>
    <row r="1327" ht="14.25" customHeight="1">
      <c r="A1327" s="8" t="s">
        <v>16</v>
      </c>
      <c r="B1327" s="8">
        <v>7.3</v>
      </c>
      <c r="F1327" s="4"/>
      <c r="G1327" s="4"/>
      <c r="H1327" s="4"/>
      <c r="I1327" s="15"/>
      <c r="J1327" s="4"/>
    </row>
    <row r="1328" ht="14.25" customHeight="1">
      <c r="A1328" s="8" t="s">
        <v>16</v>
      </c>
      <c r="B1328" s="8">
        <v>6.8</v>
      </c>
      <c r="F1328" s="4"/>
      <c r="G1328" s="4"/>
      <c r="H1328" s="4"/>
      <c r="I1328" s="15"/>
      <c r="J1328" s="4"/>
    </row>
    <row r="1329" ht="14.25" customHeight="1">
      <c r="A1329" s="8" t="s">
        <v>16</v>
      </c>
      <c r="B1329" s="8">
        <v>6.3</v>
      </c>
      <c r="F1329" s="4"/>
      <c r="G1329" s="4"/>
      <c r="H1329" s="4"/>
      <c r="I1329" s="15"/>
      <c r="J1329" s="4"/>
    </row>
    <row r="1330" ht="14.25" customHeight="1">
      <c r="A1330" s="8" t="s">
        <v>16</v>
      </c>
      <c r="B1330" s="8">
        <v>5.9</v>
      </c>
      <c r="F1330" s="4"/>
      <c r="G1330" s="4"/>
      <c r="H1330" s="4"/>
      <c r="I1330" s="15"/>
      <c r="J1330" s="4"/>
    </row>
    <row r="1331" ht="14.25" customHeight="1">
      <c r="A1331" s="8" t="s">
        <v>16</v>
      </c>
      <c r="B1331" s="8">
        <v>7.4</v>
      </c>
      <c r="F1331" s="4"/>
      <c r="G1331" s="4"/>
      <c r="H1331" s="4"/>
      <c r="I1331" s="15"/>
      <c r="J1331" s="4"/>
    </row>
    <row r="1332" ht="14.25" customHeight="1">
      <c r="A1332" s="8" t="s">
        <v>16</v>
      </c>
      <c r="B1332" s="8">
        <v>8.3</v>
      </c>
      <c r="F1332" s="4"/>
      <c r="G1332" s="4"/>
      <c r="H1332" s="4"/>
      <c r="I1332" s="15"/>
      <c r="J1332" s="4"/>
    </row>
    <row r="1333" ht="14.25" customHeight="1">
      <c r="A1333" s="8" t="s">
        <v>16</v>
      </c>
      <c r="B1333" s="8">
        <v>6.2</v>
      </c>
      <c r="F1333" s="4"/>
      <c r="G1333" s="4"/>
      <c r="H1333" s="4"/>
      <c r="I1333" s="15"/>
      <c r="J1333" s="4"/>
    </row>
    <row r="1334" ht="14.25" customHeight="1">
      <c r="A1334" s="8" t="s">
        <v>16</v>
      </c>
      <c r="B1334" s="8">
        <v>6.3</v>
      </c>
      <c r="F1334" s="4"/>
      <c r="G1334" s="4"/>
      <c r="H1334" s="4"/>
      <c r="I1334" s="15"/>
      <c r="J1334" s="4"/>
    </row>
    <row r="1335" ht="14.25" customHeight="1">
      <c r="A1335" s="8" t="s">
        <v>16</v>
      </c>
      <c r="B1335" s="8">
        <v>5.8</v>
      </c>
      <c r="F1335" s="4"/>
      <c r="G1335" s="4"/>
      <c r="H1335" s="4"/>
      <c r="I1335" s="15"/>
      <c r="J1335" s="4"/>
    </row>
    <row r="1336" ht="14.25" customHeight="1">
      <c r="A1336" s="8" t="s">
        <v>16</v>
      </c>
      <c r="B1336" s="8">
        <v>7.5</v>
      </c>
      <c r="F1336" s="4"/>
      <c r="G1336" s="4"/>
      <c r="H1336" s="4"/>
      <c r="I1336" s="15"/>
      <c r="J1336" s="4"/>
    </row>
    <row r="1337" ht="14.25" customHeight="1">
      <c r="A1337" s="8" t="s">
        <v>16</v>
      </c>
      <c r="B1337" s="8">
        <v>6.3</v>
      </c>
      <c r="F1337" s="4"/>
      <c r="G1337" s="4"/>
      <c r="H1337" s="4"/>
      <c r="I1337" s="15"/>
      <c r="J1337" s="4"/>
    </row>
    <row r="1338" ht="14.25" customHeight="1">
      <c r="A1338" s="8" t="s">
        <v>16</v>
      </c>
      <c r="B1338" s="8">
        <v>6.4</v>
      </c>
      <c r="F1338" s="4"/>
      <c r="G1338" s="4"/>
      <c r="H1338" s="4"/>
      <c r="I1338" s="15"/>
      <c r="J1338" s="4"/>
    </row>
    <row r="1339" ht="14.25" customHeight="1">
      <c r="A1339" s="8" t="s">
        <v>16</v>
      </c>
      <c r="B1339" s="8">
        <v>7.2</v>
      </c>
      <c r="F1339" s="4"/>
      <c r="G1339" s="4"/>
      <c r="H1339" s="4"/>
      <c r="I1339" s="15"/>
      <c r="J1339" s="4"/>
    </row>
    <row r="1340" ht="14.25" customHeight="1">
      <c r="A1340" s="8" t="s">
        <v>16</v>
      </c>
      <c r="B1340" s="8">
        <v>6.3</v>
      </c>
      <c r="F1340" s="4"/>
      <c r="G1340" s="4"/>
      <c r="H1340" s="4"/>
      <c r="I1340" s="15"/>
      <c r="J1340" s="4"/>
    </row>
    <row r="1341" ht="14.25" customHeight="1">
      <c r="A1341" s="8" t="s">
        <v>16</v>
      </c>
      <c r="B1341" s="8">
        <v>6.9</v>
      </c>
      <c r="F1341" s="4"/>
      <c r="G1341" s="4"/>
      <c r="H1341" s="4"/>
      <c r="I1341" s="15"/>
      <c r="J1341" s="4"/>
    </row>
    <row r="1342" ht="14.25" customHeight="1">
      <c r="A1342" s="8" t="s">
        <v>16</v>
      </c>
      <c r="B1342" s="8">
        <v>6.6</v>
      </c>
      <c r="F1342" s="4"/>
      <c r="G1342" s="4"/>
      <c r="H1342" s="4"/>
      <c r="I1342" s="15"/>
      <c r="J1342" s="4"/>
    </row>
    <row r="1343" ht="14.25" customHeight="1">
      <c r="A1343" s="8" t="s">
        <v>16</v>
      </c>
      <c r="B1343" s="8">
        <v>6.0</v>
      </c>
      <c r="F1343" s="4"/>
      <c r="G1343" s="4"/>
      <c r="H1343" s="4"/>
      <c r="I1343" s="15"/>
      <c r="J1343" s="4"/>
    </row>
    <row r="1344" ht="14.25" customHeight="1">
      <c r="A1344" s="8" t="s">
        <v>16</v>
      </c>
      <c r="B1344" s="8">
        <v>7.5</v>
      </c>
      <c r="F1344" s="4"/>
      <c r="G1344" s="4"/>
      <c r="H1344" s="4"/>
      <c r="I1344" s="15"/>
      <c r="J1344" s="4"/>
    </row>
    <row r="1345" ht="14.25" customHeight="1">
      <c r="A1345" s="8" t="s">
        <v>16</v>
      </c>
      <c r="B1345" s="8">
        <v>7.7</v>
      </c>
      <c r="F1345" s="4"/>
      <c r="G1345" s="4"/>
      <c r="H1345" s="4"/>
      <c r="I1345" s="15"/>
      <c r="J1345" s="4"/>
    </row>
    <row r="1346" ht="14.25" customHeight="1">
      <c r="A1346" s="8" t="s">
        <v>16</v>
      </c>
      <c r="B1346" s="8">
        <v>6.2</v>
      </c>
      <c r="F1346" s="4"/>
      <c r="G1346" s="4"/>
      <c r="H1346" s="4"/>
      <c r="I1346" s="15"/>
      <c r="J1346" s="4"/>
    </row>
    <row r="1347" ht="14.25" customHeight="1">
      <c r="A1347" s="8" t="s">
        <v>16</v>
      </c>
      <c r="B1347" s="8">
        <v>5.4</v>
      </c>
      <c r="F1347" s="4"/>
      <c r="G1347" s="4"/>
      <c r="H1347" s="4"/>
      <c r="I1347" s="15"/>
      <c r="J1347" s="4"/>
    </row>
    <row r="1348" ht="14.25" customHeight="1">
      <c r="A1348" s="8" t="s">
        <v>16</v>
      </c>
      <c r="B1348" s="8">
        <v>6.6</v>
      </c>
      <c r="F1348" s="4"/>
      <c r="G1348" s="4"/>
      <c r="H1348" s="4"/>
      <c r="I1348" s="15"/>
      <c r="J1348" s="4"/>
    </row>
    <row r="1349" ht="14.25" customHeight="1">
      <c r="A1349" s="8" t="s">
        <v>16</v>
      </c>
      <c r="B1349" s="8">
        <v>5.3</v>
      </c>
      <c r="F1349" s="4"/>
      <c r="G1349" s="4"/>
      <c r="H1349" s="4"/>
      <c r="I1349" s="15"/>
      <c r="J1349" s="4"/>
    </row>
    <row r="1350" ht="14.25" customHeight="1">
      <c r="A1350" s="8" t="s">
        <v>16</v>
      </c>
      <c r="B1350" s="8">
        <v>5.6</v>
      </c>
      <c r="F1350" s="4"/>
      <c r="G1350" s="4"/>
      <c r="H1350" s="4"/>
      <c r="I1350" s="15"/>
      <c r="J1350" s="4"/>
    </row>
    <row r="1351" ht="14.25" customHeight="1">
      <c r="A1351" s="8" t="s">
        <v>16</v>
      </c>
      <c r="B1351" s="8">
        <v>5.9</v>
      </c>
      <c r="F1351" s="4"/>
      <c r="G1351" s="4"/>
      <c r="H1351" s="4"/>
      <c r="I1351" s="15"/>
      <c r="J1351" s="4"/>
    </row>
    <row r="1352" ht="14.25" customHeight="1">
      <c r="A1352" s="8" t="s">
        <v>16</v>
      </c>
      <c r="B1352" s="8">
        <v>7.8</v>
      </c>
      <c r="F1352" s="4"/>
      <c r="G1352" s="4"/>
      <c r="H1352" s="4"/>
      <c r="I1352" s="15"/>
      <c r="J1352" s="4"/>
    </row>
    <row r="1353" ht="14.25" customHeight="1">
      <c r="A1353" s="8" t="s">
        <v>16</v>
      </c>
      <c r="B1353" s="8">
        <v>6.7</v>
      </c>
      <c r="F1353" s="4"/>
      <c r="G1353" s="4"/>
      <c r="H1353" s="4"/>
      <c r="I1353" s="15"/>
      <c r="J1353" s="4"/>
    </row>
    <row r="1354" ht="14.25" customHeight="1">
      <c r="A1354" s="8" t="s">
        <v>16</v>
      </c>
      <c r="B1354" s="8">
        <v>7.4</v>
      </c>
      <c r="F1354" s="4"/>
      <c r="G1354" s="4"/>
      <c r="H1354" s="4"/>
      <c r="I1354" s="15"/>
      <c r="J1354" s="4"/>
    </row>
    <row r="1355" ht="14.25" customHeight="1">
      <c r="A1355" s="8" t="s">
        <v>16</v>
      </c>
      <c r="B1355" s="8">
        <v>6.2</v>
      </c>
      <c r="F1355" s="4"/>
      <c r="G1355" s="4"/>
      <c r="H1355" s="4"/>
      <c r="I1355" s="15"/>
      <c r="J1355" s="4"/>
    </row>
    <row r="1356" ht="14.25" customHeight="1">
      <c r="A1356" s="8" t="s">
        <v>16</v>
      </c>
      <c r="B1356" s="8">
        <v>5.4</v>
      </c>
      <c r="F1356" s="4"/>
      <c r="G1356" s="4"/>
      <c r="H1356" s="4"/>
      <c r="I1356" s="15"/>
      <c r="J1356" s="4"/>
    </row>
    <row r="1357" ht="14.25" customHeight="1">
      <c r="A1357" s="8" t="s">
        <v>16</v>
      </c>
      <c r="B1357" s="8">
        <v>6.7</v>
      </c>
      <c r="F1357" s="4"/>
      <c r="G1357" s="4"/>
      <c r="H1357" s="4"/>
      <c r="I1357" s="15"/>
      <c r="J1357" s="4"/>
    </row>
    <row r="1358" ht="14.25" customHeight="1">
      <c r="A1358" s="8" t="s">
        <v>16</v>
      </c>
      <c r="B1358" s="8">
        <v>5.3</v>
      </c>
      <c r="F1358" s="4"/>
      <c r="G1358" s="4"/>
      <c r="H1358" s="4"/>
      <c r="I1358" s="15"/>
      <c r="J1358" s="4"/>
    </row>
    <row r="1359" ht="14.25" customHeight="1">
      <c r="A1359" s="8" t="s">
        <v>16</v>
      </c>
      <c r="B1359" s="8">
        <v>5.9</v>
      </c>
      <c r="F1359" s="4"/>
      <c r="G1359" s="4"/>
      <c r="H1359" s="4"/>
      <c r="I1359" s="15"/>
      <c r="J1359" s="4"/>
    </row>
    <row r="1360" ht="14.25" customHeight="1">
      <c r="A1360" s="8" t="s">
        <v>16</v>
      </c>
      <c r="B1360" s="8">
        <v>4.8</v>
      </c>
      <c r="F1360" s="4"/>
      <c r="G1360" s="4"/>
      <c r="H1360" s="4"/>
      <c r="I1360" s="15"/>
      <c r="J1360" s="4"/>
    </row>
    <row r="1361" ht="14.25" customHeight="1">
      <c r="A1361" s="8" t="s">
        <v>16</v>
      </c>
      <c r="B1361" s="8">
        <v>3.8</v>
      </c>
      <c r="F1361" s="4"/>
      <c r="G1361" s="4"/>
      <c r="H1361" s="4"/>
      <c r="I1361" s="15"/>
      <c r="J1361" s="4"/>
    </row>
    <row r="1362" ht="14.25" customHeight="1">
      <c r="A1362" s="8" t="s">
        <v>16</v>
      </c>
      <c r="B1362" s="8">
        <v>8.5</v>
      </c>
      <c r="F1362" s="4"/>
      <c r="G1362" s="4"/>
      <c r="H1362" s="4"/>
      <c r="I1362" s="15"/>
      <c r="J1362" s="4"/>
    </row>
    <row r="1363" ht="14.25" customHeight="1">
      <c r="A1363" s="8" t="s">
        <v>16</v>
      </c>
      <c r="B1363" s="8">
        <v>6.8</v>
      </c>
      <c r="F1363" s="4"/>
      <c r="G1363" s="4"/>
      <c r="H1363" s="4"/>
      <c r="I1363" s="15"/>
      <c r="J1363" s="4"/>
    </row>
    <row r="1364" ht="14.25" customHeight="1">
      <c r="A1364" s="8" t="s">
        <v>16</v>
      </c>
      <c r="B1364" s="8">
        <v>5.3</v>
      </c>
      <c r="F1364" s="4"/>
      <c r="G1364" s="4"/>
      <c r="H1364" s="4"/>
      <c r="I1364" s="15"/>
      <c r="J1364" s="4"/>
    </row>
    <row r="1365" ht="14.25" customHeight="1">
      <c r="A1365" s="8" t="s">
        <v>16</v>
      </c>
      <c r="B1365" s="8">
        <v>7.3</v>
      </c>
      <c r="F1365" s="4"/>
      <c r="G1365" s="4"/>
      <c r="H1365" s="4"/>
      <c r="I1365" s="15"/>
      <c r="J1365" s="4"/>
    </row>
    <row r="1366" ht="14.25" customHeight="1">
      <c r="A1366" s="8" t="s">
        <v>16</v>
      </c>
      <c r="B1366" s="8">
        <v>6.6</v>
      </c>
      <c r="F1366" s="4"/>
      <c r="G1366" s="4"/>
      <c r="H1366" s="4"/>
      <c r="I1366" s="15"/>
      <c r="J1366" s="4"/>
    </row>
    <row r="1367" ht="14.25" customHeight="1">
      <c r="A1367" s="8" t="s">
        <v>16</v>
      </c>
      <c r="B1367" s="8">
        <v>6.2</v>
      </c>
      <c r="F1367" s="4"/>
      <c r="G1367" s="4"/>
      <c r="H1367" s="4"/>
      <c r="I1367" s="15"/>
      <c r="J1367" s="4"/>
    </row>
    <row r="1368" ht="14.25" customHeight="1">
      <c r="A1368" s="8" t="s">
        <v>16</v>
      </c>
      <c r="B1368" s="8">
        <v>5.2</v>
      </c>
      <c r="F1368" s="4"/>
      <c r="G1368" s="4"/>
      <c r="H1368" s="4"/>
      <c r="I1368" s="15"/>
      <c r="J1368" s="4"/>
    </row>
    <row r="1369" ht="14.25" customHeight="1">
      <c r="A1369" s="8" t="s">
        <v>16</v>
      </c>
      <c r="B1369" s="8">
        <v>6.2</v>
      </c>
      <c r="F1369" s="4"/>
      <c r="G1369" s="4"/>
      <c r="H1369" s="4"/>
      <c r="I1369" s="15"/>
      <c r="J1369" s="4"/>
    </row>
    <row r="1370" ht="14.25" customHeight="1">
      <c r="A1370" s="8" t="s">
        <v>16</v>
      </c>
      <c r="B1370" s="8">
        <v>6.2</v>
      </c>
      <c r="F1370" s="4"/>
      <c r="G1370" s="4"/>
      <c r="H1370" s="4"/>
      <c r="I1370" s="15"/>
      <c r="J1370" s="4"/>
    </row>
    <row r="1371" ht="14.25" customHeight="1">
      <c r="A1371" s="8" t="s">
        <v>16</v>
      </c>
      <c r="B1371" s="8">
        <v>6.6</v>
      </c>
      <c r="F1371" s="4"/>
      <c r="G1371" s="4"/>
      <c r="H1371" s="4"/>
      <c r="I1371" s="15"/>
      <c r="J1371" s="4"/>
    </row>
    <row r="1372" ht="14.25" customHeight="1">
      <c r="A1372" s="8" t="s">
        <v>16</v>
      </c>
      <c r="B1372" s="8">
        <v>6.2</v>
      </c>
      <c r="F1372" s="4"/>
      <c r="G1372" s="4"/>
      <c r="H1372" s="4"/>
      <c r="I1372" s="15"/>
      <c r="J1372" s="4"/>
    </row>
    <row r="1373" ht="14.25" customHeight="1">
      <c r="A1373" s="8" t="s">
        <v>16</v>
      </c>
      <c r="B1373" s="8">
        <v>5.1</v>
      </c>
      <c r="F1373" s="4"/>
      <c r="G1373" s="4"/>
      <c r="H1373" s="4"/>
      <c r="I1373" s="15"/>
      <c r="J1373" s="4"/>
    </row>
    <row r="1374" ht="14.25" customHeight="1">
      <c r="A1374" s="8" t="s">
        <v>16</v>
      </c>
      <c r="B1374" s="8">
        <v>6.6</v>
      </c>
      <c r="F1374" s="4"/>
      <c r="G1374" s="4"/>
      <c r="H1374" s="4"/>
      <c r="I1374" s="15"/>
      <c r="J1374" s="4"/>
    </row>
    <row r="1375" ht="14.25" customHeight="1">
      <c r="A1375" s="8" t="s">
        <v>16</v>
      </c>
      <c r="B1375" s="8">
        <v>6.1</v>
      </c>
      <c r="F1375" s="4"/>
      <c r="G1375" s="4"/>
      <c r="H1375" s="4"/>
      <c r="I1375" s="15"/>
      <c r="J1375" s="4"/>
    </row>
    <row r="1376" ht="14.25" customHeight="1">
      <c r="A1376" s="8" t="s">
        <v>16</v>
      </c>
      <c r="B1376" s="8">
        <v>6.6</v>
      </c>
      <c r="F1376" s="4"/>
      <c r="G1376" s="4"/>
      <c r="H1376" s="4"/>
      <c r="I1376" s="15"/>
      <c r="J1376" s="4"/>
    </row>
    <row r="1377" ht="14.25" customHeight="1">
      <c r="A1377" s="8" t="s">
        <v>16</v>
      </c>
      <c r="B1377" s="8">
        <v>5.9</v>
      </c>
      <c r="F1377" s="4"/>
      <c r="G1377" s="4"/>
      <c r="H1377" s="4"/>
      <c r="I1377" s="15"/>
      <c r="J1377" s="4"/>
    </row>
    <row r="1378" ht="14.25" customHeight="1">
      <c r="A1378" s="8" t="s">
        <v>16</v>
      </c>
      <c r="B1378" s="8">
        <v>6.3</v>
      </c>
      <c r="F1378" s="4"/>
      <c r="G1378" s="4"/>
      <c r="H1378" s="4"/>
      <c r="I1378" s="15"/>
      <c r="J1378" s="4"/>
    </row>
    <row r="1379" ht="14.25" customHeight="1">
      <c r="A1379" s="8" t="s">
        <v>16</v>
      </c>
      <c r="B1379" s="8">
        <v>7.1</v>
      </c>
      <c r="F1379" s="4"/>
      <c r="G1379" s="4"/>
      <c r="H1379" s="4"/>
      <c r="I1379" s="15"/>
      <c r="J1379" s="4"/>
    </row>
    <row r="1380" ht="14.25" customHeight="1">
      <c r="A1380" s="8" t="s">
        <v>16</v>
      </c>
      <c r="B1380" s="8">
        <v>5.0</v>
      </c>
      <c r="F1380" s="4"/>
      <c r="G1380" s="4"/>
      <c r="H1380" s="4"/>
      <c r="I1380" s="15"/>
      <c r="J1380" s="4"/>
    </row>
    <row r="1381" ht="14.25" customHeight="1">
      <c r="A1381" s="8" t="s">
        <v>16</v>
      </c>
      <c r="B1381" s="8">
        <v>5.6</v>
      </c>
      <c r="F1381" s="4"/>
      <c r="G1381" s="4"/>
      <c r="H1381" s="4"/>
      <c r="I1381" s="15"/>
      <c r="J1381" s="4"/>
    </row>
    <row r="1382" ht="14.25" customHeight="1">
      <c r="A1382" s="8" t="s">
        <v>16</v>
      </c>
      <c r="B1382" s="8">
        <v>7.4</v>
      </c>
      <c r="F1382" s="4"/>
      <c r="G1382" s="4"/>
      <c r="H1382" s="4"/>
      <c r="I1382" s="15"/>
      <c r="J1382" s="4"/>
    </row>
    <row r="1383" ht="14.25" customHeight="1">
      <c r="A1383" s="8" t="s">
        <v>16</v>
      </c>
      <c r="B1383" s="8">
        <v>4.5</v>
      </c>
      <c r="F1383" s="4"/>
      <c r="G1383" s="4"/>
      <c r="H1383" s="4"/>
      <c r="I1383" s="15"/>
      <c r="J1383" s="4"/>
    </row>
    <row r="1384" ht="14.25" customHeight="1">
      <c r="A1384" s="8" t="s">
        <v>16</v>
      </c>
      <c r="B1384" s="8">
        <v>6.2</v>
      </c>
      <c r="F1384" s="4"/>
      <c r="G1384" s="4"/>
      <c r="H1384" s="4"/>
      <c r="I1384" s="15"/>
      <c r="J1384" s="4"/>
    </row>
    <row r="1385" ht="14.25" customHeight="1">
      <c r="A1385" s="8" t="s">
        <v>16</v>
      </c>
      <c r="B1385" s="8">
        <v>5.0</v>
      </c>
      <c r="F1385" s="4"/>
      <c r="G1385" s="4"/>
      <c r="H1385" s="4"/>
      <c r="I1385" s="15"/>
      <c r="J1385" s="4"/>
    </row>
    <row r="1386" ht="14.25" customHeight="1">
      <c r="A1386" s="8" t="s">
        <v>16</v>
      </c>
      <c r="B1386" s="8">
        <v>6.5</v>
      </c>
      <c r="F1386" s="4"/>
      <c r="G1386" s="4"/>
      <c r="H1386" s="4"/>
      <c r="I1386" s="15"/>
      <c r="J1386" s="4"/>
    </row>
    <row r="1387" ht="14.25" customHeight="1">
      <c r="A1387" s="8" t="s">
        <v>16</v>
      </c>
      <c r="B1387" s="8">
        <v>5.1</v>
      </c>
      <c r="F1387" s="4"/>
      <c r="G1387" s="4"/>
      <c r="H1387" s="4"/>
      <c r="I1387" s="15"/>
      <c r="J1387" s="4"/>
    </row>
    <row r="1388" ht="14.25" customHeight="1">
      <c r="A1388" s="8" t="s">
        <v>16</v>
      </c>
      <c r="B1388" s="8">
        <v>6.5</v>
      </c>
      <c r="F1388" s="4"/>
      <c r="G1388" s="4"/>
      <c r="H1388" s="4"/>
      <c r="I1388" s="15"/>
      <c r="J1388" s="4"/>
    </row>
    <row r="1389" ht="14.25" customHeight="1">
      <c r="A1389" s="8" t="s">
        <v>16</v>
      </c>
      <c r="B1389" s="8">
        <v>6.2</v>
      </c>
      <c r="F1389" s="4"/>
      <c r="G1389" s="4"/>
      <c r="H1389" s="4"/>
      <c r="I1389" s="15"/>
      <c r="J1389" s="4"/>
    </row>
    <row r="1390" ht="14.25" customHeight="1">
      <c r="A1390" s="8" t="s">
        <v>16</v>
      </c>
      <c r="B1390" s="8">
        <v>6.3</v>
      </c>
      <c r="F1390" s="4"/>
      <c r="G1390" s="4"/>
      <c r="H1390" s="4"/>
      <c r="I1390" s="15"/>
      <c r="J1390" s="4"/>
    </row>
    <row r="1391" ht="14.25" customHeight="1">
      <c r="A1391" s="8" t="s">
        <v>16</v>
      </c>
      <c r="B1391" s="8">
        <v>3.8</v>
      </c>
      <c r="F1391" s="4"/>
      <c r="G1391" s="4"/>
      <c r="H1391" s="4"/>
      <c r="I1391" s="15"/>
      <c r="J1391" s="4"/>
    </row>
    <row r="1392" ht="14.25" customHeight="1">
      <c r="A1392" s="8" t="s">
        <v>16</v>
      </c>
      <c r="B1392" s="8">
        <v>6.2</v>
      </c>
      <c r="F1392" s="4"/>
      <c r="G1392" s="4"/>
      <c r="H1392" s="4"/>
      <c r="I1392" s="15"/>
      <c r="J1392" s="4"/>
    </row>
    <row r="1393" ht="14.25" customHeight="1">
      <c r="A1393" s="8" t="s">
        <v>16</v>
      </c>
      <c r="B1393" s="8">
        <v>5.7</v>
      </c>
      <c r="F1393" s="4"/>
      <c r="G1393" s="4"/>
      <c r="H1393" s="4"/>
      <c r="I1393" s="15"/>
      <c r="J1393" s="4"/>
    </row>
    <row r="1394" ht="14.25" customHeight="1">
      <c r="A1394" s="8" t="s">
        <v>16</v>
      </c>
      <c r="B1394" s="8">
        <v>6.7</v>
      </c>
      <c r="F1394" s="4"/>
      <c r="G1394" s="4"/>
      <c r="H1394" s="4"/>
      <c r="I1394" s="15"/>
      <c r="J1394" s="4"/>
    </row>
    <row r="1395" ht="14.25" customHeight="1">
      <c r="A1395" s="8" t="s">
        <v>16</v>
      </c>
      <c r="B1395" s="8">
        <v>6.8</v>
      </c>
      <c r="F1395" s="4"/>
      <c r="G1395" s="4"/>
      <c r="H1395" s="4"/>
      <c r="I1395" s="15"/>
      <c r="J1395" s="4"/>
    </row>
    <row r="1396" ht="14.25" customHeight="1">
      <c r="A1396" s="8" t="s">
        <v>16</v>
      </c>
      <c r="B1396" s="8">
        <v>6.0</v>
      </c>
      <c r="F1396" s="4"/>
      <c r="G1396" s="4"/>
      <c r="H1396" s="4"/>
      <c r="I1396" s="15"/>
      <c r="J1396" s="4"/>
    </row>
    <row r="1397" ht="14.25" customHeight="1">
      <c r="A1397" s="8" t="s">
        <v>16</v>
      </c>
      <c r="B1397" s="8">
        <v>7.3</v>
      </c>
      <c r="F1397" s="4"/>
      <c r="G1397" s="4"/>
      <c r="H1397" s="4"/>
      <c r="I1397" s="15"/>
      <c r="J1397" s="4"/>
    </row>
    <row r="1398" ht="14.25" customHeight="1">
      <c r="A1398" s="8" t="s">
        <v>16</v>
      </c>
      <c r="B1398" s="8">
        <v>5.5</v>
      </c>
      <c r="F1398" s="4"/>
      <c r="G1398" s="4"/>
      <c r="H1398" s="4"/>
      <c r="I1398" s="15"/>
      <c r="J1398" s="4"/>
    </row>
    <row r="1399" ht="14.25" customHeight="1">
      <c r="A1399" s="8" t="s">
        <v>16</v>
      </c>
      <c r="B1399" s="8">
        <v>6.7</v>
      </c>
      <c r="F1399" s="4"/>
      <c r="G1399" s="4"/>
      <c r="H1399" s="4"/>
      <c r="I1399" s="15"/>
      <c r="J1399" s="4"/>
    </row>
    <row r="1400" ht="14.25" customHeight="1">
      <c r="A1400" s="8" t="s">
        <v>16</v>
      </c>
      <c r="B1400" s="8">
        <v>4.8</v>
      </c>
      <c r="F1400" s="4"/>
      <c r="G1400" s="4"/>
      <c r="H1400" s="4"/>
      <c r="I1400" s="15"/>
      <c r="J1400" s="4"/>
    </row>
    <row r="1401" ht="14.25" customHeight="1">
      <c r="A1401" s="8" t="s">
        <v>16</v>
      </c>
      <c r="B1401" s="8">
        <v>5.7</v>
      </c>
      <c r="F1401" s="4"/>
      <c r="G1401" s="4"/>
      <c r="H1401" s="4"/>
      <c r="I1401" s="15"/>
      <c r="J1401" s="4"/>
    </row>
    <row r="1402" ht="14.25" customHeight="1">
      <c r="A1402" s="8" t="s">
        <v>16</v>
      </c>
      <c r="B1402" s="8">
        <v>5.1</v>
      </c>
      <c r="F1402" s="4"/>
      <c r="G1402" s="4"/>
      <c r="H1402" s="4"/>
      <c r="I1402" s="15"/>
      <c r="J1402" s="4"/>
    </row>
    <row r="1403" ht="14.25" customHeight="1">
      <c r="A1403" s="8" t="s">
        <v>16</v>
      </c>
      <c r="B1403" s="8">
        <v>6.0</v>
      </c>
      <c r="F1403" s="4"/>
      <c r="G1403" s="4"/>
      <c r="H1403" s="4"/>
      <c r="I1403" s="15"/>
      <c r="J1403" s="4"/>
    </row>
    <row r="1404" ht="14.25" customHeight="1">
      <c r="A1404" s="8" t="s">
        <v>16</v>
      </c>
      <c r="B1404" s="8">
        <v>4.2</v>
      </c>
      <c r="F1404" s="4"/>
      <c r="G1404" s="4"/>
      <c r="H1404" s="4"/>
      <c r="I1404" s="15"/>
      <c r="J1404" s="4"/>
    </row>
    <row r="1405" ht="14.25" customHeight="1">
      <c r="A1405" s="8" t="s">
        <v>16</v>
      </c>
      <c r="B1405" s="8">
        <v>7.4</v>
      </c>
      <c r="F1405" s="4"/>
      <c r="G1405" s="4"/>
      <c r="H1405" s="4"/>
      <c r="I1405" s="15"/>
      <c r="J1405" s="4"/>
    </row>
    <row r="1406" ht="14.25" customHeight="1">
      <c r="A1406" s="8" t="s">
        <v>16</v>
      </c>
      <c r="B1406" s="8">
        <v>4.6</v>
      </c>
      <c r="F1406" s="4"/>
      <c r="G1406" s="4"/>
      <c r="H1406" s="4"/>
      <c r="I1406" s="15"/>
      <c r="J1406" s="4"/>
    </row>
    <row r="1407" ht="14.25" customHeight="1">
      <c r="A1407" s="8" t="s">
        <v>16</v>
      </c>
      <c r="B1407" s="8">
        <v>6.9</v>
      </c>
      <c r="F1407" s="4"/>
      <c r="G1407" s="4"/>
      <c r="H1407" s="4"/>
      <c r="I1407" s="15"/>
      <c r="J1407" s="4"/>
    </row>
    <row r="1408" ht="14.25" customHeight="1">
      <c r="A1408" s="8" t="s">
        <v>16</v>
      </c>
      <c r="B1408" s="8">
        <v>6.9</v>
      </c>
      <c r="F1408" s="4"/>
      <c r="G1408" s="4"/>
      <c r="H1408" s="4"/>
      <c r="I1408" s="15"/>
      <c r="J1408" s="4"/>
    </row>
    <row r="1409" ht="14.25" customHeight="1">
      <c r="A1409" s="8" t="s">
        <v>16</v>
      </c>
      <c r="B1409" s="8">
        <v>8.0</v>
      </c>
      <c r="F1409" s="4"/>
      <c r="G1409" s="4"/>
      <c r="H1409" s="4"/>
      <c r="I1409" s="15"/>
      <c r="J1409" s="4"/>
    </row>
    <row r="1410" ht="14.25" customHeight="1">
      <c r="A1410" s="8" t="s">
        <v>16</v>
      </c>
      <c r="B1410" s="8">
        <v>6.4</v>
      </c>
      <c r="F1410" s="4"/>
      <c r="G1410" s="4"/>
      <c r="H1410" s="4"/>
      <c r="I1410" s="15"/>
      <c r="J1410" s="4"/>
    </row>
    <row r="1411" ht="14.25" customHeight="1">
      <c r="A1411" s="8" t="s">
        <v>16</v>
      </c>
      <c r="B1411" s="8">
        <v>6.3</v>
      </c>
      <c r="F1411" s="4"/>
      <c r="G1411" s="4"/>
      <c r="H1411" s="4"/>
      <c r="I1411" s="15"/>
      <c r="J1411" s="4"/>
    </row>
    <row r="1412" ht="14.25" customHeight="1">
      <c r="A1412" s="8" t="s">
        <v>16</v>
      </c>
      <c r="B1412" s="8">
        <v>6.8</v>
      </c>
      <c r="F1412" s="4"/>
      <c r="G1412" s="4"/>
      <c r="H1412" s="4"/>
      <c r="I1412" s="15"/>
      <c r="J1412" s="4"/>
    </row>
    <row r="1413" ht="14.25" customHeight="1">
      <c r="A1413" s="8" t="s">
        <v>16</v>
      </c>
      <c r="B1413" s="8">
        <v>6.8</v>
      </c>
      <c r="F1413" s="4"/>
      <c r="G1413" s="4"/>
      <c r="H1413" s="4"/>
      <c r="I1413" s="15"/>
      <c r="J1413" s="4"/>
    </row>
    <row r="1414" ht="14.25" customHeight="1">
      <c r="A1414" s="8" t="s">
        <v>16</v>
      </c>
      <c r="B1414" s="8">
        <v>5.4</v>
      </c>
      <c r="F1414" s="4"/>
      <c r="G1414" s="4"/>
      <c r="H1414" s="4"/>
      <c r="I1414" s="15"/>
      <c r="J1414" s="4"/>
    </row>
    <row r="1415" ht="14.25" customHeight="1">
      <c r="A1415" s="8" t="s">
        <v>16</v>
      </c>
      <c r="B1415" s="8">
        <v>7.2</v>
      </c>
      <c r="F1415" s="4"/>
      <c r="G1415" s="4"/>
      <c r="H1415" s="4"/>
      <c r="I1415" s="15"/>
      <c r="J1415" s="4"/>
    </row>
    <row r="1416" ht="14.25" customHeight="1">
      <c r="A1416" s="8" t="s">
        <v>16</v>
      </c>
      <c r="B1416" s="8">
        <v>7.3</v>
      </c>
      <c r="F1416" s="4"/>
      <c r="G1416" s="4"/>
      <c r="H1416" s="4"/>
      <c r="I1416" s="15"/>
      <c r="J1416" s="4"/>
    </row>
    <row r="1417" ht="14.25" customHeight="1">
      <c r="A1417" s="8" t="s">
        <v>16</v>
      </c>
      <c r="B1417" s="8">
        <v>5.2</v>
      </c>
      <c r="F1417" s="4"/>
      <c r="G1417" s="4"/>
      <c r="H1417" s="4"/>
      <c r="I1417" s="15"/>
      <c r="J1417" s="4"/>
    </row>
    <row r="1418" ht="14.25" customHeight="1">
      <c r="A1418" s="8" t="s">
        <v>16</v>
      </c>
      <c r="B1418" s="8">
        <v>5.5</v>
      </c>
      <c r="F1418" s="4"/>
      <c r="G1418" s="4"/>
      <c r="H1418" s="4"/>
      <c r="I1418" s="15"/>
      <c r="J1418" s="4"/>
    </row>
    <row r="1419" ht="14.25" customHeight="1">
      <c r="A1419" s="8" t="s">
        <v>3076</v>
      </c>
      <c r="B1419" s="8">
        <v>7.7</v>
      </c>
      <c r="F1419" s="4"/>
      <c r="G1419" s="4"/>
      <c r="H1419" s="4"/>
      <c r="I1419" s="15"/>
      <c r="J1419" s="4"/>
    </row>
    <row r="1420" ht="14.25" customHeight="1">
      <c r="A1420" s="8" t="s">
        <v>16</v>
      </c>
      <c r="B1420" s="8">
        <v>7.1</v>
      </c>
      <c r="F1420" s="4"/>
      <c r="G1420" s="4"/>
      <c r="H1420" s="4"/>
      <c r="I1420" s="15"/>
      <c r="J1420" s="4"/>
    </row>
    <row r="1421" ht="14.25" customHeight="1">
      <c r="A1421" s="8" t="s">
        <v>16</v>
      </c>
      <c r="B1421" s="8">
        <v>5.3</v>
      </c>
      <c r="F1421" s="4"/>
      <c r="G1421" s="4"/>
      <c r="H1421" s="4"/>
      <c r="I1421" s="15"/>
      <c r="J1421" s="4"/>
    </row>
    <row r="1422" ht="14.25" customHeight="1">
      <c r="A1422" s="8" t="s">
        <v>16</v>
      </c>
      <c r="B1422" s="8">
        <v>5.6</v>
      </c>
      <c r="F1422" s="4"/>
      <c r="G1422" s="4"/>
      <c r="H1422" s="4"/>
      <c r="I1422" s="15"/>
      <c r="J1422" s="4"/>
    </row>
    <row r="1423" ht="14.25" customHeight="1">
      <c r="A1423" s="8" t="s">
        <v>16</v>
      </c>
      <c r="B1423" s="8">
        <v>5.7</v>
      </c>
      <c r="F1423" s="4"/>
      <c r="G1423" s="4"/>
      <c r="H1423" s="4"/>
      <c r="I1423" s="15"/>
      <c r="J1423" s="4"/>
    </row>
    <row r="1424" ht="14.25" customHeight="1">
      <c r="A1424" s="8" t="s">
        <v>16</v>
      </c>
      <c r="B1424" s="8">
        <v>7.1</v>
      </c>
      <c r="F1424" s="4"/>
      <c r="G1424" s="4"/>
      <c r="H1424" s="4"/>
      <c r="I1424" s="15"/>
      <c r="J1424" s="4"/>
    </row>
    <row r="1425" ht="14.25" customHeight="1">
      <c r="A1425" s="8" t="s">
        <v>16</v>
      </c>
      <c r="B1425" s="8">
        <v>7.6</v>
      </c>
      <c r="F1425" s="4"/>
      <c r="G1425" s="4"/>
      <c r="H1425" s="4"/>
      <c r="I1425" s="15"/>
      <c r="J1425" s="4"/>
    </row>
    <row r="1426" ht="14.25" customHeight="1">
      <c r="A1426" s="8" t="s">
        <v>16</v>
      </c>
      <c r="B1426" s="8">
        <v>5.5</v>
      </c>
      <c r="F1426" s="4"/>
      <c r="G1426" s="4"/>
      <c r="H1426" s="4"/>
      <c r="I1426" s="15"/>
      <c r="J1426" s="4"/>
    </row>
    <row r="1427" ht="14.25" customHeight="1">
      <c r="A1427" s="8" t="s">
        <v>16</v>
      </c>
      <c r="B1427" s="8">
        <v>5.1</v>
      </c>
      <c r="F1427" s="4"/>
      <c r="G1427" s="4"/>
      <c r="H1427" s="4"/>
      <c r="I1427" s="15"/>
      <c r="J1427" s="4"/>
    </row>
    <row r="1428" ht="14.25" customHeight="1">
      <c r="A1428" s="8" t="s">
        <v>16</v>
      </c>
      <c r="B1428" s="8">
        <v>6.3</v>
      </c>
      <c r="F1428" s="4"/>
      <c r="G1428" s="4"/>
      <c r="H1428" s="4"/>
      <c r="I1428" s="15"/>
      <c r="J1428" s="4"/>
    </row>
    <row r="1429" ht="14.25" customHeight="1">
      <c r="A1429" s="8" t="s">
        <v>16</v>
      </c>
      <c r="B1429" s="8">
        <v>4.9</v>
      </c>
      <c r="F1429" s="4"/>
      <c r="G1429" s="4"/>
      <c r="H1429" s="4"/>
      <c r="I1429" s="15"/>
      <c r="J1429" s="4"/>
    </row>
    <row r="1430" ht="14.25" customHeight="1">
      <c r="A1430" s="8" t="s">
        <v>16</v>
      </c>
      <c r="B1430" s="8">
        <v>6.5</v>
      </c>
      <c r="F1430" s="4"/>
      <c r="G1430" s="4"/>
      <c r="H1430" s="4"/>
      <c r="I1430" s="15"/>
      <c r="J1430" s="4"/>
    </row>
    <row r="1431" ht="14.25" customHeight="1">
      <c r="A1431" s="8" t="s">
        <v>16</v>
      </c>
      <c r="B1431" s="8">
        <v>5.6</v>
      </c>
      <c r="F1431" s="4"/>
      <c r="G1431" s="4"/>
      <c r="H1431" s="4"/>
      <c r="I1431" s="15"/>
      <c r="J1431" s="4"/>
    </row>
    <row r="1432" ht="14.25" customHeight="1">
      <c r="A1432" s="8" t="s">
        <v>16</v>
      </c>
      <c r="B1432" s="8">
        <v>5.3</v>
      </c>
      <c r="F1432" s="4"/>
      <c r="G1432" s="4"/>
      <c r="H1432" s="4"/>
      <c r="I1432" s="15"/>
      <c r="J1432" s="4"/>
    </row>
    <row r="1433" ht="14.25" customHeight="1">
      <c r="A1433" s="8" t="s">
        <v>16</v>
      </c>
      <c r="B1433" s="8">
        <v>6.5</v>
      </c>
      <c r="F1433" s="4"/>
      <c r="G1433" s="4"/>
      <c r="H1433" s="4"/>
      <c r="I1433" s="15"/>
      <c r="J1433" s="4"/>
    </row>
    <row r="1434" ht="14.25" customHeight="1">
      <c r="A1434" s="8" t="s">
        <v>16</v>
      </c>
      <c r="B1434" s="8">
        <v>6.8</v>
      </c>
      <c r="F1434" s="4"/>
      <c r="G1434" s="4"/>
      <c r="H1434" s="4"/>
      <c r="I1434" s="15"/>
      <c r="J1434" s="4"/>
    </row>
    <row r="1435" ht="14.25" customHeight="1">
      <c r="A1435" s="8" t="s">
        <v>16</v>
      </c>
      <c r="B1435" s="8">
        <v>6.5</v>
      </c>
      <c r="F1435" s="4"/>
      <c r="G1435" s="4"/>
      <c r="H1435" s="4"/>
      <c r="I1435" s="15"/>
      <c r="J1435" s="4"/>
    </row>
    <row r="1436" ht="14.25" customHeight="1">
      <c r="A1436" s="8" t="s">
        <v>16</v>
      </c>
      <c r="B1436" s="8">
        <v>6.0</v>
      </c>
      <c r="F1436" s="4"/>
      <c r="G1436" s="4"/>
      <c r="H1436" s="4"/>
      <c r="I1436" s="15"/>
      <c r="J1436" s="4"/>
    </row>
    <row r="1437" ht="14.25" customHeight="1">
      <c r="A1437" s="8" t="s">
        <v>16</v>
      </c>
      <c r="B1437" s="8">
        <v>8.4</v>
      </c>
      <c r="F1437" s="4"/>
      <c r="G1437" s="4"/>
      <c r="H1437" s="4"/>
      <c r="I1437" s="15"/>
      <c r="J1437" s="4"/>
    </row>
    <row r="1438" ht="14.25" customHeight="1">
      <c r="A1438" s="8" t="s">
        <v>16</v>
      </c>
      <c r="B1438" s="8">
        <v>6.0</v>
      </c>
      <c r="F1438" s="4"/>
      <c r="G1438" s="4"/>
      <c r="H1438" s="4"/>
      <c r="I1438" s="15"/>
      <c r="J1438" s="4"/>
    </row>
    <row r="1439" ht="14.25" customHeight="1">
      <c r="A1439" s="8" t="s">
        <v>16</v>
      </c>
      <c r="B1439" s="8">
        <v>7.6</v>
      </c>
      <c r="F1439" s="4"/>
      <c r="G1439" s="4"/>
      <c r="H1439" s="4"/>
      <c r="I1439" s="15"/>
      <c r="J1439" s="4"/>
    </row>
    <row r="1440" ht="14.25" customHeight="1">
      <c r="A1440" s="8" t="s">
        <v>16</v>
      </c>
      <c r="B1440" s="8">
        <v>6.9</v>
      </c>
      <c r="F1440" s="4"/>
      <c r="G1440" s="4"/>
      <c r="H1440" s="4"/>
      <c r="I1440" s="15"/>
      <c r="J1440" s="4"/>
    </row>
    <row r="1441" ht="14.25" customHeight="1">
      <c r="A1441" s="8" t="s">
        <v>16</v>
      </c>
      <c r="B1441" s="8">
        <v>6.4</v>
      </c>
      <c r="F1441" s="4"/>
      <c r="G1441" s="4"/>
      <c r="H1441" s="4"/>
      <c r="I1441" s="15"/>
      <c r="J1441" s="4"/>
    </row>
    <row r="1442" ht="14.25" customHeight="1">
      <c r="A1442" s="8" t="s">
        <v>16</v>
      </c>
      <c r="B1442" s="8">
        <v>5.1</v>
      </c>
      <c r="F1442" s="4"/>
      <c r="G1442" s="4"/>
      <c r="H1442" s="4"/>
      <c r="I1442" s="15"/>
      <c r="J1442" s="4"/>
    </row>
    <row r="1443" ht="14.25" customHeight="1">
      <c r="A1443" s="8" t="s">
        <v>16</v>
      </c>
      <c r="B1443" s="8">
        <v>7.0</v>
      </c>
      <c r="F1443" s="4"/>
      <c r="G1443" s="4"/>
      <c r="H1443" s="4"/>
      <c r="I1443" s="15"/>
      <c r="J1443" s="4"/>
    </row>
    <row r="1444" ht="14.25" customHeight="1">
      <c r="A1444" s="8" t="s">
        <v>16</v>
      </c>
      <c r="B1444" s="8">
        <v>5.7</v>
      </c>
      <c r="F1444" s="4"/>
      <c r="G1444" s="4"/>
      <c r="H1444" s="4"/>
      <c r="I1444" s="15"/>
      <c r="J1444" s="4"/>
    </row>
    <row r="1445" ht="14.25" customHeight="1">
      <c r="A1445" s="8" t="s">
        <v>16</v>
      </c>
      <c r="B1445" s="8">
        <v>6.8</v>
      </c>
      <c r="F1445" s="4"/>
      <c r="G1445" s="4"/>
      <c r="H1445" s="4"/>
      <c r="I1445" s="15"/>
      <c r="J1445" s="4"/>
    </row>
    <row r="1446" ht="14.25" customHeight="1">
      <c r="A1446" s="8" t="s">
        <v>16</v>
      </c>
      <c r="B1446" s="8">
        <v>6.7</v>
      </c>
      <c r="F1446" s="4"/>
      <c r="G1446" s="4"/>
      <c r="H1446" s="4"/>
      <c r="I1446" s="15"/>
      <c r="J1446" s="4"/>
    </row>
    <row r="1447" ht="14.25" customHeight="1">
      <c r="A1447" s="8" t="s">
        <v>16</v>
      </c>
      <c r="B1447" s="8">
        <v>6.2</v>
      </c>
      <c r="F1447" s="4"/>
      <c r="G1447" s="4"/>
      <c r="H1447" s="4"/>
      <c r="I1447" s="15"/>
      <c r="J1447" s="4"/>
    </row>
    <row r="1448" ht="14.25" customHeight="1">
      <c r="A1448" s="8" t="s">
        <v>16</v>
      </c>
      <c r="B1448" s="8">
        <v>7.2</v>
      </c>
      <c r="F1448" s="4"/>
      <c r="G1448" s="4"/>
      <c r="H1448" s="4"/>
      <c r="I1448" s="15"/>
      <c r="J1448" s="4"/>
    </row>
    <row r="1449" ht="14.25" customHeight="1">
      <c r="A1449" s="8" t="s">
        <v>16</v>
      </c>
      <c r="B1449" s="8">
        <v>6.2</v>
      </c>
      <c r="F1449" s="4"/>
      <c r="G1449" s="4"/>
      <c r="H1449" s="4"/>
      <c r="I1449" s="15"/>
      <c r="J1449" s="4"/>
    </row>
    <row r="1450" ht="14.25" customHeight="1">
      <c r="A1450" s="8" t="s">
        <v>16</v>
      </c>
      <c r="B1450" s="8">
        <v>5.6</v>
      </c>
      <c r="F1450" s="4"/>
      <c r="G1450" s="4"/>
      <c r="H1450" s="4"/>
      <c r="I1450" s="15"/>
      <c r="J1450" s="4"/>
    </row>
    <row r="1451" ht="14.25" customHeight="1">
      <c r="A1451" s="8" t="s">
        <v>16</v>
      </c>
      <c r="B1451" s="8">
        <v>4.4</v>
      </c>
      <c r="F1451" s="4"/>
      <c r="G1451" s="4"/>
      <c r="H1451" s="4"/>
      <c r="I1451" s="15"/>
      <c r="J1451" s="4"/>
    </row>
    <row r="1452" ht="14.25" customHeight="1">
      <c r="A1452" s="8" t="s">
        <v>16</v>
      </c>
      <c r="B1452" s="8">
        <v>7.5</v>
      </c>
      <c r="F1452" s="4"/>
      <c r="G1452" s="4"/>
      <c r="H1452" s="4"/>
      <c r="I1452" s="15"/>
      <c r="J1452" s="4"/>
    </row>
    <row r="1453" ht="14.25" customHeight="1">
      <c r="A1453" s="8" t="s">
        <v>16</v>
      </c>
      <c r="B1453" s="8">
        <v>7.1</v>
      </c>
      <c r="F1453" s="4"/>
      <c r="G1453" s="4"/>
      <c r="H1453" s="4"/>
      <c r="I1453" s="15"/>
      <c r="J1453" s="4"/>
    </row>
    <row r="1454" ht="14.25" customHeight="1">
      <c r="A1454" s="8" t="s">
        <v>16</v>
      </c>
      <c r="B1454" s="8">
        <v>6.4</v>
      </c>
      <c r="F1454" s="4"/>
      <c r="G1454" s="4"/>
      <c r="H1454" s="4"/>
      <c r="I1454" s="15"/>
      <c r="J1454" s="4"/>
    </row>
    <row r="1455" ht="14.25" customHeight="1">
      <c r="A1455" s="8" t="s">
        <v>16</v>
      </c>
      <c r="B1455" s="8">
        <v>7.1</v>
      </c>
      <c r="F1455" s="4"/>
      <c r="G1455" s="4"/>
      <c r="H1455" s="4"/>
      <c r="I1455" s="15"/>
      <c r="J1455" s="4"/>
    </row>
    <row r="1456" ht="14.25" customHeight="1">
      <c r="A1456" s="8" t="s">
        <v>16</v>
      </c>
      <c r="B1456" s="8">
        <v>6.9</v>
      </c>
      <c r="F1456" s="4"/>
      <c r="G1456" s="4"/>
      <c r="H1456" s="4"/>
      <c r="I1456" s="15"/>
      <c r="J1456" s="4"/>
    </row>
    <row r="1457" ht="14.25" customHeight="1">
      <c r="A1457" s="8" t="s">
        <v>16</v>
      </c>
      <c r="B1457" s="8">
        <v>7.5</v>
      </c>
      <c r="F1457" s="4"/>
      <c r="G1457" s="4"/>
      <c r="H1457" s="4"/>
      <c r="I1457" s="15"/>
      <c r="J1457" s="4"/>
    </row>
    <row r="1458" ht="14.25" customHeight="1">
      <c r="A1458" s="8" t="s">
        <v>16</v>
      </c>
      <c r="B1458" s="8">
        <v>6.3</v>
      </c>
      <c r="F1458" s="4"/>
      <c r="G1458" s="4"/>
      <c r="H1458" s="4"/>
      <c r="I1458" s="15"/>
      <c r="J1458" s="4"/>
    </row>
    <row r="1459" ht="14.25" customHeight="1">
      <c r="A1459" s="8" t="s">
        <v>16</v>
      </c>
      <c r="B1459" s="8">
        <v>6.4</v>
      </c>
      <c r="F1459" s="4"/>
      <c r="G1459" s="4"/>
      <c r="H1459" s="4"/>
      <c r="I1459" s="15"/>
      <c r="J1459" s="4"/>
    </row>
    <row r="1460" ht="14.25" customHeight="1">
      <c r="A1460" s="8" t="s">
        <v>16</v>
      </c>
      <c r="B1460" s="8">
        <v>5.9</v>
      </c>
      <c r="F1460" s="4"/>
      <c r="G1460" s="4"/>
      <c r="H1460" s="4"/>
      <c r="I1460" s="15"/>
      <c r="J1460" s="4"/>
    </row>
    <row r="1461" ht="14.25" customHeight="1">
      <c r="A1461" s="8" t="s">
        <v>16</v>
      </c>
      <c r="B1461" s="8">
        <v>6.8</v>
      </c>
      <c r="F1461" s="4"/>
      <c r="G1461" s="4"/>
      <c r="H1461" s="4"/>
      <c r="I1461" s="15"/>
      <c r="J1461" s="4"/>
    </row>
    <row r="1462" ht="14.25" customHeight="1">
      <c r="A1462" s="8" t="s">
        <v>16</v>
      </c>
      <c r="B1462" s="8">
        <v>6.3</v>
      </c>
      <c r="F1462" s="4"/>
      <c r="G1462" s="4"/>
      <c r="H1462" s="4"/>
      <c r="I1462" s="15"/>
      <c r="J1462" s="4"/>
    </row>
    <row r="1463" ht="14.25" customHeight="1">
      <c r="A1463" s="8" t="s">
        <v>16</v>
      </c>
      <c r="B1463" s="8">
        <v>3.6</v>
      </c>
      <c r="F1463" s="4"/>
      <c r="G1463" s="4"/>
      <c r="H1463" s="4"/>
      <c r="I1463" s="15"/>
      <c r="J1463" s="4"/>
    </row>
    <row r="1464" ht="14.25" customHeight="1">
      <c r="A1464" s="8" t="s">
        <v>16</v>
      </c>
      <c r="B1464" s="8">
        <v>5.3</v>
      </c>
      <c r="F1464" s="4"/>
      <c r="G1464" s="4"/>
      <c r="H1464" s="4"/>
      <c r="I1464" s="15"/>
      <c r="J1464" s="4"/>
    </row>
    <row r="1465" ht="14.25" customHeight="1">
      <c r="A1465" s="8" t="s">
        <v>16</v>
      </c>
      <c r="B1465" s="8">
        <v>5.9</v>
      </c>
      <c r="F1465" s="4"/>
      <c r="G1465" s="4"/>
      <c r="H1465" s="4"/>
      <c r="I1465" s="15"/>
      <c r="J1465" s="4"/>
    </row>
    <row r="1466" ht="14.25" customHeight="1">
      <c r="A1466" s="8" t="s">
        <v>16</v>
      </c>
      <c r="B1466" s="8">
        <v>6.9</v>
      </c>
      <c r="F1466" s="4"/>
      <c r="G1466" s="4"/>
      <c r="H1466" s="4"/>
      <c r="I1466" s="15"/>
      <c r="J1466" s="4"/>
    </row>
    <row r="1467" ht="14.25" customHeight="1">
      <c r="A1467" s="8" t="s">
        <v>16</v>
      </c>
      <c r="B1467" s="8">
        <v>6.9</v>
      </c>
      <c r="F1467" s="4"/>
      <c r="G1467" s="4"/>
      <c r="H1467" s="4"/>
      <c r="I1467" s="15"/>
      <c r="J1467" s="4"/>
    </row>
    <row r="1468" ht="14.25" customHeight="1">
      <c r="A1468" s="8" t="s">
        <v>16</v>
      </c>
      <c r="B1468" s="8">
        <v>6.1</v>
      </c>
      <c r="F1468" s="4"/>
      <c r="G1468" s="4"/>
      <c r="H1468" s="4"/>
      <c r="I1468" s="15"/>
      <c r="J1468" s="4"/>
    </row>
    <row r="1469" ht="14.25" customHeight="1">
      <c r="A1469" s="8" t="s">
        <v>16</v>
      </c>
      <c r="B1469" s="8">
        <v>8.5</v>
      </c>
      <c r="F1469" s="4"/>
      <c r="G1469" s="4"/>
      <c r="H1469" s="4"/>
      <c r="I1469" s="15"/>
      <c r="J1469" s="4"/>
    </row>
    <row r="1470" ht="14.25" customHeight="1">
      <c r="A1470" s="8" t="s">
        <v>16</v>
      </c>
      <c r="B1470" s="8">
        <v>6.3</v>
      </c>
      <c r="F1470" s="4"/>
      <c r="G1470" s="4"/>
      <c r="H1470" s="4"/>
      <c r="I1470" s="15"/>
      <c r="J1470" s="4"/>
    </row>
    <row r="1471" ht="14.25" customHeight="1">
      <c r="A1471" s="8" t="s">
        <v>16</v>
      </c>
      <c r="B1471" s="8">
        <v>7.3</v>
      </c>
      <c r="F1471" s="4"/>
      <c r="G1471" s="4"/>
      <c r="H1471" s="4"/>
      <c r="I1471" s="15"/>
      <c r="J1471" s="4"/>
    </row>
    <row r="1472" ht="14.25" customHeight="1">
      <c r="A1472" s="8" t="s">
        <v>16</v>
      </c>
      <c r="B1472" s="8">
        <v>6.3</v>
      </c>
      <c r="F1472" s="4"/>
      <c r="G1472" s="4"/>
      <c r="H1472" s="4"/>
      <c r="I1472" s="15"/>
      <c r="J1472" s="4"/>
    </row>
    <row r="1473" ht="14.25" customHeight="1">
      <c r="A1473" s="8" t="s">
        <v>16</v>
      </c>
      <c r="B1473" s="8">
        <v>7.2</v>
      </c>
      <c r="F1473" s="4"/>
      <c r="G1473" s="4"/>
      <c r="H1473" s="4"/>
      <c r="I1473" s="15"/>
      <c r="J1473" s="4"/>
    </row>
    <row r="1474" ht="14.25" customHeight="1">
      <c r="A1474" s="8" t="s">
        <v>16</v>
      </c>
      <c r="B1474" s="8">
        <v>7.3</v>
      </c>
      <c r="F1474" s="4"/>
      <c r="G1474" s="4"/>
      <c r="H1474" s="4"/>
      <c r="I1474" s="15"/>
      <c r="J1474" s="4"/>
    </row>
    <row r="1475" ht="14.25" customHeight="1">
      <c r="A1475" s="8" t="s">
        <v>16</v>
      </c>
      <c r="B1475" s="8">
        <v>6.3</v>
      </c>
      <c r="F1475" s="4"/>
      <c r="G1475" s="4"/>
      <c r="H1475" s="4"/>
      <c r="I1475" s="15"/>
      <c r="J1475" s="4"/>
    </row>
    <row r="1476" ht="14.25" customHeight="1">
      <c r="A1476" s="8" t="s">
        <v>16</v>
      </c>
      <c r="B1476" s="8">
        <v>8.1</v>
      </c>
      <c r="F1476" s="4"/>
      <c r="G1476" s="4"/>
      <c r="H1476" s="4"/>
      <c r="I1476" s="15"/>
      <c r="J1476" s="4"/>
    </row>
    <row r="1477" ht="14.25" customHeight="1">
      <c r="A1477" s="8" t="s">
        <v>16</v>
      </c>
      <c r="B1477" s="8">
        <v>6.9</v>
      </c>
      <c r="F1477" s="4"/>
      <c r="G1477" s="4"/>
      <c r="H1477" s="4"/>
      <c r="I1477" s="15"/>
      <c r="J1477" s="4"/>
    </row>
    <row r="1478" ht="14.25" customHeight="1">
      <c r="A1478" s="8" t="s">
        <v>16</v>
      </c>
      <c r="B1478" s="8">
        <v>6.3</v>
      </c>
      <c r="F1478" s="4"/>
      <c r="G1478" s="4"/>
      <c r="H1478" s="4"/>
      <c r="I1478" s="15"/>
      <c r="J1478" s="4"/>
    </row>
    <row r="1479" ht="14.25" customHeight="1">
      <c r="A1479" s="8" t="s">
        <v>16</v>
      </c>
      <c r="B1479" s="8">
        <v>7.3</v>
      </c>
      <c r="F1479" s="4"/>
      <c r="G1479" s="4"/>
      <c r="H1479" s="4"/>
      <c r="I1479" s="15"/>
      <c r="J1479" s="4"/>
    </row>
    <row r="1480" ht="14.25" customHeight="1">
      <c r="A1480" s="8" t="s">
        <v>16</v>
      </c>
      <c r="B1480" s="8">
        <v>5.5</v>
      </c>
      <c r="F1480" s="4"/>
      <c r="G1480" s="4"/>
      <c r="H1480" s="4"/>
      <c r="I1480" s="15"/>
      <c r="J1480" s="4"/>
    </row>
    <row r="1481" ht="14.25" customHeight="1">
      <c r="A1481" s="8" t="s">
        <v>16</v>
      </c>
      <c r="B1481" s="8">
        <v>6.1</v>
      </c>
      <c r="F1481" s="4"/>
      <c r="G1481" s="4"/>
      <c r="H1481" s="4"/>
      <c r="I1481" s="15"/>
      <c r="J1481" s="4"/>
    </row>
    <row r="1482" ht="14.25" customHeight="1">
      <c r="A1482" s="8" t="s">
        <v>16</v>
      </c>
      <c r="B1482" s="8">
        <v>6.9</v>
      </c>
      <c r="F1482" s="4"/>
      <c r="G1482" s="4"/>
      <c r="H1482" s="4"/>
      <c r="I1482" s="15"/>
      <c r="J1482" s="4"/>
    </row>
    <row r="1483" ht="14.25" customHeight="1">
      <c r="A1483" s="8" t="s">
        <v>16</v>
      </c>
      <c r="B1483" s="8">
        <v>7.2</v>
      </c>
      <c r="F1483" s="4"/>
      <c r="G1483" s="4"/>
      <c r="H1483" s="4"/>
      <c r="I1483" s="15"/>
      <c r="J1483" s="4"/>
    </row>
    <row r="1484" ht="14.25" customHeight="1">
      <c r="A1484" s="8" t="s">
        <v>16</v>
      </c>
      <c r="B1484" s="8">
        <v>6.4</v>
      </c>
      <c r="F1484" s="4"/>
      <c r="G1484" s="4"/>
      <c r="H1484" s="4"/>
      <c r="I1484" s="15"/>
      <c r="J1484" s="4"/>
    </row>
    <row r="1485" ht="14.25" customHeight="1">
      <c r="A1485" s="8" t="s">
        <v>16</v>
      </c>
      <c r="B1485" s="8">
        <v>6.4</v>
      </c>
      <c r="F1485" s="4"/>
      <c r="G1485" s="4"/>
      <c r="H1485" s="4"/>
      <c r="I1485" s="15"/>
      <c r="J1485" s="4"/>
    </row>
    <row r="1486" ht="14.25" customHeight="1">
      <c r="A1486" s="8" t="s">
        <v>16</v>
      </c>
      <c r="B1486" s="8">
        <v>8.3</v>
      </c>
      <c r="F1486" s="4"/>
      <c r="G1486" s="4"/>
      <c r="H1486" s="4"/>
      <c r="I1486" s="15"/>
      <c r="J1486" s="4"/>
    </row>
    <row r="1487" ht="14.25" customHeight="1">
      <c r="A1487" s="8" t="s">
        <v>16</v>
      </c>
      <c r="B1487" s="8">
        <v>7.2</v>
      </c>
      <c r="F1487" s="4"/>
      <c r="G1487" s="4"/>
      <c r="H1487" s="4"/>
      <c r="I1487" s="15"/>
      <c r="J1487" s="4"/>
    </row>
    <row r="1488" ht="14.25" customHeight="1">
      <c r="A1488" s="8" t="s">
        <v>16</v>
      </c>
      <c r="B1488" s="8">
        <v>6.8</v>
      </c>
      <c r="F1488" s="4"/>
      <c r="G1488" s="4"/>
      <c r="H1488" s="4"/>
      <c r="I1488" s="15"/>
      <c r="J1488" s="4"/>
    </row>
    <row r="1489" ht="14.25" customHeight="1">
      <c r="A1489" s="8" t="s">
        <v>16</v>
      </c>
      <c r="B1489" s="8">
        <v>6.5</v>
      </c>
      <c r="F1489" s="4"/>
      <c r="G1489" s="4"/>
      <c r="H1489" s="4"/>
      <c r="I1489" s="15"/>
      <c r="J1489" s="4"/>
    </row>
    <row r="1490" ht="14.25" customHeight="1">
      <c r="A1490" s="8" t="s">
        <v>16</v>
      </c>
      <c r="B1490" s="8">
        <v>7.8</v>
      </c>
      <c r="F1490" s="4"/>
      <c r="G1490" s="4"/>
      <c r="H1490" s="4"/>
      <c r="I1490" s="15"/>
      <c r="J1490" s="4"/>
    </row>
    <row r="1491" ht="14.25" customHeight="1">
      <c r="A1491" s="8" t="s">
        <v>16</v>
      </c>
      <c r="B1491" s="8">
        <v>7.6</v>
      </c>
      <c r="F1491" s="4"/>
      <c r="G1491" s="4"/>
      <c r="H1491" s="4"/>
      <c r="I1491" s="15"/>
      <c r="J1491" s="4"/>
    </row>
    <row r="1492" ht="14.25" customHeight="1">
      <c r="A1492" s="8" t="s">
        <v>16</v>
      </c>
      <c r="B1492" s="8">
        <v>7.2</v>
      </c>
      <c r="F1492" s="4"/>
      <c r="G1492" s="4"/>
      <c r="H1492" s="4"/>
      <c r="I1492" s="15"/>
      <c r="J1492" s="4"/>
    </row>
    <row r="1493" ht="14.25" customHeight="1">
      <c r="A1493" s="8" t="s">
        <v>16</v>
      </c>
      <c r="B1493" s="8">
        <v>6.7</v>
      </c>
      <c r="F1493" s="4"/>
      <c r="G1493" s="4"/>
      <c r="H1493" s="4"/>
      <c r="I1493" s="15"/>
      <c r="J1493" s="4"/>
    </row>
    <row r="1494" ht="14.25" customHeight="1">
      <c r="A1494" s="8" t="s">
        <v>16</v>
      </c>
      <c r="B1494" s="8">
        <v>6.8</v>
      </c>
      <c r="F1494" s="4"/>
      <c r="G1494" s="4"/>
      <c r="H1494" s="4"/>
      <c r="I1494" s="15"/>
      <c r="J1494" s="4"/>
    </row>
    <row r="1495" ht="14.25" customHeight="1">
      <c r="A1495" s="8" t="s">
        <v>16</v>
      </c>
      <c r="B1495" s="8">
        <v>6.3</v>
      </c>
      <c r="F1495" s="4"/>
      <c r="G1495" s="4"/>
      <c r="H1495" s="4"/>
      <c r="I1495" s="15"/>
      <c r="J1495" s="4"/>
    </row>
    <row r="1496" ht="14.25" customHeight="1">
      <c r="A1496" s="8" t="s">
        <v>16</v>
      </c>
      <c r="B1496" s="8">
        <v>6.2</v>
      </c>
      <c r="F1496" s="4"/>
      <c r="G1496" s="4"/>
      <c r="H1496" s="4"/>
      <c r="I1496" s="15"/>
      <c r="J1496" s="4"/>
    </row>
    <row r="1497" ht="14.25" customHeight="1">
      <c r="A1497" s="8" t="s">
        <v>16</v>
      </c>
      <c r="B1497" s="8">
        <v>6.2</v>
      </c>
      <c r="F1497" s="4"/>
      <c r="G1497" s="4"/>
      <c r="H1497" s="4"/>
      <c r="I1497" s="15"/>
      <c r="J1497" s="4"/>
    </row>
    <row r="1498" ht="14.25" customHeight="1">
      <c r="A1498" s="8" t="s">
        <v>16</v>
      </c>
      <c r="B1498" s="8">
        <v>8.6</v>
      </c>
      <c r="F1498" s="4"/>
      <c r="G1498" s="4"/>
      <c r="H1498" s="4"/>
      <c r="I1498" s="15"/>
      <c r="J1498" s="4"/>
    </row>
    <row r="1499" ht="14.25" customHeight="1">
      <c r="A1499" s="8" t="s">
        <v>16</v>
      </c>
      <c r="B1499" s="8">
        <v>8.0</v>
      </c>
      <c r="F1499" s="4"/>
      <c r="G1499" s="4"/>
      <c r="H1499" s="4"/>
      <c r="I1499" s="15"/>
      <c r="J1499" s="4"/>
    </row>
    <row r="1500" ht="14.25" customHeight="1">
      <c r="A1500" s="8" t="s">
        <v>16</v>
      </c>
      <c r="B1500" s="8">
        <v>7.0</v>
      </c>
      <c r="F1500" s="4"/>
      <c r="G1500" s="4"/>
      <c r="H1500" s="4"/>
      <c r="I1500" s="15"/>
      <c r="J1500" s="4"/>
    </row>
    <row r="1501" ht="14.25" customHeight="1">
      <c r="A1501" s="8" t="s">
        <v>16</v>
      </c>
      <c r="B1501" s="8">
        <v>8.0</v>
      </c>
      <c r="F1501" s="4"/>
      <c r="G1501" s="4"/>
      <c r="H1501" s="4"/>
      <c r="I1501" s="15"/>
      <c r="J1501" s="4"/>
    </row>
    <row r="1502" ht="14.25" customHeight="1">
      <c r="A1502" s="8" t="s">
        <v>16</v>
      </c>
      <c r="B1502" s="8">
        <v>8.1</v>
      </c>
      <c r="F1502" s="4"/>
      <c r="G1502" s="4"/>
      <c r="H1502" s="4"/>
      <c r="I1502" s="15"/>
      <c r="J1502" s="4"/>
    </row>
    <row r="1503" ht="14.25" customHeight="1">
      <c r="A1503" s="8" t="s">
        <v>16</v>
      </c>
      <c r="B1503" s="8">
        <v>6.7</v>
      </c>
      <c r="F1503" s="4"/>
      <c r="G1503" s="4"/>
      <c r="H1503" s="4"/>
      <c r="I1503" s="15"/>
      <c r="J1503" s="4"/>
    </row>
    <row r="1504" ht="14.25" customHeight="1">
      <c r="A1504" s="8" t="s">
        <v>16</v>
      </c>
      <c r="B1504" s="8">
        <v>7.9</v>
      </c>
      <c r="F1504" s="4"/>
      <c r="G1504" s="4"/>
      <c r="H1504" s="4"/>
      <c r="I1504" s="15"/>
      <c r="J1504" s="4"/>
    </row>
    <row r="1505" ht="14.25" customHeight="1">
      <c r="A1505" s="8" t="s">
        <v>16</v>
      </c>
      <c r="B1505" s="8">
        <v>6.1</v>
      </c>
      <c r="F1505" s="4"/>
      <c r="G1505" s="4"/>
      <c r="H1505" s="4"/>
      <c r="I1505" s="15"/>
      <c r="J1505" s="4"/>
    </row>
    <row r="1506" ht="14.25" customHeight="1">
      <c r="A1506" s="8" t="s">
        <v>16</v>
      </c>
      <c r="B1506" s="8">
        <v>4.2</v>
      </c>
      <c r="F1506" s="4"/>
      <c r="G1506" s="4"/>
      <c r="H1506" s="4"/>
      <c r="I1506" s="15"/>
      <c r="J1506" s="4"/>
    </row>
    <row r="1507" ht="14.25" customHeight="1">
      <c r="A1507" s="8" t="s">
        <v>16</v>
      </c>
      <c r="B1507" s="8">
        <v>6.1</v>
      </c>
      <c r="F1507" s="4"/>
      <c r="G1507" s="4"/>
      <c r="H1507" s="4"/>
      <c r="I1507" s="15"/>
      <c r="J1507" s="4"/>
    </row>
    <row r="1508" ht="14.25" customHeight="1">
      <c r="A1508" s="8" t="s">
        <v>16</v>
      </c>
      <c r="B1508" s="8">
        <v>6.6</v>
      </c>
      <c r="F1508" s="4"/>
      <c r="G1508" s="4"/>
      <c r="H1508" s="4"/>
      <c r="I1508" s="15"/>
      <c r="J1508" s="4"/>
    </row>
    <row r="1509" ht="14.25" customHeight="1">
      <c r="A1509" s="8" t="s">
        <v>16</v>
      </c>
      <c r="B1509" s="8">
        <v>7.5</v>
      </c>
      <c r="F1509" s="4"/>
      <c r="G1509" s="4"/>
      <c r="H1509" s="4"/>
      <c r="I1509" s="15"/>
      <c r="J1509" s="4"/>
    </row>
    <row r="1510" ht="14.25" customHeight="1">
      <c r="A1510" s="8" t="s">
        <v>16</v>
      </c>
      <c r="B1510" s="8">
        <v>7.4</v>
      </c>
      <c r="F1510" s="4"/>
      <c r="G1510" s="4"/>
      <c r="H1510" s="4"/>
      <c r="I1510" s="15"/>
      <c r="J1510" s="4"/>
    </row>
    <row r="1511" ht="14.25" customHeight="1">
      <c r="A1511" s="8" t="s">
        <v>16</v>
      </c>
      <c r="B1511" s="8">
        <v>7.2</v>
      </c>
      <c r="F1511" s="4"/>
      <c r="G1511" s="4"/>
      <c r="H1511" s="4"/>
      <c r="I1511" s="15"/>
      <c r="J1511" s="4"/>
    </row>
    <row r="1512" ht="14.25" customHeight="1">
      <c r="A1512" s="8" t="s">
        <v>16</v>
      </c>
      <c r="B1512" s="8">
        <v>6.9</v>
      </c>
      <c r="F1512" s="4"/>
      <c r="G1512" s="4"/>
      <c r="H1512" s="4"/>
      <c r="I1512" s="15"/>
      <c r="J1512" s="4"/>
    </row>
    <row r="1513" ht="14.25" customHeight="1">
      <c r="A1513" s="8" t="s">
        <v>16</v>
      </c>
      <c r="B1513" s="8">
        <v>7.4</v>
      </c>
      <c r="F1513" s="4"/>
      <c r="G1513" s="4"/>
      <c r="H1513" s="4"/>
      <c r="I1513" s="15"/>
      <c r="J1513" s="4"/>
    </row>
    <row r="1514" ht="14.25" customHeight="1">
      <c r="A1514" s="8" t="s">
        <v>16</v>
      </c>
      <c r="B1514" s="8">
        <v>5.4</v>
      </c>
      <c r="F1514" s="4"/>
      <c r="G1514" s="4"/>
      <c r="H1514" s="4"/>
      <c r="I1514" s="15"/>
      <c r="J1514" s="4"/>
    </row>
    <row r="1515" ht="14.25" customHeight="1">
      <c r="A1515" s="8" t="s">
        <v>16</v>
      </c>
      <c r="B1515" s="8">
        <v>6.8</v>
      </c>
      <c r="F1515" s="4"/>
      <c r="G1515" s="4"/>
      <c r="H1515" s="4"/>
      <c r="I1515" s="15"/>
      <c r="J1515" s="4"/>
    </row>
    <row r="1516" ht="14.25" customHeight="1">
      <c r="A1516" s="8" t="s">
        <v>16</v>
      </c>
      <c r="B1516" s="8">
        <v>6.3</v>
      </c>
      <c r="F1516" s="4"/>
      <c r="G1516" s="4"/>
      <c r="H1516" s="4"/>
      <c r="I1516" s="15"/>
      <c r="J1516" s="4"/>
    </row>
    <row r="1517" ht="14.25" customHeight="1">
      <c r="A1517" s="8" t="s">
        <v>16</v>
      </c>
      <c r="B1517" s="8">
        <v>7.2</v>
      </c>
      <c r="F1517" s="4"/>
      <c r="G1517" s="4"/>
      <c r="H1517" s="4"/>
      <c r="I1517" s="15"/>
      <c r="J1517" s="4"/>
    </row>
    <row r="1518" ht="14.25" customHeight="1">
      <c r="A1518" s="8" t="s">
        <v>16</v>
      </c>
      <c r="B1518" s="8">
        <v>6.9</v>
      </c>
      <c r="F1518" s="4"/>
      <c r="G1518" s="4"/>
      <c r="H1518" s="4"/>
      <c r="I1518" s="15"/>
      <c r="J1518" s="4"/>
    </row>
    <row r="1519" ht="14.25" customHeight="1">
      <c r="A1519" s="8" t="s">
        <v>16</v>
      </c>
      <c r="B1519" s="8">
        <v>6.0</v>
      </c>
      <c r="F1519" s="4"/>
      <c r="G1519" s="4"/>
      <c r="H1519" s="4"/>
      <c r="I1519" s="15"/>
      <c r="J1519" s="4"/>
    </row>
    <row r="1520" ht="14.25" customHeight="1">
      <c r="A1520" s="8" t="s">
        <v>16</v>
      </c>
      <c r="B1520" s="8">
        <v>5.9</v>
      </c>
      <c r="F1520" s="4"/>
      <c r="G1520" s="4"/>
      <c r="H1520" s="4"/>
      <c r="I1520" s="15"/>
      <c r="J1520" s="4"/>
    </row>
    <row r="1521" ht="14.25" customHeight="1">
      <c r="A1521" s="8" t="s">
        <v>16</v>
      </c>
      <c r="B1521" s="8">
        <v>5.4</v>
      </c>
      <c r="F1521" s="4"/>
      <c r="G1521" s="4"/>
      <c r="H1521" s="4"/>
      <c r="I1521" s="15"/>
      <c r="J1521" s="4"/>
    </row>
    <row r="1522" ht="14.25" customHeight="1">
      <c r="A1522" s="8" t="s">
        <v>16</v>
      </c>
      <c r="B1522" s="8">
        <v>5.9</v>
      </c>
      <c r="F1522" s="4"/>
      <c r="G1522" s="4"/>
      <c r="H1522" s="4"/>
      <c r="I1522" s="15"/>
      <c r="J1522" s="4"/>
    </row>
    <row r="1523" ht="14.25" customHeight="1">
      <c r="A1523" s="8" t="s">
        <v>16</v>
      </c>
      <c r="B1523" s="8">
        <v>6.1</v>
      </c>
      <c r="F1523" s="4"/>
      <c r="G1523" s="4"/>
      <c r="H1523" s="4"/>
      <c r="I1523" s="15"/>
      <c r="J1523" s="4"/>
    </row>
    <row r="1524" ht="14.25" customHeight="1">
      <c r="A1524" s="8" t="s">
        <v>16</v>
      </c>
      <c r="B1524" s="8">
        <v>7.7</v>
      </c>
      <c r="F1524" s="4"/>
      <c r="G1524" s="4"/>
      <c r="H1524" s="4"/>
      <c r="I1524" s="15"/>
      <c r="J1524" s="4"/>
    </row>
    <row r="1525" ht="14.25" customHeight="1">
      <c r="A1525" s="8" t="s">
        <v>16</v>
      </c>
      <c r="B1525" s="8">
        <v>5.8</v>
      </c>
      <c r="F1525" s="4"/>
      <c r="G1525" s="4"/>
      <c r="H1525" s="4"/>
      <c r="I1525" s="15"/>
      <c r="J1525" s="4"/>
    </row>
    <row r="1526" ht="14.25" customHeight="1">
      <c r="A1526" s="8" t="s">
        <v>16</v>
      </c>
      <c r="B1526" s="8">
        <v>7.6</v>
      </c>
      <c r="F1526" s="4"/>
      <c r="G1526" s="4"/>
      <c r="H1526" s="4"/>
      <c r="I1526" s="15"/>
      <c r="J1526" s="4"/>
    </row>
    <row r="1527" ht="14.25" customHeight="1">
      <c r="A1527" s="8" t="s">
        <v>16</v>
      </c>
      <c r="B1527" s="8">
        <v>6.1</v>
      </c>
      <c r="F1527" s="4"/>
      <c r="G1527" s="4"/>
      <c r="H1527" s="4"/>
      <c r="I1527" s="15"/>
      <c r="J1527" s="4"/>
    </row>
    <row r="1528" ht="14.25" customHeight="1">
      <c r="A1528" s="8" t="s">
        <v>16</v>
      </c>
      <c r="B1528" s="8">
        <v>5.4</v>
      </c>
      <c r="F1528" s="4"/>
      <c r="G1528" s="4"/>
      <c r="H1528" s="4"/>
      <c r="I1528" s="15"/>
      <c r="J1528" s="4"/>
    </row>
    <row r="1529" ht="14.25" customHeight="1">
      <c r="A1529" s="8" t="s">
        <v>16</v>
      </c>
      <c r="B1529" s="8">
        <v>5.1</v>
      </c>
      <c r="F1529" s="4"/>
      <c r="G1529" s="4"/>
      <c r="H1529" s="4"/>
      <c r="I1529" s="15"/>
      <c r="J1529" s="4"/>
    </row>
    <row r="1530" ht="14.25" customHeight="1">
      <c r="A1530" s="8" t="s">
        <v>16</v>
      </c>
      <c r="B1530" s="8">
        <v>6.4</v>
      </c>
      <c r="F1530" s="4"/>
      <c r="G1530" s="4"/>
      <c r="H1530" s="4"/>
      <c r="I1530" s="15"/>
      <c r="J1530" s="4"/>
    </row>
    <row r="1531" ht="14.25" customHeight="1">
      <c r="A1531" s="8" t="s">
        <v>16</v>
      </c>
      <c r="B1531" s="8">
        <v>6.3</v>
      </c>
      <c r="F1531" s="4"/>
      <c r="G1531" s="4"/>
      <c r="H1531" s="4"/>
      <c r="I1531" s="15"/>
      <c r="J1531" s="4"/>
    </row>
    <row r="1532" ht="14.25" customHeight="1">
      <c r="A1532" s="8" t="s">
        <v>16</v>
      </c>
      <c r="B1532" s="8">
        <v>7.5</v>
      </c>
      <c r="F1532" s="4"/>
      <c r="G1532" s="4"/>
      <c r="H1532" s="4"/>
      <c r="I1532" s="15"/>
      <c r="J1532" s="4"/>
    </row>
    <row r="1533" ht="14.25" customHeight="1">
      <c r="A1533" s="8" t="s">
        <v>16</v>
      </c>
      <c r="B1533" s="8">
        <v>7.1</v>
      </c>
      <c r="F1533" s="4"/>
      <c r="G1533" s="4"/>
      <c r="H1533" s="4"/>
      <c r="I1533" s="15"/>
      <c r="J1533" s="4"/>
    </row>
    <row r="1534" ht="14.25" customHeight="1">
      <c r="A1534" s="8" t="s">
        <v>16</v>
      </c>
      <c r="B1534" s="8">
        <v>7.8</v>
      </c>
      <c r="F1534" s="4"/>
      <c r="G1534" s="4"/>
      <c r="H1534" s="4"/>
      <c r="I1534" s="15"/>
      <c r="J1534" s="4"/>
    </row>
    <row r="1535" ht="14.25" customHeight="1">
      <c r="A1535" s="8" t="s">
        <v>16</v>
      </c>
      <c r="B1535" s="8">
        <v>6.5</v>
      </c>
      <c r="F1535" s="4"/>
      <c r="G1535" s="4"/>
      <c r="H1535" s="4"/>
      <c r="I1535" s="15"/>
      <c r="J1535" s="4"/>
    </row>
    <row r="1536" ht="14.25" customHeight="1">
      <c r="A1536" s="8" t="s">
        <v>16</v>
      </c>
      <c r="B1536" s="8">
        <v>6.6</v>
      </c>
      <c r="F1536" s="4"/>
      <c r="G1536" s="4"/>
      <c r="H1536" s="4"/>
      <c r="I1536" s="15"/>
      <c r="J1536" s="4"/>
    </row>
    <row r="1537" ht="14.25" customHeight="1">
      <c r="A1537" s="8" t="s">
        <v>16</v>
      </c>
      <c r="B1537" s="8">
        <v>7.4</v>
      </c>
      <c r="F1537" s="4"/>
      <c r="G1537" s="4"/>
      <c r="H1537" s="4"/>
      <c r="I1537" s="15"/>
      <c r="J1537" s="4"/>
    </row>
    <row r="1538" ht="14.25" customHeight="1">
      <c r="A1538" s="8" t="s">
        <v>16</v>
      </c>
      <c r="B1538" s="8">
        <v>7.6</v>
      </c>
      <c r="F1538" s="4"/>
      <c r="G1538" s="4"/>
      <c r="H1538" s="4"/>
      <c r="I1538" s="15"/>
      <c r="J1538" s="4"/>
    </row>
    <row r="1539" ht="14.25" customHeight="1">
      <c r="A1539" s="8" t="s">
        <v>16</v>
      </c>
      <c r="B1539" s="8">
        <v>7.5</v>
      </c>
      <c r="F1539" s="4"/>
      <c r="G1539" s="4"/>
      <c r="H1539" s="4"/>
      <c r="I1539" s="15"/>
      <c r="J1539" s="4"/>
    </row>
    <row r="1540" ht="14.25" customHeight="1">
      <c r="A1540" s="8" t="s">
        <v>16</v>
      </c>
      <c r="B1540" s="8">
        <v>6.6</v>
      </c>
      <c r="F1540" s="4"/>
      <c r="G1540" s="4"/>
      <c r="H1540" s="4"/>
      <c r="I1540" s="15"/>
      <c r="J1540" s="4"/>
    </row>
    <row r="1541" ht="14.25" customHeight="1">
      <c r="A1541" s="8" t="s">
        <v>16</v>
      </c>
      <c r="B1541" s="8">
        <v>7.2</v>
      </c>
      <c r="F1541" s="4"/>
      <c r="G1541" s="4"/>
      <c r="H1541" s="4"/>
      <c r="I1541" s="15"/>
      <c r="J1541" s="4"/>
    </row>
    <row r="1542" ht="14.25" customHeight="1">
      <c r="A1542" s="8" t="s">
        <v>16</v>
      </c>
      <c r="B1542" s="8">
        <v>7.6</v>
      </c>
      <c r="F1542" s="4"/>
      <c r="G1542" s="4"/>
      <c r="H1542" s="4"/>
      <c r="I1542" s="15"/>
      <c r="J1542" s="4"/>
    </row>
    <row r="1543" ht="14.25" customHeight="1">
      <c r="A1543" s="8" t="s">
        <v>16</v>
      </c>
      <c r="B1543" s="8">
        <v>6.2</v>
      </c>
      <c r="F1543" s="4"/>
      <c r="G1543" s="4"/>
      <c r="H1543" s="4"/>
      <c r="I1543" s="15"/>
      <c r="J1543" s="4"/>
    </row>
    <row r="1544" ht="14.25" customHeight="1">
      <c r="A1544" s="8" t="s">
        <v>16</v>
      </c>
      <c r="B1544" s="8">
        <v>5.6</v>
      </c>
      <c r="F1544" s="4"/>
      <c r="G1544" s="4"/>
      <c r="H1544" s="4"/>
      <c r="I1544" s="15"/>
      <c r="J1544" s="4"/>
    </row>
    <row r="1545" ht="14.25" customHeight="1">
      <c r="A1545" s="8" t="s">
        <v>16</v>
      </c>
      <c r="B1545" s="8">
        <v>7.6</v>
      </c>
      <c r="F1545" s="4"/>
      <c r="G1545" s="4"/>
      <c r="H1545" s="4"/>
      <c r="I1545" s="15"/>
      <c r="J1545" s="4"/>
    </row>
    <row r="1546" ht="14.25" customHeight="1">
      <c r="A1546" s="8" t="s">
        <v>16</v>
      </c>
      <c r="B1546" s="8">
        <v>6.6</v>
      </c>
      <c r="F1546" s="4"/>
      <c r="G1546" s="4"/>
      <c r="H1546" s="4"/>
      <c r="I1546" s="15"/>
      <c r="J1546" s="4"/>
    </row>
    <row r="1547" ht="14.25" customHeight="1">
      <c r="A1547" s="8" t="s">
        <v>16</v>
      </c>
      <c r="B1547" s="8">
        <v>7.0</v>
      </c>
      <c r="F1547" s="4"/>
      <c r="G1547" s="4"/>
      <c r="H1547" s="4"/>
      <c r="I1547" s="15"/>
      <c r="J1547" s="4"/>
    </row>
    <row r="1548" ht="14.25" customHeight="1">
      <c r="A1548" s="8" t="s">
        <v>16</v>
      </c>
      <c r="B1548" s="8">
        <v>2.7</v>
      </c>
      <c r="F1548" s="4"/>
      <c r="G1548" s="4"/>
      <c r="H1548" s="4"/>
      <c r="I1548" s="15"/>
      <c r="J1548" s="4"/>
    </row>
    <row r="1549" ht="14.25" customHeight="1">
      <c r="A1549" s="8" t="s">
        <v>16</v>
      </c>
      <c r="B1549" s="8">
        <v>7.6</v>
      </c>
      <c r="F1549" s="4"/>
      <c r="G1549" s="4"/>
      <c r="H1549" s="4"/>
      <c r="I1549" s="15"/>
      <c r="J1549" s="4"/>
    </row>
    <row r="1550" ht="14.25" customHeight="1">
      <c r="A1550" s="8" t="s">
        <v>16</v>
      </c>
      <c r="B1550" s="8">
        <v>6.6</v>
      </c>
      <c r="F1550" s="4"/>
      <c r="G1550" s="4"/>
      <c r="H1550" s="4"/>
      <c r="I1550" s="15"/>
      <c r="J1550" s="4"/>
    </row>
    <row r="1551" ht="14.25" customHeight="1">
      <c r="A1551" s="8" t="s">
        <v>16</v>
      </c>
      <c r="B1551" s="8">
        <v>6.9</v>
      </c>
      <c r="F1551" s="4"/>
      <c r="G1551" s="4"/>
      <c r="H1551" s="4"/>
      <c r="I1551" s="15"/>
      <c r="J1551" s="4"/>
    </row>
    <row r="1552" ht="14.25" customHeight="1">
      <c r="A1552" s="8" t="s">
        <v>16</v>
      </c>
      <c r="B1552" s="8">
        <v>6.8</v>
      </c>
      <c r="F1552" s="4"/>
      <c r="G1552" s="4"/>
      <c r="H1552" s="4"/>
      <c r="I1552" s="15"/>
      <c r="J1552" s="4"/>
    </row>
    <row r="1553" ht="14.25" customHeight="1">
      <c r="A1553" s="8" t="s">
        <v>16</v>
      </c>
      <c r="B1553" s="8">
        <v>3.7</v>
      </c>
      <c r="F1553" s="4"/>
      <c r="G1553" s="4"/>
      <c r="H1553" s="4"/>
      <c r="I1553" s="15"/>
      <c r="J1553" s="4"/>
    </row>
    <row r="1554" ht="14.25" customHeight="1">
      <c r="A1554" s="8" t="s">
        <v>16</v>
      </c>
      <c r="B1554" s="8">
        <v>6.1</v>
      </c>
      <c r="F1554" s="4"/>
      <c r="G1554" s="4"/>
      <c r="H1554" s="4"/>
      <c r="I1554" s="15"/>
      <c r="J1554" s="4"/>
    </row>
    <row r="1555" ht="14.25" customHeight="1">
      <c r="A1555" s="8" t="s">
        <v>16</v>
      </c>
      <c r="B1555" s="8">
        <v>5.9</v>
      </c>
      <c r="F1555" s="4"/>
      <c r="G1555" s="4"/>
      <c r="H1555" s="4"/>
      <c r="I1555" s="15"/>
      <c r="J1555" s="4"/>
    </row>
    <row r="1556" ht="14.25" customHeight="1">
      <c r="A1556" s="8" t="s">
        <v>16</v>
      </c>
      <c r="B1556" s="8">
        <v>6.7</v>
      </c>
      <c r="F1556" s="4"/>
      <c r="G1556" s="4"/>
      <c r="H1556" s="4"/>
      <c r="I1556" s="15"/>
      <c r="J1556" s="4"/>
    </row>
    <row r="1557" ht="14.25" customHeight="1">
      <c r="A1557" s="8" t="s">
        <v>16</v>
      </c>
      <c r="B1557" s="8">
        <v>6.9</v>
      </c>
      <c r="F1557" s="4"/>
      <c r="G1557" s="4"/>
      <c r="H1557" s="4"/>
      <c r="I1557" s="15"/>
      <c r="J1557" s="4"/>
    </row>
    <row r="1558" ht="14.25" customHeight="1">
      <c r="A1558" s="8" t="s">
        <v>16</v>
      </c>
      <c r="B1558" s="8">
        <v>5.5</v>
      </c>
      <c r="F1558" s="4"/>
      <c r="G1558" s="4"/>
      <c r="H1558" s="4"/>
      <c r="I1558" s="15"/>
      <c r="J1558" s="4"/>
    </row>
    <row r="1559" ht="14.25" customHeight="1">
      <c r="A1559" s="8" t="s">
        <v>16</v>
      </c>
      <c r="B1559" s="8">
        <v>7.1</v>
      </c>
      <c r="F1559" s="4"/>
      <c r="G1559" s="4"/>
      <c r="H1559" s="4"/>
      <c r="I1559" s="15"/>
      <c r="J1559" s="4"/>
    </row>
    <row r="1560" ht="14.25" customHeight="1">
      <c r="A1560" s="8" t="s">
        <v>16</v>
      </c>
      <c r="B1560" s="8">
        <v>7.1</v>
      </c>
      <c r="F1560" s="4"/>
      <c r="G1560" s="4"/>
      <c r="H1560" s="4"/>
      <c r="I1560" s="15"/>
      <c r="J1560" s="4"/>
    </row>
    <row r="1561" ht="14.25" customHeight="1">
      <c r="A1561" s="8" t="s">
        <v>16</v>
      </c>
      <c r="B1561" s="8">
        <v>7.3</v>
      </c>
      <c r="F1561" s="4"/>
      <c r="G1561" s="4"/>
      <c r="H1561" s="4"/>
      <c r="I1561" s="15"/>
      <c r="J1561" s="4"/>
    </row>
    <row r="1562" ht="14.25" customHeight="1">
      <c r="A1562" s="8" t="s">
        <v>16</v>
      </c>
      <c r="B1562" s="8">
        <v>3.4</v>
      </c>
      <c r="F1562" s="4"/>
      <c r="G1562" s="4"/>
      <c r="H1562" s="4"/>
      <c r="I1562" s="15"/>
      <c r="J1562" s="4"/>
    </row>
    <row r="1563" ht="14.25" customHeight="1">
      <c r="A1563" s="8" t="s">
        <v>16</v>
      </c>
      <c r="B1563" s="8">
        <v>6.8</v>
      </c>
      <c r="F1563" s="4"/>
      <c r="G1563" s="4"/>
      <c r="H1563" s="4"/>
      <c r="I1563" s="15"/>
      <c r="J1563" s="4"/>
    </row>
    <row r="1564" ht="14.25" customHeight="1">
      <c r="A1564" s="8" t="s">
        <v>16</v>
      </c>
      <c r="B1564" s="8">
        <v>6.9</v>
      </c>
      <c r="F1564" s="4"/>
      <c r="G1564" s="4"/>
      <c r="H1564" s="4"/>
      <c r="I1564" s="15"/>
      <c r="J1564" s="4"/>
    </row>
    <row r="1565" ht="14.25" customHeight="1">
      <c r="A1565" s="8" t="s">
        <v>16</v>
      </c>
      <c r="B1565" s="8">
        <v>7.0</v>
      </c>
      <c r="F1565" s="4"/>
      <c r="G1565" s="4"/>
      <c r="H1565" s="4"/>
      <c r="I1565" s="15"/>
      <c r="J1565" s="4"/>
    </row>
    <row r="1566" ht="14.25" customHeight="1">
      <c r="A1566" s="8" t="s">
        <v>16</v>
      </c>
      <c r="B1566" s="8">
        <v>5.5</v>
      </c>
      <c r="F1566" s="4"/>
      <c r="G1566" s="4"/>
      <c r="H1566" s="4"/>
      <c r="I1566" s="15"/>
      <c r="J1566" s="4"/>
    </row>
    <row r="1567" ht="14.25" customHeight="1">
      <c r="A1567" s="8" t="s">
        <v>16</v>
      </c>
      <c r="B1567" s="8">
        <v>5.1</v>
      </c>
      <c r="F1567" s="4"/>
      <c r="G1567" s="4"/>
      <c r="H1567" s="4"/>
      <c r="I1567" s="15"/>
      <c r="J1567" s="4"/>
    </row>
    <row r="1568" ht="14.25" customHeight="1">
      <c r="A1568" s="8" t="s">
        <v>16</v>
      </c>
      <c r="B1568" s="8">
        <v>6.2</v>
      </c>
      <c r="F1568" s="4"/>
      <c r="G1568" s="4"/>
      <c r="H1568" s="4"/>
      <c r="I1568" s="15"/>
      <c r="J1568" s="4"/>
    </row>
    <row r="1569" ht="14.25" customHeight="1">
      <c r="A1569" s="8" t="s">
        <v>16</v>
      </c>
      <c r="B1569" s="8">
        <v>5.9</v>
      </c>
      <c r="F1569" s="4"/>
      <c r="G1569" s="4"/>
      <c r="H1569" s="4"/>
      <c r="I1569" s="15"/>
      <c r="J1569" s="4"/>
    </row>
    <row r="1570" ht="14.25" customHeight="1">
      <c r="A1570" s="8" t="s">
        <v>16</v>
      </c>
      <c r="B1570" s="8">
        <v>5.2</v>
      </c>
      <c r="F1570" s="4"/>
      <c r="G1570" s="4"/>
      <c r="H1570" s="4"/>
      <c r="I1570" s="15"/>
      <c r="J1570" s="4"/>
    </row>
    <row r="1571" ht="14.25" customHeight="1">
      <c r="A1571" s="8" t="s">
        <v>16</v>
      </c>
      <c r="B1571" s="8">
        <v>6.2</v>
      </c>
      <c r="F1571" s="4"/>
      <c r="G1571" s="4"/>
      <c r="H1571" s="4"/>
      <c r="I1571" s="15"/>
      <c r="J1571" s="4"/>
    </row>
    <row r="1572" ht="14.25" customHeight="1">
      <c r="A1572" s="8" t="s">
        <v>16</v>
      </c>
      <c r="B1572" s="8">
        <v>5.5</v>
      </c>
      <c r="F1572" s="4"/>
      <c r="G1572" s="4"/>
      <c r="H1572" s="4"/>
      <c r="I1572" s="15"/>
      <c r="J1572" s="4"/>
    </row>
    <row r="1573" ht="14.25" customHeight="1">
      <c r="A1573" s="8" t="s">
        <v>16</v>
      </c>
      <c r="B1573" s="8">
        <v>7.4</v>
      </c>
      <c r="F1573" s="4"/>
      <c r="G1573" s="4"/>
      <c r="H1573" s="4"/>
      <c r="I1573" s="15"/>
      <c r="J1573" s="4"/>
    </row>
    <row r="1574" ht="14.25" customHeight="1">
      <c r="A1574" s="8" t="s">
        <v>16</v>
      </c>
      <c r="B1574" s="8">
        <v>4.4</v>
      </c>
      <c r="F1574" s="4"/>
      <c r="G1574" s="4"/>
      <c r="H1574" s="4"/>
      <c r="I1574" s="15"/>
      <c r="J1574" s="4"/>
    </row>
    <row r="1575" ht="14.25" customHeight="1">
      <c r="A1575" s="8" t="s">
        <v>16</v>
      </c>
      <c r="B1575" s="8">
        <v>6.3</v>
      </c>
      <c r="F1575" s="4"/>
      <c r="G1575" s="4"/>
      <c r="H1575" s="4"/>
      <c r="I1575" s="15"/>
      <c r="J1575" s="4"/>
    </row>
    <row r="1576" ht="14.25" customHeight="1">
      <c r="A1576" s="8" t="s">
        <v>16</v>
      </c>
      <c r="B1576" s="8">
        <v>6.1</v>
      </c>
      <c r="F1576" s="4"/>
      <c r="G1576" s="4"/>
      <c r="H1576" s="4"/>
      <c r="I1576" s="15"/>
      <c r="J1576" s="4"/>
    </row>
    <row r="1577" ht="14.25" customHeight="1">
      <c r="A1577" s="8" t="s">
        <v>16</v>
      </c>
      <c r="B1577" s="8">
        <v>5.3</v>
      </c>
      <c r="F1577" s="4"/>
      <c r="G1577" s="4"/>
      <c r="H1577" s="4"/>
      <c r="I1577" s="15"/>
      <c r="J1577" s="4"/>
    </row>
    <row r="1578" ht="14.25" customHeight="1">
      <c r="A1578" s="8" t="s">
        <v>16</v>
      </c>
      <c r="B1578" s="8">
        <v>5.4</v>
      </c>
      <c r="F1578" s="4"/>
      <c r="G1578" s="4"/>
      <c r="H1578" s="4"/>
      <c r="I1578" s="15"/>
      <c r="J1578" s="4"/>
    </row>
    <row r="1579" ht="14.25" customHeight="1">
      <c r="A1579" s="8" t="s">
        <v>16</v>
      </c>
      <c r="B1579" s="8">
        <v>6.7</v>
      </c>
      <c r="F1579" s="4"/>
      <c r="G1579" s="4"/>
      <c r="H1579" s="4"/>
      <c r="I1579" s="15"/>
      <c r="J1579" s="4"/>
    </row>
    <row r="1580" ht="14.25" customHeight="1">
      <c r="A1580" s="8" t="s">
        <v>16</v>
      </c>
      <c r="B1580" s="8">
        <v>5.9</v>
      </c>
      <c r="F1580" s="4"/>
      <c r="G1580" s="4"/>
      <c r="H1580" s="4"/>
      <c r="I1580" s="15"/>
      <c r="J1580" s="4"/>
    </row>
    <row r="1581" ht="14.25" customHeight="1">
      <c r="A1581" s="8" t="s">
        <v>16</v>
      </c>
      <c r="B1581" s="8">
        <v>7.3</v>
      </c>
      <c r="F1581" s="4"/>
      <c r="G1581" s="4"/>
      <c r="H1581" s="4"/>
      <c r="I1581" s="15"/>
      <c r="J1581" s="4"/>
    </row>
    <row r="1582" ht="14.25" customHeight="1">
      <c r="A1582" s="8" t="s">
        <v>16</v>
      </c>
      <c r="B1582" s="8">
        <v>5.5</v>
      </c>
      <c r="F1582" s="4"/>
      <c r="G1582" s="4"/>
      <c r="H1582" s="4"/>
      <c r="I1582" s="15"/>
      <c r="J1582" s="4"/>
    </row>
    <row r="1583" ht="14.25" customHeight="1">
      <c r="A1583" s="8" t="s">
        <v>16</v>
      </c>
      <c r="B1583" s="8">
        <v>5.8</v>
      </c>
      <c r="F1583" s="4"/>
      <c r="G1583" s="4"/>
      <c r="H1583" s="4"/>
      <c r="I1583" s="15"/>
      <c r="J1583" s="4"/>
    </row>
    <row r="1584" ht="14.25" customHeight="1">
      <c r="A1584" s="8" t="s">
        <v>16</v>
      </c>
      <c r="B1584" s="8">
        <v>4.6</v>
      </c>
      <c r="F1584" s="4"/>
      <c r="G1584" s="4"/>
      <c r="H1584" s="4"/>
      <c r="I1584" s="15"/>
      <c r="J1584" s="4"/>
    </row>
    <row r="1585" ht="14.25" customHeight="1">
      <c r="A1585" s="8" t="s">
        <v>16</v>
      </c>
      <c r="B1585" s="8">
        <v>6.7</v>
      </c>
      <c r="F1585" s="4"/>
      <c r="G1585" s="4"/>
      <c r="H1585" s="4"/>
      <c r="I1585" s="15"/>
      <c r="J1585" s="4"/>
    </row>
    <row r="1586" ht="14.25" customHeight="1">
      <c r="A1586" s="8" t="s">
        <v>16</v>
      </c>
      <c r="B1586" s="8">
        <v>5.1</v>
      </c>
      <c r="F1586" s="4"/>
      <c r="G1586" s="4"/>
      <c r="H1586" s="4"/>
      <c r="I1586" s="15"/>
      <c r="J1586" s="4"/>
    </row>
    <row r="1587" ht="14.25" customHeight="1">
      <c r="A1587" s="8" t="s">
        <v>16</v>
      </c>
      <c r="B1587" s="8">
        <v>5.6</v>
      </c>
      <c r="F1587" s="4"/>
      <c r="G1587" s="4"/>
      <c r="H1587" s="4"/>
      <c r="I1587" s="15"/>
      <c r="J1587" s="4"/>
    </row>
    <row r="1588" ht="14.25" customHeight="1">
      <c r="A1588" s="8" t="s">
        <v>16</v>
      </c>
      <c r="B1588" s="8">
        <v>7.0</v>
      </c>
      <c r="F1588" s="4"/>
      <c r="G1588" s="4"/>
      <c r="H1588" s="4"/>
      <c r="I1588" s="15"/>
      <c r="J1588" s="4"/>
    </row>
    <row r="1589" ht="14.25" customHeight="1">
      <c r="A1589" s="8" t="s">
        <v>16</v>
      </c>
      <c r="B1589" s="8">
        <v>6.4</v>
      </c>
      <c r="F1589" s="4"/>
      <c r="G1589" s="4"/>
      <c r="H1589" s="4"/>
      <c r="I1589" s="15"/>
      <c r="J1589" s="4"/>
    </row>
    <row r="1590" ht="14.25" customHeight="1">
      <c r="A1590" s="8" t="s">
        <v>16</v>
      </c>
      <c r="B1590" s="8">
        <v>6.7</v>
      </c>
      <c r="F1590" s="4"/>
      <c r="G1590" s="4"/>
      <c r="H1590" s="4"/>
      <c r="I1590" s="15"/>
      <c r="J1590" s="4"/>
    </row>
    <row r="1591" ht="14.25" customHeight="1">
      <c r="A1591" s="8" t="s">
        <v>16</v>
      </c>
      <c r="B1591" s="8">
        <v>4.1</v>
      </c>
      <c r="F1591" s="4"/>
      <c r="G1591" s="4"/>
      <c r="H1591" s="4"/>
      <c r="I1591" s="15"/>
      <c r="J1591" s="4"/>
    </row>
    <row r="1592" ht="14.25" customHeight="1">
      <c r="A1592" s="8" t="s">
        <v>16</v>
      </c>
      <c r="B1592" s="8">
        <v>5.5</v>
      </c>
      <c r="F1592" s="4"/>
      <c r="G1592" s="4"/>
      <c r="H1592" s="4"/>
      <c r="I1592" s="15"/>
      <c r="J1592" s="4"/>
    </row>
    <row r="1593" ht="14.25" customHeight="1">
      <c r="A1593" s="8" t="s">
        <v>16</v>
      </c>
      <c r="B1593" s="8">
        <v>2.7</v>
      </c>
      <c r="F1593" s="4"/>
      <c r="G1593" s="4"/>
      <c r="H1593" s="4"/>
      <c r="I1593" s="15"/>
      <c r="J1593" s="4"/>
    </row>
    <row r="1594" ht="14.25" customHeight="1">
      <c r="A1594" s="8" t="s">
        <v>16</v>
      </c>
      <c r="B1594" s="8">
        <v>6.4</v>
      </c>
      <c r="F1594" s="4"/>
      <c r="G1594" s="4"/>
      <c r="H1594" s="4"/>
      <c r="I1594" s="15"/>
      <c r="J1594" s="4"/>
    </row>
    <row r="1595" ht="14.25" customHeight="1">
      <c r="A1595" s="8" t="s">
        <v>16</v>
      </c>
      <c r="B1595" s="8">
        <v>4.8</v>
      </c>
      <c r="F1595" s="4"/>
      <c r="G1595" s="4"/>
      <c r="H1595" s="4"/>
      <c r="I1595" s="15"/>
      <c r="J1595" s="4"/>
    </row>
    <row r="1596" ht="14.25" customHeight="1">
      <c r="A1596" s="8" t="s">
        <v>16</v>
      </c>
      <c r="B1596" s="8">
        <v>6.1</v>
      </c>
      <c r="F1596" s="4"/>
      <c r="G1596" s="4"/>
      <c r="H1596" s="4"/>
      <c r="I1596" s="15"/>
      <c r="J1596" s="4"/>
    </row>
    <row r="1597" ht="14.25" customHeight="1">
      <c r="A1597" s="8" t="s">
        <v>16</v>
      </c>
      <c r="B1597" s="8">
        <v>4.8</v>
      </c>
      <c r="F1597" s="4"/>
      <c r="G1597" s="4"/>
      <c r="H1597" s="4"/>
      <c r="I1597" s="15"/>
      <c r="J1597" s="4"/>
    </row>
    <row r="1598" ht="14.25" customHeight="1">
      <c r="A1598" s="8" t="s">
        <v>16</v>
      </c>
      <c r="B1598" s="8">
        <v>7.0</v>
      </c>
      <c r="F1598" s="4"/>
      <c r="G1598" s="4"/>
      <c r="H1598" s="4"/>
      <c r="I1598" s="15"/>
      <c r="J1598" s="4"/>
    </row>
    <row r="1599" ht="14.25" customHeight="1">
      <c r="A1599" s="8" t="s">
        <v>16</v>
      </c>
      <c r="B1599" s="8">
        <v>6.8</v>
      </c>
      <c r="F1599" s="4"/>
      <c r="G1599" s="4"/>
      <c r="H1599" s="4"/>
      <c r="I1599" s="15"/>
      <c r="J1599" s="4"/>
    </row>
    <row r="1600" ht="14.25" customHeight="1">
      <c r="A1600" s="8" t="s">
        <v>16</v>
      </c>
      <c r="B1600" s="8">
        <v>5.6</v>
      </c>
      <c r="F1600" s="4"/>
      <c r="G1600" s="4"/>
      <c r="H1600" s="4"/>
      <c r="I1600" s="15"/>
      <c r="J1600" s="4"/>
    </row>
    <row r="1601" ht="14.25" customHeight="1">
      <c r="A1601" s="8" t="s">
        <v>16</v>
      </c>
      <c r="B1601" s="8">
        <v>6.1</v>
      </c>
      <c r="F1601" s="4"/>
      <c r="G1601" s="4"/>
      <c r="H1601" s="4"/>
      <c r="I1601" s="15"/>
      <c r="J1601" s="4"/>
    </row>
    <row r="1602" ht="14.25" customHeight="1">
      <c r="A1602" s="8" t="s">
        <v>16</v>
      </c>
      <c r="B1602" s="8">
        <v>7.9</v>
      </c>
      <c r="F1602" s="4"/>
      <c r="G1602" s="4"/>
      <c r="H1602" s="4"/>
      <c r="I1602" s="15"/>
      <c r="J1602" s="4"/>
    </row>
    <row r="1603" ht="14.25" customHeight="1">
      <c r="A1603" s="8" t="s">
        <v>16</v>
      </c>
      <c r="B1603" s="8">
        <v>8.4</v>
      </c>
      <c r="F1603" s="4"/>
      <c r="G1603" s="4"/>
      <c r="H1603" s="4"/>
      <c r="I1603" s="15"/>
      <c r="J1603" s="4"/>
    </row>
    <row r="1604" ht="14.25" customHeight="1">
      <c r="A1604" s="8" t="s">
        <v>16</v>
      </c>
      <c r="B1604" s="8">
        <v>6.5</v>
      </c>
      <c r="F1604" s="4"/>
      <c r="G1604" s="4"/>
      <c r="H1604" s="4"/>
      <c r="I1604" s="15"/>
      <c r="J1604" s="4"/>
    </row>
    <row r="1605" ht="14.25" customHeight="1">
      <c r="A1605" s="8" t="s">
        <v>16</v>
      </c>
      <c r="B1605" s="8">
        <v>7.1</v>
      </c>
      <c r="F1605" s="4"/>
      <c r="G1605" s="4"/>
      <c r="H1605" s="4"/>
      <c r="I1605" s="15"/>
      <c r="J1605" s="4"/>
    </row>
    <row r="1606" ht="14.25" customHeight="1">
      <c r="A1606" s="8" t="s">
        <v>16</v>
      </c>
      <c r="B1606" s="8">
        <v>6.6</v>
      </c>
      <c r="F1606" s="4"/>
      <c r="G1606" s="4"/>
      <c r="H1606" s="4"/>
      <c r="I1606" s="15"/>
      <c r="J1606" s="4"/>
    </row>
    <row r="1607" ht="14.25" customHeight="1">
      <c r="A1607" s="8" t="s">
        <v>16</v>
      </c>
      <c r="B1607" s="8">
        <v>7.0</v>
      </c>
      <c r="F1607" s="4"/>
      <c r="G1607" s="4"/>
      <c r="H1607" s="4"/>
      <c r="I1607" s="15"/>
      <c r="J1607" s="4"/>
    </row>
    <row r="1608" ht="14.25" customHeight="1">
      <c r="A1608" s="8" t="s">
        <v>816</v>
      </c>
      <c r="B1608" s="8">
        <v>5.6</v>
      </c>
      <c r="F1608" s="4"/>
      <c r="G1608" s="4"/>
      <c r="H1608" s="4"/>
      <c r="I1608" s="15"/>
      <c r="J1608" s="4"/>
    </row>
    <row r="1609" ht="14.25" customHeight="1">
      <c r="A1609" s="8" t="s">
        <v>16</v>
      </c>
      <c r="B1609" s="8">
        <v>4.8</v>
      </c>
      <c r="F1609" s="4"/>
      <c r="G1609" s="4"/>
      <c r="H1609" s="4"/>
      <c r="I1609" s="15"/>
      <c r="J1609" s="4"/>
    </row>
    <row r="1610" ht="14.25" customHeight="1">
      <c r="A1610" s="8" t="s">
        <v>16</v>
      </c>
      <c r="B1610" s="8">
        <v>7.5</v>
      </c>
      <c r="F1610" s="4"/>
      <c r="G1610" s="4"/>
      <c r="H1610" s="4"/>
      <c r="I1610" s="15"/>
      <c r="J1610" s="4"/>
    </row>
    <row r="1611" ht="14.25" customHeight="1">
      <c r="A1611" s="8" t="s">
        <v>816</v>
      </c>
      <c r="B1611" s="8">
        <v>6.0</v>
      </c>
      <c r="F1611" s="4"/>
      <c r="G1611" s="4"/>
      <c r="H1611" s="4"/>
      <c r="I1611" s="15"/>
      <c r="J1611" s="4"/>
    </row>
    <row r="1612" ht="14.25" customHeight="1">
      <c r="A1612" s="8" t="s">
        <v>16</v>
      </c>
      <c r="B1612" s="8">
        <v>6.8</v>
      </c>
      <c r="F1612" s="4"/>
      <c r="G1612" s="4"/>
      <c r="H1612" s="4"/>
      <c r="I1612" s="15"/>
      <c r="J1612" s="4"/>
    </row>
    <row r="1613" ht="14.25" customHeight="1">
      <c r="A1613" s="8" t="s">
        <v>16</v>
      </c>
      <c r="B1613" s="8">
        <v>6.5</v>
      </c>
      <c r="F1613" s="4"/>
      <c r="G1613" s="4"/>
      <c r="H1613" s="4"/>
      <c r="I1613" s="15"/>
      <c r="J1613" s="4"/>
    </row>
    <row r="1614" ht="14.25" customHeight="1">
      <c r="A1614" s="8" t="s">
        <v>16</v>
      </c>
      <c r="B1614" s="8">
        <v>7.9</v>
      </c>
      <c r="F1614" s="4"/>
      <c r="G1614" s="4"/>
      <c r="H1614" s="4"/>
      <c r="I1614" s="15"/>
      <c r="J1614" s="4"/>
    </row>
    <row r="1615" ht="14.25" customHeight="1">
      <c r="A1615" s="8" t="s">
        <v>16</v>
      </c>
      <c r="B1615" s="8">
        <v>6.4</v>
      </c>
      <c r="F1615" s="4"/>
      <c r="G1615" s="4"/>
      <c r="H1615" s="4"/>
      <c r="I1615" s="15"/>
      <c r="J1615" s="4"/>
    </row>
    <row r="1616" ht="14.25" customHeight="1">
      <c r="A1616" s="8" t="s">
        <v>16</v>
      </c>
      <c r="B1616" s="8">
        <v>5.8</v>
      </c>
      <c r="F1616" s="4"/>
      <c r="G1616" s="4"/>
      <c r="H1616" s="4"/>
      <c r="I1616" s="15"/>
      <c r="J1616" s="4"/>
    </row>
    <row r="1617" ht="14.25" customHeight="1">
      <c r="A1617" s="8" t="s">
        <v>16</v>
      </c>
      <c r="B1617" s="8">
        <v>7.7</v>
      </c>
      <c r="F1617" s="4"/>
      <c r="G1617" s="4"/>
      <c r="H1617" s="4"/>
      <c r="I1617" s="15"/>
      <c r="J1617" s="4"/>
    </row>
    <row r="1618" ht="14.25" customHeight="1">
      <c r="A1618" s="8" t="s">
        <v>16</v>
      </c>
      <c r="B1618" s="8">
        <v>5.3</v>
      </c>
      <c r="F1618" s="4"/>
      <c r="G1618" s="4"/>
      <c r="H1618" s="4"/>
      <c r="I1618" s="15"/>
      <c r="J1618" s="4"/>
    </row>
    <row r="1619" ht="14.25" customHeight="1">
      <c r="A1619" s="8" t="s">
        <v>16</v>
      </c>
      <c r="B1619" s="8">
        <v>5.3</v>
      </c>
      <c r="F1619" s="4"/>
      <c r="G1619" s="4"/>
      <c r="H1619" s="4"/>
      <c r="I1619" s="15"/>
      <c r="J1619" s="4"/>
    </row>
    <row r="1620" ht="14.25" customHeight="1">
      <c r="A1620" s="8" t="s">
        <v>16</v>
      </c>
      <c r="B1620" s="8">
        <v>7.5</v>
      </c>
      <c r="F1620" s="4"/>
      <c r="G1620" s="4"/>
      <c r="H1620" s="4"/>
      <c r="I1620" s="15"/>
      <c r="J1620" s="4"/>
    </row>
    <row r="1621" ht="14.25" customHeight="1">
      <c r="A1621" s="8" t="s">
        <v>16</v>
      </c>
      <c r="B1621" s="8">
        <v>6.9</v>
      </c>
      <c r="F1621" s="4"/>
      <c r="G1621" s="4"/>
      <c r="H1621" s="4"/>
      <c r="I1621" s="15"/>
      <c r="J1621" s="4"/>
    </row>
    <row r="1622" ht="14.25" customHeight="1">
      <c r="A1622" s="8" t="s">
        <v>16</v>
      </c>
      <c r="B1622" s="8">
        <v>4.9</v>
      </c>
      <c r="F1622" s="4"/>
      <c r="G1622" s="4"/>
      <c r="H1622" s="4"/>
      <c r="I1622" s="15"/>
      <c r="J1622" s="4"/>
    </row>
    <row r="1623" ht="14.25" customHeight="1">
      <c r="A1623" s="8" t="s">
        <v>16</v>
      </c>
      <c r="B1623" s="8">
        <v>7.1</v>
      </c>
      <c r="F1623" s="4"/>
      <c r="G1623" s="4"/>
      <c r="H1623" s="4"/>
      <c r="I1623" s="15"/>
      <c r="J1623" s="4"/>
    </row>
    <row r="1624" ht="14.25" customHeight="1">
      <c r="A1624" s="8" t="s">
        <v>16</v>
      </c>
      <c r="B1624" s="8">
        <v>8.0</v>
      </c>
      <c r="F1624" s="4"/>
      <c r="G1624" s="4"/>
      <c r="H1624" s="4"/>
      <c r="I1624" s="15"/>
      <c r="J1624" s="4"/>
    </row>
    <row r="1625" ht="14.25" customHeight="1">
      <c r="A1625" s="8" t="s">
        <v>16</v>
      </c>
      <c r="B1625" s="8">
        <v>7.9</v>
      </c>
      <c r="F1625" s="4"/>
      <c r="G1625" s="4"/>
      <c r="H1625" s="4"/>
      <c r="I1625" s="15"/>
      <c r="J1625" s="4"/>
    </row>
    <row r="1626" ht="14.25" customHeight="1">
      <c r="A1626" s="8" t="s">
        <v>16</v>
      </c>
      <c r="B1626" s="8">
        <v>7.6</v>
      </c>
      <c r="F1626" s="4"/>
      <c r="G1626" s="4"/>
      <c r="H1626" s="4"/>
      <c r="I1626" s="15"/>
      <c r="J1626" s="4"/>
    </row>
    <row r="1627" ht="14.25" customHeight="1">
      <c r="A1627" s="8" t="s">
        <v>16</v>
      </c>
      <c r="B1627" s="8">
        <v>5.9</v>
      </c>
      <c r="F1627" s="4"/>
      <c r="G1627" s="4"/>
      <c r="H1627" s="4"/>
      <c r="I1627" s="15"/>
      <c r="J1627" s="4"/>
    </row>
    <row r="1628" ht="14.25" customHeight="1">
      <c r="A1628" s="8" t="s">
        <v>16</v>
      </c>
      <c r="B1628" s="8">
        <v>6.3</v>
      </c>
      <c r="F1628" s="4"/>
      <c r="G1628" s="4"/>
      <c r="H1628" s="4"/>
      <c r="I1628" s="15"/>
      <c r="J1628" s="4"/>
    </row>
    <row r="1629" ht="14.25" customHeight="1">
      <c r="A1629" s="8" t="s">
        <v>16</v>
      </c>
      <c r="B1629" s="8">
        <v>6.4</v>
      </c>
      <c r="F1629" s="4"/>
      <c r="G1629" s="4"/>
      <c r="H1629" s="4"/>
      <c r="I1629" s="15"/>
      <c r="J1629" s="4"/>
    </row>
    <row r="1630" ht="14.25" customHeight="1">
      <c r="A1630" s="8" t="s">
        <v>16</v>
      </c>
      <c r="B1630" s="8">
        <v>8.2</v>
      </c>
      <c r="F1630" s="4"/>
      <c r="G1630" s="4"/>
      <c r="H1630" s="4"/>
      <c r="I1630" s="15"/>
      <c r="J1630" s="4"/>
    </row>
    <row r="1631" ht="14.25" customHeight="1">
      <c r="A1631" s="8" t="s">
        <v>16</v>
      </c>
      <c r="B1631" s="8">
        <v>6.9</v>
      </c>
      <c r="F1631" s="4"/>
      <c r="G1631" s="4"/>
      <c r="H1631" s="4"/>
      <c r="I1631" s="15"/>
      <c r="J1631" s="4"/>
    </row>
    <row r="1632" ht="14.25" customHeight="1">
      <c r="A1632" s="8" t="s">
        <v>16</v>
      </c>
      <c r="B1632" s="8">
        <v>7.8</v>
      </c>
      <c r="F1632" s="4"/>
      <c r="G1632" s="4"/>
      <c r="H1632" s="4"/>
      <c r="I1632" s="15"/>
      <c r="J1632" s="4"/>
    </row>
    <row r="1633" ht="14.25" customHeight="1">
      <c r="A1633" s="8" t="s">
        <v>16</v>
      </c>
      <c r="B1633" s="8">
        <v>6.7</v>
      </c>
      <c r="F1633" s="4"/>
      <c r="G1633" s="4"/>
      <c r="H1633" s="4"/>
      <c r="I1633" s="15"/>
      <c r="J1633" s="4"/>
    </row>
    <row r="1634" ht="14.25" customHeight="1">
      <c r="A1634" s="8" t="s">
        <v>16</v>
      </c>
      <c r="B1634" s="8">
        <v>7.5</v>
      </c>
      <c r="F1634" s="4"/>
      <c r="G1634" s="4"/>
      <c r="H1634" s="4"/>
      <c r="I1634" s="15"/>
      <c r="J1634" s="4"/>
    </row>
    <row r="1635" ht="14.25" customHeight="1">
      <c r="A1635" s="8" t="s">
        <v>16</v>
      </c>
      <c r="B1635" s="8">
        <v>7.4</v>
      </c>
      <c r="F1635" s="4"/>
      <c r="G1635" s="4"/>
      <c r="H1635" s="4"/>
      <c r="I1635" s="15"/>
      <c r="J1635" s="4"/>
    </row>
    <row r="1636" ht="14.25" customHeight="1">
      <c r="A1636" s="8" t="s">
        <v>16</v>
      </c>
      <c r="B1636" s="8">
        <v>5.2</v>
      </c>
      <c r="F1636" s="4"/>
      <c r="G1636" s="4"/>
      <c r="H1636" s="4"/>
      <c r="I1636" s="15"/>
      <c r="J1636" s="4"/>
    </row>
    <row r="1637" ht="14.25" customHeight="1">
      <c r="A1637" s="8" t="s">
        <v>16</v>
      </c>
      <c r="B1637" s="8">
        <v>7.6</v>
      </c>
      <c r="F1637" s="4"/>
      <c r="G1637" s="4"/>
      <c r="H1637" s="4"/>
      <c r="I1637" s="15"/>
      <c r="J1637" s="4"/>
    </row>
    <row r="1638" ht="14.25" customHeight="1">
      <c r="A1638" s="8" t="s">
        <v>16</v>
      </c>
      <c r="B1638" s="8">
        <v>7.3</v>
      </c>
      <c r="F1638" s="4"/>
      <c r="G1638" s="4"/>
      <c r="H1638" s="4"/>
      <c r="I1638" s="15"/>
      <c r="J1638" s="4"/>
    </row>
    <row r="1639" ht="14.25" customHeight="1">
      <c r="A1639" s="8" t="s">
        <v>16</v>
      </c>
      <c r="B1639" s="8">
        <v>6.6</v>
      </c>
      <c r="F1639" s="4"/>
      <c r="G1639" s="4"/>
      <c r="H1639" s="4"/>
      <c r="I1639" s="15"/>
      <c r="J1639" s="4"/>
    </row>
    <row r="1640" ht="14.25" customHeight="1">
      <c r="A1640" s="8" t="s">
        <v>16</v>
      </c>
      <c r="B1640" s="8">
        <v>6.8</v>
      </c>
      <c r="F1640" s="4"/>
      <c r="G1640" s="4"/>
      <c r="H1640" s="4"/>
      <c r="I1640" s="15"/>
      <c r="J1640" s="4"/>
    </row>
    <row r="1641" ht="14.25" customHeight="1">
      <c r="A1641" s="8" t="s">
        <v>16</v>
      </c>
      <c r="B1641" s="8">
        <v>6.9</v>
      </c>
      <c r="F1641" s="4"/>
      <c r="G1641" s="4"/>
      <c r="H1641" s="4"/>
      <c r="I1641" s="15"/>
      <c r="J1641" s="4"/>
    </row>
    <row r="1642" ht="14.25" customHeight="1">
      <c r="A1642" s="8" t="s">
        <v>16</v>
      </c>
      <c r="B1642" s="8">
        <v>5.8</v>
      </c>
      <c r="F1642" s="4"/>
      <c r="G1642" s="4"/>
      <c r="H1642" s="4"/>
      <c r="I1642" s="15"/>
      <c r="J1642" s="4"/>
    </row>
    <row r="1643" ht="14.25" customHeight="1">
      <c r="A1643" s="8" t="s">
        <v>16</v>
      </c>
      <c r="B1643" s="8">
        <v>6.6</v>
      </c>
      <c r="F1643" s="4"/>
      <c r="G1643" s="4"/>
      <c r="H1643" s="4"/>
      <c r="I1643" s="15"/>
      <c r="J1643" s="4"/>
    </row>
    <row r="1644" ht="14.25" customHeight="1">
      <c r="A1644" s="8" t="s">
        <v>16</v>
      </c>
      <c r="B1644" s="8">
        <v>6.7</v>
      </c>
      <c r="F1644" s="4"/>
      <c r="G1644" s="4"/>
      <c r="H1644" s="4"/>
      <c r="I1644" s="15"/>
      <c r="J1644" s="4"/>
    </row>
    <row r="1645" ht="14.25" customHeight="1">
      <c r="A1645" s="8" t="s">
        <v>16</v>
      </c>
      <c r="B1645" s="8">
        <v>6.7</v>
      </c>
      <c r="F1645" s="4"/>
      <c r="G1645" s="4"/>
      <c r="H1645" s="4"/>
      <c r="I1645" s="15"/>
      <c r="J1645" s="4"/>
    </row>
    <row r="1646" ht="14.25" customHeight="1">
      <c r="A1646" s="8" t="s">
        <v>16</v>
      </c>
      <c r="B1646" s="8">
        <v>6.3</v>
      </c>
      <c r="F1646" s="4"/>
      <c r="G1646" s="4"/>
      <c r="H1646" s="4"/>
      <c r="I1646" s="15"/>
      <c r="J1646" s="4"/>
    </row>
    <row r="1647" ht="14.25" customHeight="1">
      <c r="A1647" s="8" t="s">
        <v>16</v>
      </c>
      <c r="B1647" s="8">
        <v>7.7</v>
      </c>
      <c r="F1647" s="4"/>
      <c r="G1647" s="4"/>
      <c r="H1647" s="4"/>
      <c r="I1647" s="15"/>
      <c r="J1647" s="4"/>
    </row>
    <row r="1648" ht="14.25" customHeight="1">
      <c r="A1648" s="8" t="s">
        <v>16</v>
      </c>
      <c r="B1648" s="8">
        <v>6.1</v>
      </c>
      <c r="F1648" s="4"/>
      <c r="G1648" s="4"/>
      <c r="H1648" s="4"/>
      <c r="I1648" s="15"/>
      <c r="J1648" s="4"/>
    </row>
    <row r="1649" ht="14.25" customHeight="1">
      <c r="A1649" s="8" t="s">
        <v>16</v>
      </c>
      <c r="B1649" s="8">
        <v>4.9</v>
      </c>
      <c r="F1649" s="4"/>
      <c r="G1649" s="4"/>
      <c r="H1649" s="4"/>
      <c r="I1649" s="15"/>
      <c r="J1649" s="4"/>
    </row>
    <row r="1650" ht="14.25" customHeight="1">
      <c r="A1650" s="8" t="s">
        <v>16</v>
      </c>
      <c r="B1650" s="8">
        <v>6.2</v>
      </c>
      <c r="F1650" s="4"/>
      <c r="G1650" s="4"/>
      <c r="H1650" s="4"/>
      <c r="I1650" s="15"/>
      <c r="J1650" s="4"/>
    </row>
    <row r="1651" ht="14.25" customHeight="1">
      <c r="A1651" s="8" t="s">
        <v>16</v>
      </c>
      <c r="B1651" s="8">
        <v>7.8</v>
      </c>
      <c r="F1651" s="4"/>
      <c r="G1651" s="4"/>
      <c r="H1651" s="4"/>
      <c r="I1651" s="15"/>
      <c r="J1651" s="4"/>
    </row>
    <row r="1652" ht="14.25" customHeight="1">
      <c r="A1652" s="8" t="s">
        <v>16</v>
      </c>
      <c r="B1652" s="8">
        <v>8.2</v>
      </c>
      <c r="F1652" s="4"/>
      <c r="G1652" s="4"/>
      <c r="H1652" s="4"/>
      <c r="I1652" s="15"/>
      <c r="J1652" s="4"/>
    </row>
    <row r="1653" ht="14.25" customHeight="1">
      <c r="A1653" s="8" t="s">
        <v>16</v>
      </c>
      <c r="B1653" s="8">
        <v>6.9</v>
      </c>
      <c r="F1653" s="4"/>
      <c r="G1653" s="4"/>
      <c r="H1653" s="4"/>
      <c r="I1653" s="15"/>
      <c r="J1653" s="4"/>
    </row>
    <row r="1654" ht="14.25" customHeight="1">
      <c r="A1654" s="8" t="s">
        <v>16</v>
      </c>
      <c r="B1654" s="8">
        <v>6.2</v>
      </c>
      <c r="F1654" s="4"/>
      <c r="G1654" s="4"/>
      <c r="H1654" s="4"/>
      <c r="I1654" s="15"/>
      <c r="J1654" s="4"/>
    </row>
    <row r="1655" ht="14.25" customHeight="1">
      <c r="A1655" s="8" t="s">
        <v>16</v>
      </c>
      <c r="B1655" s="8">
        <v>6.9</v>
      </c>
      <c r="F1655" s="4"/>
      <c r="G1655" s="4"/>
      <c r="H1655" s="4"/>
      <c r="I1655" s="15"/>
      <c r="J1655" s="4"/>
    </row>
    <row r="1656" ht="14.25" customHeight="1">
      <c r="A1656" s="8" t="s">
        <v>16</v>
      </c>
      <c r="B1656" s="8">
        <v>4.8</v>
      </c>
      <c r="F1656" s="4"/>
      <c r="G1656" s="4"/>
      <c r="H1656" s="4"/>
      <c r="I1656" s="15"/>
      <c r="J1656" s="4"/>
    </row>
    <row r="1657" ht="14.25" customHeight="1">
      <c r="A1657" s="8" t="s">
        <v>16</v>
      </c>
      <c r="B1657" s="8">
        <v>8.0</v>
      </c>
      <c r="F1657" s="4"/>
      <c r="G1657" s="4"/>
      <c r="H1657" s="4"/>
      <c r="I1657" s="15"/>
      <c r="J1657" s="4"/>
    </row>
    <row r="1658" ht="14.25" customHeight="1">
      <c r="A1658" s="8" t="s">
        <v>16</v>
      </c>
      <c r="B1658" s="8">
        <v>5.3</v>
      </c>
      <c r="F1658" s="4"/>
      <c r="G1658" s="4"/>
      <c r="H1658" s="4"/>
      <c r="I1658" s="15"/>
      <c r="J1658" s="4"/>
    </row>
    <row r="1659" ht="14.25" customHeight="1">
      <c r="A1659" s="8" t="s">
        <v>16</v>
      </c>
      <c r="B1659" s="8">
        <v>6.7</v>
      </c>
      <c r="F1659" s="4"/>
      <c r="G1659" s="4"/>
      <c r="H1659" s="4"/>
      <c r="I1659" s="15"/>
      <c r="J1659" s="4"/>
    </row>
    <row r="1660" ht="14.25" customHeight="1">
      <c r="A1660" s="8" t="s">
        <v>16</v>
      </c>
      <c r="B1660" s="8">
        <v>5.4</v>
      </c>
      <c r="F1660" s="4"/>
      <c r="G1660" s="4"/>
      <c r="H1660" s="4"/>
      <c r="I1660" s="15"/>
      <c r="J1660" s="4"/>
    </row>
    <row r="1661" ht="14.25" customHeight="1">
      <c r="A1661" s="8" t="s">
        <v>16</v>
      </c>
      <c r="B1661" s="8">
        <v>5.4</v>
      </c>
      <c r="F1661" s="4"/>
      <c r="G1661" s="4"/>
      <c r="H1661" s="4"/>
      <c r="I1661" s="15"/>
      <c r="J1661" s="4"/>
    </row>
    <row r="1662" ht="14.25" customHeight="1">
      <c r="A1662" s="8" t="s">
        <v>16</v>
      </c>
      <c r="B1662" s="8">
        <v>4.9</v>
      </c>
      <c r="F1662" s="4"/>
      <c r="G1662" s="4"/>
      <c r="H1662" s="4"/>
      <c r="I1662" s="15"/>
      <c r="J1662" s="4"/>
    </row>
    <row r="1663" ht="14.25" customHeight="1">
      <c r="A1663" s="8" t="s">
        <v>16</v>
      </c>
      <c r="B1663" s="8">
        <v>6.1</v>
      </c>
      <c r="F1663" s="4"/>
      <c r="G1663" s="4"/>
      <c r="H1663" s="4"/>
      <c r="I1663" s="15"/>
      <c r="J1663" s="4"/>
    </row>
    <row r="1664" ht="14.25" customHeight="1">
      <c r="A1664" s="8" t="s">
        <v>16</v>
      </c>
      <c r="B1664" s="8">
        <v>5.8</v>
      </c>
      <c r="F1664" s="4"/>
      <c r="G1664" s="4"/>
      <c r="H1664" s="4"/>
      <c r="I1664" s="15"/>
      <c r="J1664" s="4"/>
    </row>
    <row r="1665" ht="14.25" customHeight="1">
      <c r="A1665" s="8" t="s">
        <v>16</v>
      </c>
      <c r="B1665" s="8">
        <v>7.0</v>
      </c>
      <c r="F1665" s="4"/>
      <c r="G1665" s="4"/>
      <c r="H1665" s="4"/>
      <c r="I1665" s="15"/>
      <c r="J1665" s="4"/>
    </row>
    <row r="1666" ht="14.25" customHeight="1">
      <c r="A1666" s="8" t="s">
        <v>16</v>
      </c>
      <c r="B1666" s="8">
        <v>6.5</v>
      </c>
      <c r="F1666" s="4"/>
      <c r="G1666" s="4"/>
      <c r="H1666" s="4"/>
      <c r="I1666" s="15"/>
      <c r="J1666" s="4"/>
    </row>
    <row r="1667" ht="14.25" customHeight="1">
      <c r="A1667" s="8" t="s">
        <v>16</v>
      </c>
      <c r="B1667" s="8">
        <v>6.6</v>
      </c>
      <c r="F1667" s="4"/>
      <c r="G1667" s="4"/>
      <c r="H1667" s="4"/>
      <c r="I1667" s="15"/>
      <c r="J1667" s="4"/>
    </row>
    <row r="1668" ht="14.25" customHeight="1">
      <c r="A1668" s="8" t="s">
        <v>16</v>
      </c>
      <c r="B1668" s="8">
        <v>5.7</v>
      </c>
      <c r="F1668" s="4"/>
      <c r="G1668" s="4"/>
      <c r="H1668" s="4"/>
      <c r="I1668" s="15"/>
      <c r="J1668" s="4"/>
    </row>
    <row r="1669" ht="14.25" customHeight="1">
      <c r="A1669" s="8" t="s">
        <v>16</v>
      </c>
      <c r="B1669" s="8">
        <v>6.6</v>
      </c>
      <c r="F1669" s="4"/>
      <c r="G1669" s="4"/>
      <c r="H1669" s="4"/>
      <c r="I1669" s="15"/>
      <c r="J1669" s="4"/>
    </row>
    <row r="1670" ht="14.25" customHeight="1">
      <c r="A1670" s="8" t="s">
        <v>16</v>
      </c>
      <c r="B1670" s="8">
        <v>7.0</v>
      </c>
      <c r="F1670" s="4"/>
      <c r="G1670" s="4"/>
      <c r="H1670" s="4"/>
      <c r="I1670" s="15"/>
      <c r="J1670" s="4"/>
    </row>
    <row r="1671" ht="14.25" customHeight="1">
      <c r="A1671" s="8" t="s">
        <v>16</v>
      </c>
      <c r="B1671" s="8">
        <v>7.4</v>
      </c>
      <c r="F1671" s="4"/>
      <c r="G1671" s="4"/>
      <c r="H1671" s="4"/>
      <c r="I1671" s="15"/>
      <c r="J1671" s="4"/>
    </row>
    <row r="1672" ht="14.25" customHeight="1">
      <c r="A1672" s="8" t="s">
        <v>16</v>
      </c>
      <c r="B1672" s="8">
        <v>5.3</v>
      </c>
      <c r="F1672" s="4"/>
      <c r="G1672" s="4"/>
      <c r="H1672" s="4"/>
      <c r="I1672" s="15"/>
      <c r="J1672" s="4"/>
    </row>
    <row r="1673" ht="14.25" customHeight="1">
      <c r="A1673" s="8" t="s">
        <v>16</v>
      </c>
      <c r="B1673" s="8">
        <v>7.4</v>
      </c>
      <c r="F1673" s="4"/>
      <c r="G1673" s="4"/>
      <c r="H1673" s="4"/>
      <c r="I1673" s="15"/>
      <c r="J1673" s="4"/>
    </row>
    <row r="1674" ht="14.25" customHeight="1">
      <c r="A1674" s="8" t="s">
        <v>16</v>
      </c>
      <c r="B1674" s="8">
        <v>7.4</v>
      </c>
      <c r="F1674" s="4"/>
      <c r="G1674" s="4"/>
      <c r="H1674" s="4"/>
      <c r="I1674" s="15"/>
      <c r="J1674" s="4"/>
    </row>
    <row r="1675" ht="14.25" customHeight="1">
      <c r="A1675" s="8" t="s">
        <v>16</v>
      </c>
      <c r="B1675" s="8">
        <v>6.8</v>
      </c>
      <c r="F1675" s="4"/>
      <c r="G1675" s="4"/>
      <c r="H1675" s="4"/>
      <c r="I1675" s="15"/>
      <c r="J1675" s="4"/>
    </row>
    <row r="1676" ht="14.25" customHeight="1">
      <c r="A1676" s="8" t="s">
        <v>16</v>
      </c>
      <c r="B1676" s="8">
        <v>7.2</v>
      </c>
      <c r="F1676" s="4"/>
      <c r="G1676" s="4"/>
      <c r="H1676" s="4"/>
      <c r="I1676" s="15"/>
      <c r="J1676" s="4"/>
    </row>
    <row r="1677" ht="14.25" customHeight="1">
      <c r="A1677" s="8" t="s">
        <v>16</v>
      </c>
      <c r="B1677" s="8">
        <v>6.0</v>
      </c>
      <c r="F1677" s="4"/>
      <c r="G1677" s="4"/>
      <c r="H1677" s="4"/>
      <c r="I1677" s="15"/>
      <c r="J1677" s="4"/>
    </row>
    <row r="1678" ht="14.25" customHeight="1">
      <c r="A1678" s="8" t="s">
        <v>16</v>
      </c>
      <c r="B1678" s="8">
        <v>7.8</v>
      </c>
      <c r="F1678" s="4"/>
      <c r="G1678" s="4"/>
      <c r="H1678" s="4"/>
      <c r="I1678" s="15"/>
      <c r="J1678" s="4"/>
    </row>
    <row r="1679" ht="14.25" customHeight="1">
      <c r="A1679" s="8" t="s">
        <v>16</v>
      </c>
      <c r="B1679" s="8">
        <v>6.6</v>
      </c>
      <c r="F1679" s="4"/>
      <c r="G1679" s="4"/>
      <c r="H1679" s="4"/>
      <c r="I1679" s="15"/>
      <c r="J1679" s="4"/>
    </row>
    <row r="1680" ht="14.25" customHeight="1">
      <c r="A1680" s="8" t="s">
        <v>16</v>
      </c>
      <c r="B1680" s="8">
        <v>7.9</v>
      </c>
      <c r="F1680" s="4"/>
      <c r="G1680" s="4"/>
      <c r="H1680" s="4"/>
      <c r="I1680" s="15"/>
      <c r="J1680" s="4"/>
    </row>
    <row r="1681" ht="14.25" customHeight="1">
      <c r="A1681" s="8" t="s">
        <v>16</v>
      </c>
      <c r="B1681" s="8">
        <v>5.7</v>
      </c>
      <c r="F1681" s="4"/>
      <c r="G1681" s="4"/>
      <c r="H1681" s="4"/>
      <c r="I1681" s="15"/>
      <c r="J1681" s="4"/>
    </row>
    <row r="1682" ht="14.25" customHeight="1">
      <c r="A1682" s="8" t="s">
        <v>16</v>
      </c>
      <c r="B1682" s="8">
        <v>7.1</v>
      </c>
      <c r="F1682" s="4"/>
      <c r="G1682" s="4"/>
      <c r="H1682" s="4"/>
      <c r="I1682" s="15"/>
      <c r="J1682" s="4"/>
    </row>
    <row r="1683" ht="14.25" customHeight="1">
      <c r="A1683" s="8" t="s">
        <v>16</v>
      </c>
      <c r="B1683" s="8">
        <v>5.6</v>
      </c>
      <c r="F1683" s="4"/>
      <c r="G1683" s="4"/>
      <c r="H1683" s="4"/>
      <c r="I1683" s="15"/>
      <c r="J1683" s="4"/>
    </row>
    <row r="1684" ht="14.25" customHeight="1">
      <c r="A1684" s="8" t="s">
        <v>16</v>
      </c>
      <c r="B1684" s="8">
        <v>7.8</v>
      </c>
      <c r="F1684" s="4"/>
      <c r="G1684" s="4"/>
      <c r="H1684" s="4"/>
      <c r="I1684" s="15"/>
      <c r="J1684" s="4"/>
    </row>
    <row r="1685" ht="14.25" customHeight="1">
      <c r="A1685" s="8" t="s">
        <v>16</v>
      </c>
      <c r="B1685" s="8">
        <v>7.9</v>
      </c>
      <c r="F1685" s="4"/>
      <c r="G1685" s="4"/>
      <c r="H1685" s="4"/>
      <c r="I1685" s="15"/>
      <c r="J1685" s="4"/>
    </row>
    <row r="1686" ht="14.25" customHeight="1">
      <c r="A1686" s="8" t="s">
        <v>16</v>
      </c>
      <c r="B1686" s="8">
        <v>6.9</v>
      </c>
      <c r="F1686" s="4"/>
      <c r="G1686" s="4"/>
      <c r="H1686" s="4"/>
      <c r="I1686" s="15"/>
      <c r="J1686" s="4"/>
    </row>
    <row r="1687" ht="14.25" customHeight="1">
      <c r="A1687" s="8" t="s">
        <v>16</v>
      </c>
      <c r="B1687" s="8">
        <v>7.7</v>
      </c>
      <c r="F1687" s="4"/>
      <c r="G1687" s="4"/>
      <c r="H1687" s="4"/>
      <c r="I1687" s="15"/>
      <c r="J1687" s="4"/>
    </row>
    <row r="1688" ht="14.25" customHeight="1">
      <c r="A1688" s="8" t="s">
        <v>16</v>
      </c>
      <c r="B1688" s="8">
        <v>6.9</v>
      </c>
      <c r="F1688" s="4"/>
      <c r="G1688" s="4"/>
      <c r="H1688" s="4"/>
      <c r="I1688" s="15"/>
      <c r="J1688" s="4"/>
    </row>
    <row r="1689" ht="14.25" customHeight="1">
      <c r="A1689" s="8" t="s">
        <v>16</v>
      </c>
      <c r="B1689" s="8">
        <v>6.0</v>
      </c>
      <c r="F1689" s="4"/>
      <c r="G1689" s="4"/>
      <c r="H1689" s="4"/>
      <c r="I1689" s="15"/>
      <c r="J1689" s="4"/>
    </row>
    <row r="1690" ht="14.25" customHeight="1">
      <c r="A1690" s="8" t="s">
        <v>16</v>
      </c>
      <c r="B1690" s="8">
        <v>6.2</v>
      </c>
      <c r="F1690" s="4"/>
      <c r="G1690" s="4"/>
      <c r="H1690" s="4"/>
      <c r="I1690" s="15"/>
      <c r="J1690" s="4"/>
    </row>
    <row r="1691" ht="14.25" customHeight="1">
      <c r="A1691" s="8" t="s">
        <v>16</v>
      </c>
      <c r="B1691" s="8">
        <v>5.9</v>
      </c>
      <c r="F1691" s="4"/>
      <c r="G1691" s="4"/>
      <c r="H1691" s="4"/>
      <c r="I1691" s="15"/>
      <c r="J1691" s="4"/>
    </row>
    <row r="1692" ht="14.25" customHeight="1">
      <c r="A1692" s="8" t="s">
        <v>16</v>
      </c>
      <c r="B1692" s="8">
        <v>6.8</v>
      </c>
      <c r="F1692" s="4"/>
      <c r="G1692" s="4"/>
      <c r="H1692" s="4"/>
      <c r="I1692" s="15"/>
      <c r="J1692" s="4"/>
    </row>
    <row r="1693" ht="14.25" customHeight="1">
      <c r="A1693" s="8" t="s">
        <v>16</v>
      </c>
      <c r="B1693" s="8">
        <v>3.6</v>
      </c>
      <c r="F1693" s="4"/>
      <c r="G1693" s="4"/>
      <c r="H1693" s="4"/>
      <c r="I1693" s="15"/>
      <c r="J1693" s="4"/>
    </row>
    <row r="1694" ht="14.25" customHeight="1">
      <c r="A1694" s="8" t="s">
        <v>16</v>
      </c>
      <c r="B1694" s="8">
        <v>6.7</v>
      </c>
      <c r="F1694" s="4"/>
      <c r="G1694" s="4"/>
      <c r="H1694" s="4"/>
      <c r="I1694" s="15"/>
      <c r="J1694" s="4"/>
    </row>
    <row r="1695" ht="14.25" customHeight="1">
      <c r="A1695" s="8" t="s">
        <v>16</v>
      </c>
      <c r="B1695" s="8">
        <v>6.3</v>
      </c>
      <c r="F1695" s="4"/>
      <c r="G1695" s="4"/>
      <c r="H1695" s="4"/>
      <c r="I1695" s="15"/>
      <c r="J1695" s="4"/>
    </row>
    <row r="1696" ht="14.25" customHeight="1">
      <c r="A1696" s="8" t="s">
        <v>16</v>
      </c>
      <c r="B1696" s="8">
        <v>6.4</v>
      </c>
      <c r="F1696" s="4"/>
      <c r="G1696" s="4"/>
      <c r="H1696" s="4"/>
      <c r="I1696" s="15"/>
      <c r="J1696" s="4"/>
    </row>
    <row r="1697" ht="14.25" customHeight="1">
      <c r="A1697" s="8" t="s">
        <v>16</v>
      </c>
      <c r="B1697" s="8">
        <v>6.4</v>
      </c>
      <c r="F1697" s="4"/>
      <c r="G1697" s="4"/>
      <c r="H1697" s="4"/>
      <c r="I1697" s="15"/>
      <c r="J1697" s="4"/>
    </row>
    <row r="1698" ht="14.25" customHeight="1">
      <c r="A1698" s="8" t="s">
        <v>16</v>
      </c>
      <c r="B1698" s="8">
        <v>5.7</v>
      </c>
      <c r="F1698" s="4"/>
      <c r="G1698" s="4"/>
      <c r="H1698" s="4"/>
      <c r="I1698" s="15"/>
      <c r="J1698" s="4"/>
    </row>
    <row r="1699" ht="14.25" customHeight="1">
      <c r="A1699" s="8" t="s">
        <v>16</v>
      </c>
      <c r="B1699" s="8">
        <v>6.2</v>
      </c>
      <c r="F1699" s="4"/>
      <c r="G1699" s="4"/>
      <c r="H1699" s="4"/>
      <c r="I1699" s="15"/>
      <c r="J1699" s="4"/>
    </row>
    <row r="1700" ht="14.25" customHeight="1">
      <c r="A1700" s="8" t="s">
        <v>16</v>
      </c>
      <c r="B1700" s="8">
        <v>5.2</v>
      </c>
      <c r="F1700" s="4"/>
      <c r="G1700" s="4"/>
      <c r="H1700" s="4"/>
      <c r="I1700" s="15"/>
      <c r="J1700" s="4"/>
    </row>
    <row r="1701" ht="14.25" customHeight="1">
      <c r="A1701" s="8" t="s">
        <v>16</v>
      </c>
      <c r="B1701" s="8">
        <v>6.1</v>
      </c>
      <c r="F1701" s="4"/>
      <c r="G1701" s="4"/>
      <c r="H1701" s="4"/>
      <c r="I1701" s="15"/>
      <c r="J1701" s="4"/>
    </row>
    <row r="1702" ht="14.25" customHeight="1">
      <c r="A1702" s="8" t="s">
        <v>16</v>
      </c>
      <c r="B1702" s="8">
        <v>7.1</v>
      </c>
      <c r="F1702" s="4"/>
      <c r="G1702" s="4"/>
      <c r="H1702" s="4"/>
      <c r="I1702" s="15"/>
      <c r="J1702" s="4"/>
    </row>
    <row r="1703" ht="14.25" customHeight="1">
      <c r="A1703" s="8" t="s">
        <v>16</v>
      </c>
      <c r="B1703" s="8">
        <v>7.2</v>
      </c>
      <c r="F1703" s="4"/>
      <c r="G1703" s="4"/>
      <c r="H1703" s="4"/>
      <c r="I1703" s="15"/>
      <c r="J1703" s="4"/>
    </row>
    <row r="1704" ht="14.25" customHeight="1">
      <c r="A1704" s="8" t="s">
        <v>16</v>
      </c>
      <c r="B1704" s="8">
        <v>6.5</v>
      </c>
      <c r="F1704" s="4"/>
      <c r="G1704" s="4"/>
      <c r="H1704" s="4"/>
      <c r="I1704" s="15"/>
      <c r="J1704" s="4"/>
    </row>
    <row r="1705" ht="14.25" customHeight="1">
      <c r="A1705" s="8" t="s">
        <v>16</v>
      </c>
      <c r="B1705" s="8">
        <v>6.0</v>
      </c>
      <c r="F1705" s="4"/>
      <c r="G1705" s="4"/>
      <c r="H1705" s="4"/>
      <c r="I1705" s="15"/>
      <c r="J1705" s="4"/>
    </row>
    <row r="1706" ht="14.25" customHeight="1">
      <c r="A1706" s="8" t="s">
        <v>16</v>
      </c>
      <c r="B1706" s="8">
        <v>7.0</v>
      </c>
      <c r="F1706" s="4"/>
      <c r="G1706" s="4"/>
      <c r="H1706" s="4"/>
      <c r="I1706" s="15"/>
      <c r="J1706" s="4"/>
    </row>
    <row r="1707" ht="14.25" customHeight="1">
      <c r="A1707" s="8" t="s">
        <v>16</v>
      </c>
      <c r="B1707" s="8">
        <v>7.0</v>
      </c>
      <c r="F1707" s="4"/>
      <c r="G1707" s="4"/>
      <c r="H1707" s="4"/>
      <c r="I1707" s="15"/>
      <c r="J1707" s="4"/>
    </row>
    <row r="1708" ht="14.25" customHeight="1">
      <c r="A1708" s="8" t="s">
        <v>16</v>
      </c>
      <c r="B1708" s="8">
        <v>7.5</v>
      </c>
      <c r="F1708" s="4"/>
      <c r="G1708" s="4"/>
      <c r="H1708" s="4"/>
      <c r="I1708" s="15"/>
      <c r="J1708" s="4"/>
    </row>
    <row r="1709" ht="14.25" customHeight="1">
      <c r="A1709" s="8" t="s">
        <v>16</v>
      </c>
      <c r="B1709" s="8">
        <v>6.6</v>
      </c>
      <c r="F1709" s="4"/>
      <c r="G1709" s="4"/>
      <c r="H1709" s="4"/>
      <c r="I1709" s="15"/>
      <c r="J1709" s="4"/>
    </row>
    <row r="1710" ht="14.25" customHeight="1">
      <c r="A1710" s="8" t="s">
        <v>16</v>
      </c>
      <c r="B1710" s="8">
        <v>7.4</v>
      </c>
      <c r="F1710" s="4"/>
      <c r="G1710" s="4"/>
      <c r="H1710" s="4"/>
      <c r="I1710" s="15"/>
      <c r="J1710" s="4"/>
    </row>
    <row r="1711" ht="14.25" customHeight="1">
      <c r="A1711" s="8" t="s">
        <v>16</v>
      </c>
      <c r="B1711" s="8">
        <v>6.5</v>
      </c>
      <c r="F1711" s="4"/>
      <c r="G1711" s="4"/>
      <c r="H1711" s="4"/>
      <c r="I1711" s="15"/>
      <c r="J1711" s="4"/>
    </row>
    <row r="1712" ht="14.25" customHeight="1">
      <c r="A1712" s="8" t="s">
        <v>16</v>
      </c>
      <c r="B1712" s="8">
        <v>6.2</v>
      </c>
      <c r="F1712" s="4"/>
      <c r="G1712" s="4"/>
      <c r="H1712" s="4"/>
      <c r="I1712" s="15"/>
      <c r="J1712" s="4"/>
    </row>
    <row r="1713" ht="14.25" customHeight="1">
      <c r="A1713" s="8" t="s">
        <v>16</v>
      </c>
      <c r="B1713" s="8">
        <v>7.8</v>
      </c>
      <c r="F1713" s="4"/>
      <c r="G1713" s="4"/>
      <c r="H1713" s="4"/>
      <c r="I1713" s="15"/>
      <c r="J1713" s="4"/>
    </row>
    <row r="1714" ht="14.25" customHeight="1">
      <c r="A1714" s="8" t="s">
        <v>16</v>
      </c>
      <c r="B1714" s="8">
        <v>5.2</v>
      </c>
      <c r="F1714" s="4"/>
      <c r="G1714" s="4"/>
      <c r="H1714" s="4"/>
      <c r="I1714" s="15"/>
      <c r="J1714" s="4"/>
    </row>
    <row r="1715" ht="14.25" customHeight="1">
      <c r="A1715" s="8" t="s">
        <v>16</v>
      </c>
      <c r="B1715" s="8">
        <v>6.5</v>
      </c>
      <c r="F1715" s="4"/>
      <c r="G1715" s="4"/>
      <c r="H1715" s="4"/>
      <c r="I1715" s="15"/>
      <c r="J1715" s="4"/>
    </row>
    <row r="1716" ht="14.25" customHeight="1">
      <c r="A1716" s="8" t="s">
        <v>16</v>
      </c>
      <c r="B1716" s="8">
        <v>6.5</v>
      </c>
      <c r="F1716" s="4"/>
      <c r="G1716" s="4"/>
      <c r="H1716" s="4"/>
      <c r="I1716" s="15"/>
      <c r="J1716" s="4"/>
    </row>
    <row r="1717" ht="14.25" customHeight="1">
      <c r="A1717" s="8" t="s">
        <v>16</v>
      </c>
      <c r="B1717" s="8">
        <v>5.2</v>
      </c>
      <c r="F1717" s="4"/>
      <c r="G1717" s="4"/>
      <c r="H1717" s="4"/>
      <c r="I1717" s="15"/>
      <c r="J1717" s="4"/>
    </row>
    <row r="1718" ht="14.25" customHeight="1">
      <c r="A1718" s="8" t="s">
        <v>16</v>
      </c>
      <c r="B1718" s="8">
        <v>7.2</v>
      </c>
      <c r="F1718" s="4"/>
      <c r="G1718" s="4"/>
      <c r="H1718" s="4"/>
      <c r="I1718" s="15"/>
      <c r="J1718" s="4"/>
    </row>
    <row r="1719" ht="14.25" customHeight="1">
      <c r="A1719" s="8" t="s">
        <v>16</v>
      </c>
      <c r="B1719" s="8">
        <v>7.1</v>
      </c>
      <c r="F1719" s="4"/>
      <c r="G1719" s="4"/>
      <c r="H1719" s="4"/>
      <c r="I1719" s="15"/>
      <c r="J1719" s="4"/>
    </row>
    <row r="1720" ht="14.25" customHeight="1">
      <c r="A1720" s="8" t="s">
        <v>16</v>
      </c>
      <c r="B1720" s="8">
        <v>4.5</v>
      </c>
      <c r="F1720" s="4"/>
      <c r="G1720" s="4"/>
      <c r="H1720" s="4"/>
      <c r="I1720" s="15"/>
      <c r="J1720" s="4"/>
    </row>
    <row r="1721" ht="14.25" customHeight="1">
      <c r="A1721" s="8" t="s">
        <v>16</v>
      </c>
      <c r="B1721" s="8">
        <v>5.7</v>
      </c>
      <c r="F1721" s="4"/>
      <c r="G1721" s="4"/>
      <c r="H1721" s="4"/>
      <c r="I1721" s="15"/>
      <c r="J1721" s="4"/>
    </row>
    <row r="1722" ht="14.25" customHeight="1">
      <c r="A1722" s="8" t="s">
        <v>16</v>
      </c>
      <c r="B1722" s="8">
        <v>6.0</v>
      </c>
      <c r="F1722" s="4"/>
      <c r="G1722" s="4"/>
      <c r="H1722" s="4"/>
      <c r="I1722" s="15"/>
      <c r="J1722" s="4"/>
    </row>
    <row r="1723" ht="14.25" customHeight="1">
      <c r="A1723" s="8" t="s">
        <v>16</v>
      </c>
      <c r="B1723" s="8">
        <v>6.4</v>
      </c>
      <c r="F1723" s="4"/>
      <c r="G1723" s="4"/>
      <c r="H1723" s="4"/>
      <c r="I1723" s="15"/>
      <c r="J1723" s="4"/>
    </row>
    <row r="1724" ht="14.25" customHeight="1">
      <c r="A1724" s="8" t="s">
        <v>16</v>
      </c>
      <c r="B1724" s="8">
        <v>5.2</v>
      </c>
      <c r="F1724" s="4"/>
      <c r="G1724" s="4"/>
      <c r="H1724" s="4"/>
      <c r="I1724" s="15"/>
      <c r="J1724" s="4"/>
    </row>
    <row r="1725" ht="14.25" customHeight="1">
      <c r="A1725" s="8" t="s">
        <v>16</v>
      </c>
      <c r="B1725" s="8">
        <v>4.3</v>
      </c>
      <c r="F1725" s="4"/>
      <c r="G1725" s="4"/>
      <c r="H1725" s="4"/>
      <c r="I1725" s="15"/>
      <c r="J1725" s="4"/>
    </row>
    <row r="1726" ht="14.25" customHeight="1">
      <c r="A1726" s="8" t="s">
        <v>16</v>
      </c>
      <c r="B1726" s="8">
        <v>6.1</v>
      </c>
      <c r="F1726" s="4"/>
      <c r="G1726" s="4"/>
      <c r="H1726" s="4"/>
      <c r="I1726" s="15"/>
      <c r="J1726" s="4"/>
    </row>
    <row r="1727" ht="14.25" customHeight="1">
      <c r="A1727" s="8" t="s">
        <v>16</v>
      </c>
      <c r="B1727" s="8">
        <v>6.8</v>
      </c>
      <c r="F1727" s="4"/>
      <c r="G1727" s="4"/>
      <c r="H1727" s="4"/>
      <c r="I1727" s="15"/>
      <c r="J1727" s="4"/>
    </row>
    <row r="1728" ht="14.25" customHeight="1">
      <c r="A1728" s="8" t="s">
        <v>16</v>
      </c>
      <c r="B1728" s="8">
        <v>5.2</v>
      </c>
      <c r="F1728" s="4"/>
      <c r="G1728" s="4"/>
      <c r="H1728" s="4"/>
      <c r="I1728" s="15"/>
      <c r="J1728" s="4"/>
    </row>
    <row r="1729" ht="14.25" customHeight="1">
      <c r="A1729" s="8" t="s">
        <v>16</v>
      </c>
      <c r="B1729" s="8">
        <v>6.5</v>
      </c>
      <c r="F1729" s="4"/>
      <c r="G1729" s="4"/>
      <c r="H1729" s="4"/>
      <c r="I1729" s="15"/>
      <c r="J1729" s="4"/>
    </row>
    <row r="1730" ht="14.25" customHeight="1">
      <c r="A1730" s="8" t="s">
        <v>16</v>
      </c>
      <c r="B1730" s="8">
        <v>7.5</v>
      </c>
      <c r="F1730" s="4"/>
      <c r="G1730" s="4"/>
      <c r="H1730" s="4"/>
      <c r="I1730" s="15"/>
      <c r="J1730" s="4"/>
    </row>
    <row r="1731" ht="14.25" customHeight="1">
      <c r="A1731" s="8" t="s">
        <v>3659</v>
      </c>
      <c r="B1731" s="8">
        <v>7.1</v>
      </c>
      <c r="F1731" s="4"/>
      <c r="G1731" s="4"/>
      <c r="H1731" s="4"/>
      <c r="I1731" s="15"/>
      <c r="J1731" s="4"/>
    </row>
    <row r="1732" ht="14.25" customHeight="1">
      <c r="A1732" s="8" t="s">
        <v>16</v>
      </c>
      <c r="B1732" s="8">
        <v>6.9</v>
      </c>
      <c r="F1732" s="4"/>
      <c r="G1732" s="4"/>
      <c r="H1732" s="4"/>
      <c r="I1732" s="15"/>
      <c r="J1732" s="4"/>
    </row>
    <row r="1733" ht="14.25" customHeight="1">
      <c r="A1733" s="8" t="s">
        <v>16</v>
      </c>
      <c r="B1733" s="8">
        <v>8.0</v>
      </c>
      <c r="F1733" s="4"/>
      <c r="G1733" s="4"/>
      <c r="H1733" s="4"/>
      <c r="I1733" s="15"/>
      <c r="J1733" s="4"/>
    </row>
    <row r="1734" ht="14.25" customHeight="1">
      <c r="A1734" s="8" t="s">
        <v>16</v>
      </c>
      <c r="B1734" s="8">
        <v>8.2</v>
      </c>
      <c r="F1734" s="4"/>
      <c r="G1734" s="4"/>
      <c r="H1734" s="4"/>
      <c r="I1734" s="15"/>
      <c r="J1734" s="4"/>
    </row>
    <row r="1735" ht="14.25" customHeight="1">
      <c r="A1735" s="8" t="s">
        <v>16</v>
      </c>
      <c r="B1735" s="8">
        <v>6.4</v>
      </c>
      <c r="F1735" s="4"/>
      <c r="G1735" s="4"/>
      <c r="H1735" s="4"/>
      <c r="I1735" s="15"/>
      <c r="J1735" s="4"/>
    </row>
    <row r="1736" ht="14.25" customHeight="1">
      <c r="A1736" s="8" t="s">
        <v>16</v>
      </c>
      <c r="B1736" s="8">
        <v>7.9</v>
      </c>
      <c r="F1736" s="4"/>
      <c r="G1736" s="4"/>
      <c r="H1736" s="4"/>
      <c r="I1736" s="15"/>
      <c r="J1736" s="4"/>
    </row>
    <row r="1737" ht="14.25" customHeight="1">
      <c r="A1737" s="8" t="s">
        <v>16</v>
      </c>
      <c r="B1737" s="8">
        <v>6.7</v>
      </c>
      <c r="F1737" s="4"/>
      <c r="G1737" s="4"/>
      <c r="H1737" s="4"/>
      <c r="I1737" s="15"/>
      <c r="J1737" s="4"/>
    </row>
    <row r="1738" ht="14.25" customHeight="1">
      <c r="A1738" s="8" t="s">
        <v>16</v>
      </c>
      <c r="B1738" s="8">
        <v>6.1</v>
      </c>
      <c r="F1738" s="4"/>
      <c r="G1738" s="4"/>
      <c r="H1738" s="4"/>
      <c r="I1738" s="15"/>
      <c r="J1738" s="4"/>
    </row>
    <row r="1739" ht="14.25" customHeight="1">
      <c r="A1739" s="8" t="s">
        <v>16</v>
      </c>
      <c r="B1739" s="8">
        <v>8.9</v>
      </c>
      <c r="F1739" s="4"/>
      <c r="G1739" s="4"/>
      <c r="H1739" s="4"/>
      <c r="I1739" s="15"/>
      <c r="J1739" s="4"/>
    </row>
    <row r="1740" ht="14.25" customHeight="1">
      <c r="A1740" s="8" t="s">
        <v>16</v>
      </c>
      <c r="B1740" s="8">
        <v>8.1</v>
      </c>
      <c r="F1740" s="4"/>
      <c r="G1740" s="4"/>
      <c r="H1740" s="4"/>
      <c r="I1740" s="15"/>
      <c r="J1740" s="4"/>
    </row>
    <row r="1741" ht="14.25" customHeight="1">
      <c r="A1741" s="8" t="s">
        <v>16</v>
      </c>
      <c r="B1741" s="8">
        <v>6.2</v>
      </c>
      <c r="F1741" s="4"/>
      <c r="G1741" s="4"/>
      <c r="H1741" s="4"/>
      <c r="I1741" s="15"/>
      <c r="J1741" s="4"/>
    </row>
    <row r="1742" ht="14.25" customHeight="1">
      <c r="A1742" s="8" t="s">
        <v>16</v>
      </c>
      <c r="B1742" s="8">
        <v>4.9</v>
      </c>
      <c r="F1742" s="4"/>
      <c r="G1742" s="4"/>
      <c r="H1742" s="4"/>
      <c r="I1742" s="15"/>
      <c r="J1742" s="4"/>
    </row>
    <row r="1743" ht="14.25" customHeight="1">
      <c r="A1743" s="8" t="s">
        <v>16</v>
      </c>
      <c r="B1743" s="8">
        <v>5.8</v>
      </c>
      <c r="F1743" s="4"/>
      <c r="G1743" s="4"/>
      <c r="H1743" s="4"/>
      <c r="I1743" s="15"/>
      <c r="J1743" s="4"/>
    </row>
    <row r="1744" ht="14.25" customHeight="1">
      <c r="A1744" s="8" t="s">
        <v>16</v>
      </c>
      <c r="B1744" s="8">
        <v>6.0</v>
      </c>
      <c r="F1744" s="4"/>
      <c r="G1744" s="4"/>
      <c r="H1744" s="4"/>
      <c r="I1744" s="15"/>
      <c r="J1744" s="4"/>
    </row>
    <row r="1745" ht="14.25" customHeight="1">
      <c r="A1745" s="8" t="s">
        <v>16</v>
      </c>
      <c r="B1745" s="8">
        <v>7.0</v>
      </c>
      <c r="F1745" s="4"/>
      <c r="G1745" s="4"/>
      <c r="H1745" s="4"/>
      <c r="I1745" s="15"/>
      <c r="J1745" s="4"/>
    </row>
    <row r="1746" ht="14.25" customHeight="1">
      <c r="A1746" s="8" t="s">
        <v>16</v>
      </c>
      <c r="B1746" s="8">
        <v>6.0</v>
      </c>
      <c r="F1746" s="4"/>
      <c r="G1746" s="4"/>
      <c r="H1746" s="4"/>
      <c r="I1746" s="15"/>
      <c r="J1746" s="4"/>
    </row>
    <row r="1747" ht="14.25" customHeight="1">
      <c r="A1747" s="8" t="s">
        <v>16</v>
      </c>
      <c r="B1747" s="8">
        <v>7.9</v>
      </c>
      <c r="F1747" s="4"/>
      <c r="G1747" s="4"/>
      <c r="H1747" s="4"/>
      <c r="I1747" s="15"/>
      <c r="J1747" s="4"/>
    </row>
    <row r="1748" ht="14.25" customHeight="1">
      <c r="A1748" s="8" t="s">
        <v>16</v>
      </c>
      <c r="B1748" s="8">
        <v>8.1</v>
      </c>
      <c r="F1748" s="4"/>
      <c r="G1748" s="4"/>
      <c r="H1748" s="4"/>
      <c r="I1748" s="15"/>
      <c r="J1748" s="4"/>
    </row>
    <row r="1749" ht="14.25" customHeight="1">
      <c r="A1749" s="8" t="s">
        <v>16</v>
      </c>
      <c r="B1749" s="8">
        <v>6.2</v>
      </c>
      <c r="F1749" s="4"/>
      <c r="G1749" s="4"/>
      <c r="H1749" s="4"/>
      <c r="I1749" s="15"/>
      <c r="J1749" s="4"/>
    </row>
    <row r="1750" ht="14.25" customHeight="1">
      <c r="A1750" s="8" t="s">
        <v>16</v>
      </c>
      <c r="B1750" s="8">
        <v>6.7</v>
      </c>
      <c r="F1750" s="4"/>
      <c r="G1750" s="4"/>
      <c r="H1750" s="4"/>
      <c r="I1750" s="15"/>
      <c r="J1750" s="4"/>
    </row>
    <row r="1751" ht="14.25" customHeight="1">
      <c r="A1751" s="8" t="s">
        <v>16</v>
      </c>
      <c r="B1751" s="8">
        <v>7.3</v>
      </c>
      <c r="F1751" s="4"/>
      <c r="G1751" s="4"/>
      <c r="H1751" s="4"/>
      <c r="I1751" s="15"/>
      <c r="J1751" s="4"/>
    </row>
    <row r="1752" ht="14.25" customHeight="1">
      <c r="A1752" s="8" t="s">
        <v>16</v>
      </c>
      <c r="B1752" s="8">
        <v>4.6</v>
      </c>
      <c r="F1752" s="4"/>
      <c r="G1752" s="4"/>
      <c r="H1752" s="4"/>
      <c r="I1752" s="15"/>
      <c r="J1752" s="4"/>
    </row>
    <row r="1753" ht="14.25" customHeight="1">
      <c r="A1753" s="8" t="s">
        <v>16</v>
      </c>
      <c r="B1753" s="8">
        <v>6.1</v>
      </c>
      <c r="F1753" s="4"/>
      <c r="G1753" s="4"/>
      <c r="H1753" s="4"/>
      <c r="I1753" s="15"/>
      <c r="J1753" s="4"/>
    </row>
    <row r="1754" ht="14.25" customHeight="1">
      <c r="A1754" s="8" t="s">
        <v>16</v>
      </c>
      <c r="B1754" s="8">
        <v>6.2</v>
      </c>
      <c r="F1754" s="4"/>
      <c r="G1754" s="4"/>
      <c r="H1754" s="4"/>
      <c r="I1754" s="15"/>
      <c r="J1754" s="4"/>
    </row>
    <row r="1755" ht="14.25" customHeight="1">
      <c r="A1755" s="8" t="s">
        <v>16</v>
      </c>
      <c r="B1755" s="8">
        <v>7.8</v>
      </c>
      <c r="F1755" s="4"/>
      <c r="G1755" s="4"/>
      <c r="H1755" s="4"/>
      <c r="I1755" s="15"/>
      <c r="J1755" s="4"/>
    </row>
    <row r="1756" ht="14.25" customHeight="1">
      <c r="A1756" s="8" t="s">
        <v>16</v>
      </c>
      <c r="B1756" s="8">
        <v>6.1</v>
      </c>
      <c r="F1756" s="4"/>
      <c r="G1756" s="4"/>
      <c r="H1756" s="4"/>
      <c r="I1756" s="15"/>
      <c r="J1756" s="4"/>
    </row>
    <row r="1757" ht="14.25" customHeight="1">
      <c r="A1757" s="8" t="s">
        <v>16</v>
      </c>
      <c r="B1757" s="8">
        <v>5.8</v>
      </c>
      <c r="F1757" s="4"/>
      <c r="G1757" s="4"/>
      <c r="H1757" s="4"/>
      <c r="I1757" s="15"/>
      <c r="J1757" s="4"/>
    </row>
    <row r="1758" ht="14.25" customHeight="1">
      <c r="A1758" s="8" t="s">
        <v>16</v>
      </c>
      <c r="B1758" s="8">
        <v>6.5</v>
      </c>
      <c r="F1758" s="4"/>
      <c r="G1758" s="4"/>
      <c r="H1758" s="4"/>
      <c r="I1758" s="15"/>
      <c r="J1758" s="4"/>
    </row>
    <row r="1759" ht="14.25" customHeight="1">
      <c r="A1759" s="8" t="s">
        <v>16</v>
      </c>
      <c r="B1759" s="8">
        <v>7.2</v>
      </c>
      <c r="F1759" s="4"/>
      <c r="G1759" s="4"/>
      <c r="H1759" s="4"/>
      <c r="I1759" s="15"/>
      <c r="J1759" s="4"/>
    </row>
    <row r="1760" ht="14.25" customHeight="1">
      <c r="A1760" s="8" t="s">
        <v>16</v>
      </c>
      <c r="B1760" s="8">
        <v>7.8</v>
      </c>
      <c r="F1760" s="4"/>
      <c r="G1760" s="4"/>
      <c r="H1760" s="4"/>
      <c r="I1760" s="15"/>
      <c r="J1760" s="4"/>
    </row>
    <row r="1761" ht="14.25" customHeight="1">
      <c r="A1761" s="8" t="s">
        <v>16</v>
      </c>
      <c r="B1761" s="8">
        <v>4.7</v>
      </c>
      <c r="F1761" s="4"/>
      <c r="G1761" s="4"/>
      <c r="H1761" s="4"/>
      <c r="I1761" s="15"/>
      <c r="J1761" s="4"/>
    </row>
    <row r="1762" ht="14.25" customHeight="1">
      <c r="A1762" s="8" t="s">
        <v>16</v>
      </c>
      <c r="B1762" s="8">
        <v>6.8</v>
      </c>
      <c r="F1762" s="4"/>
      <c r="G1762" s="4"/>
      <c r="H1762" s="4"/>
      <c r="I1762" s="15"/>
      <c r="J1762" s="4"/>
    </row>
    <row r="1763" ht="14.25" customHeight="1">
      <c r="A1763" s="8" t="s">
        <v>16</v>
      </c>
      <c r="B1763" s="8">
        <v>5.9</v>
      </c>
      <c r="F1763" s="4"/>
      <c r="G1763" s="4"/>
      <c r="H1763" s="4"/>
      <c r="I1763" s="15"/>
      <c r="J1763" s="4"/>
    </row>
    <row r="1764" ht="14.25" customHeight="1">
      <c r="A1764" s="8" t="s">
        <v>16</v>
      </c>
      <c r="B1764" s="8">
        <v>7.2</v>
      </c>
      <c r="F1764" s="4"/>
      <c r="G1764" s="4"/>
      <c r="H1764" s="4"/>
      <c r="I1764" s="15"/>
      <c r="J1764" s="4"/>
    </row>
    <row r="1765" ht="14.25" customHeight="1">
      <c r="A1765" s="8" t="s">
        <v>16</v>
      </c>
      <c r="B1765" s="8">
        <v>8.7</v>
      </c>
      <c r="F1765" s="4"/>
      <c r="G1765" s="4"/>
      <c r="H1765" s="4"/>
      <c r="I1765" s="15"/>
      <c r="J1765" s="4"/>
    </row>
    <row r="1766" ht="14.25" customHeight="1">
      <c r="A1766" s="8" t="s">
        <v>16</v>
      </c>
      <c r="B1766" s="8">
        <v>5.0</v>
      </c>
      <c r="F1766" s="4"/>
      <c r="G1766" s="4"/>
      <c r="H1766" s="4"/>
      <c r="I1766" s="15"/>
      <c r="J1766" s="4"/>
    </row>
    <row r="1767" ht="14.25" customHeight="1">
      <c r="A1767" s="8" t="s">
        <v>16</v>
      </c>
      <c r="B1767" s="8">
        <v>6.6</v>
      </c>
      <c r="F1767" s="4"/>
      <c r="G1767" s="4"/>
      <c r="H1767" s="4"/>
      <c r="I1767" s="15"/>
      <c r="J1767" s="4"/>
    </row>
    <row r="1768" ht="14.25" customHeight="1">
      <c r="A1768" s="8" t="s">
        <v>16</v>
      </c>
      <c r="B1768" s="8">
        <v>8.3</v>
      </c>
      <c r="F1768" s="4"/>
      <c r="G1768" s="4"/>
      <c r="H1768" s="4"/>
      <c r="I1768" s="15"/>
      <c r="J1768" s="4"/>
    </row>
    <row r="1769" ht="14.25" customHeight="1">
      <c r="A1769" s="8" t="s">
        <v>16</v>
      </c>
      <c r="B1769" s="8">
        <v>6.7</v>
      </c>
      <c r="F1769" s="4"/>
      <c r="G1769" s="4"/>
      <c r="H1769" s="4"/>
      <c r="I1769" s="15"/>
      <c r="J1769" s="4"/>
    </row>
    <row r="1770" ht="14.25" customHeight="1">
      <c r="A1770" s="8" t="s">
        <v>16</v>
      </c>
      <c r="B1770" s="8">
        <v>7.8</v>
      </c>
      <c r="F1770" s="4"/>
      <c r="G1770" s="4"/>
      <c r="H1770" s="4"/>
      <c r="I1770" s="15"/>
      <c r="J1770" s="4"/>
    </row>
    <row r="1771" ht="14.25" customHeight="1">
      <c r="A1771" s="8" t="s">
        <v>16</v>
      </c>
      <c r="B1771" s="8">
        <v>6.5</v>
      </c>
      <c r="F1771" s="4"/>
      <c r="G1771" s="4"/>
      <c r="H1771" s="4"/>
      <c r="I1771" s="15"/>
      <c r="J1771" s="4"/>
    </row>
    <row r="1772" ht="14.25" customHeight="1">
      <c r="A1772" s="8" t="s">
        <v>16</v>
      </c>
      <c r="B1772" s="8">
        <v>6.1</v>
      </c>
      <c r="F1772" s="4"/>
      <c r="G1772" s="4"/>
      <c r="H1772" s="4"/>
      <c r="I1772" s="15"/>
      <c r="J1772" s="4"/>
    </row>
    <row r="1773" ht="14.25" customHeight="1">
      <c r="A1773" s="8" t="s">
        <v>16</v>
      </c>
      <c r="B1773" s="8">
        <v>8.1</v>
      </c>
      <c r="F1773" s="4"/>
      <c r="G1773" s="4"/>
      <c r="H1773" s="4"/>
      <c r="I1773" s="15"/>
      <c r="J1773" s="4"/>
    </row>
    <row r="1774" ht="14.25" customHeight="1">
      <c r="A1774" s="8" t="s">
        <v>16</v>
      </c>
      <c r="B1774" s="8">
        <v>5.2</v>
      </c>
      <c r="F1774" s="4"/>
      <c r="G1774" s="4"/>
      <c r="H1774" s="4"/>
      <c r="I1774" s="15"/>
      <c r="J1774" s="4"/>
    </row>
    <row r="1775" ht="14.25" customHeight="1">
      <c r="A1775" s="8" t="s">
        <v>16</v>
      </c>
      <c r="B1775" s="8">
        <v>5.6</v>
      </c>
      <c r="F1775" s="4"/>
      <c r="G1775" s="4"/>
      <c r="H1775" s="4"/>
      <c r="I1775" s="15"/>
      <c r="J1775" s="4"/>
    </row>
    <row r="1776" ht="14.25" customHeight="1">
      <c r="A1776" s="8" t="s">
        <v>16</v>
      </c>
      <c r="B1776" s="8">
        <v>5.8</v>
      </c>
      <c r="F1776" s="4"/>
      <c r="G1776" s="4"/>
      <c r="H1776" s="4"/>
      <c r="I1776" s="15"/>
      <c r="J1776" s="4"/>
    </row>
    <row r="1777" ht="14.25" customHeight="1">
      <c r="A1777" s="8" t="s">
        <v>16</v>
      </c>
      <c r="B1777" s="8">
        <v>6.6</v>
      </c>
      <c r="F1777" s="4"/>
      <c r="G1777" s="4"/>
      <c r="H1777" s="4"/>
      <c r="I1777" s="15"/>
      <c r="J1777" s="4"/>
    </row>
    <row r="1778" ht="14.25" customHeight="1">
      <c r="A1778" s="8" t="s">
        <v>16</v>
      </c>
      <c r="B1778" s="8">
        <v>6.6</v>
      </c>
      <c r="F1778" s="4"/>
      <c r="G1778" s="4"/>
      <c r="H1778" s="4"/>
      <c r="I1778" s="15"/>
      <c r="J1778" s="4"/>
    </row>
    <row r="1779" ht="14.25" customHeight="1">
      <c r="A1779" s="8" t="s">
        <v>16</v>
      </c>
      <c r="B1779" s="8">
        <v>5.5</v>
      </c>
      <c r="F1779" s="4"/>
      <c r="G1779" s="4"/>
      <c r="H1779" s="4"/>
      <c r="I1779" s="15"/>
      <c r="J1779" s="4"/>
    </row>
    <row r="1780" ht="14.25" customHeight="1">
      <c r="A1780" s="8" t="s">
        <v>16</v>
      </c>
      <c r="B1780" s="8">
        <v>7.0</v>
      </c>
      <c r="F1780" s="4"/>
      <c r="G1780" s="4"/>
      <c r="H1780" s="4"/>
      <c r="I1780" s="15"/>
      <c r="J1780" s="4"/>
    </row>
    <row r="1781" ht="14.25" customHeight="1">
      <c r="A1781" s="8" t="s">
        <v>16</v>
      </c>
      <c r="B1781" s="8">
        <v>6.5</v>
      </c>
      <c r="F1781" s="4"/>
      <c r="G1781" s="4"/>
      <c r="H1781" s="4"/>
      <c r="I1781" s="15"/>
      <c r="J1781" s="4"/>
    </row>
    <row r="1782" ht="14.25" customHeight="1">
      <c r="A1782" s="8" t="s">
        <v>16</v>
      </c>
      <c r="B1782" s="8">
        <v>5.8</v>
      </c>
      <c r="F1782" s="4"/>
      <c r="G1782" s="4"/>
      <c r="H1782" s="4"/>
      <c r="I1782" s="15"/>
      <c r="J1782" s="4"/>
    </row>
    <row r="1783" ht="14.25" customHeight="1">
      <c r="A1783" s="8" t="s">
        <v>16</v>
      </c>
      <c r="B1783" s="8">
        <v>5.6</v>
      </c>
      <c r="F1783" s="4"/>
      <c r="G1783" s="4"/>
      <c r="H1783" s="4"/>
      <c r="I1783" s="15"/>
      <c r="J1783" s="4"/>
    </row>
    <row r="1784" ht="14.25" customHeight="1">
      <c r="A1784" s="8" t="s">
        <v>16</v>
      </c>
      <c r="B1784" s="8">
        <v>5.6</v>
      </c>
      <c r="F1784" s="4"/>
      <c r="G1784" s="4"/>
      <c r="H1784" s="4"/>
      <c r="I1784" s="15"/>
      <c r="J1784" s="4"/>
    </row>
    <row r="1785" ht="14.25" customHeight="1">
      <c r="A1785" s="8" t="s">
        <v>16</v>
      </c>
      <c r="B1785" s="8">
        <v>5.8</v>
      </c>
      <c r="F1785" s="4"/>
      <c r="G1785" s="4"/>
      <c r="H1785" s="4"/>
      <c r="I1785" s="15"/>
      <c r="J1785" s="4"/>
    </row>
    <row r="1786" ht="14.25" customHeight="1">
      <c r="A1786" s="8" t="s">
        <v>16</v>
      </c>
      <c r="B1786" s="8">
        <v>7.6</v>
      </c>
      <c r="F1786" s="4"/>
      <c r="G1786" s="4"/>
      <c r="H1786" s="4"/>
      <c r="I1786" s="15"/>
      <c r="J1786" s="4"/>
    </row>
    <row r="1787" ht="14.25" customHeight="1">
      <c r="A1787" s="8" t="s">
        <v>16</v>
      </c>
      <c r="B1787" s="8">
        <v>6.4</v>
      </c>
      <c r="F1787" s="4"/>
      <c r="G1787" s="4"/>
      <c r="H1787" s="4"/>
      <c r="I1787" s="15"/>
      <c r="J1787" s="4"/>
    </row>
    <row r="1788" ht="14.25" customHeight="1">
      <c r="A1788" s="8" t="s">
        <v>16</v>
      </c>
      <c r="B1788" s="8">
        <v>6.3</v>
      </c>
      <c r="F1788" s="4"/>
      <c r="G1788" s="4"/>
      <c r="H1788" s="4"/>
      <c r="I1788" s="15"/>
      <c r="J1788" s="4"/>
    </row>
    <row r="1789" ht="14.25" customHeight="1">
      <c r="A1789" s="8" t="s">
        <v>16</v>
      </c>
      <c r="B1789" s="8">
        <v>4.6</v>
      </c>
      <c r="F1789" s="4"/>
      <c r="G1789" s="4"/>
      <c r="H1789" s="4"/>
      <c r="I1789" s="15"/>
      <c r="J1789" s="4"/>
    </row>
    <row r="1790" ht="14.25" customHeight="1">
      <c r="A1790" s="8" t="s">
        <v>16</v>
      </c>
      <c r="B1790" s="8">
        <v>6.5</v>
      </c>
      <c r="F1790" s="4"/>
      <c r="G1790" s="4"/>
      <c r="H1790" s="4"/>
      <c r="I1790" s="15"/>
      <c r="J1790" s="4"/>
    </row>
    <row r="1791" ht="14.25" customHeight="1">
      <c r="A1791" s="8" t="s">
        <v>16</v>
      </c>
      <c r="B1791" s="8">
        <v>7.5</v>
      </c>
      <c r="F1791" s="4"/>
      <c r="G1791" s="4"/>
      <c r="H1791" s="4"/>
      <c r="I1791" s="15"/>
      <c r="J1791" s="4"/>
    </row>
    <row r="1792" ht="14.25" customHeight="1">
      <c r="A1792" s="8" t="s">
        <v>16</v>
      </c>
      <c r="B1792" s="8">
        <v>7.5</v>
      </c>
      <c r="F1792" s="4"/>
      <c r="G1792" s="4"/>
      <c r="H1792" s="4"/>
      <c r="I1792" s="15"/>
      <c r="J1792" s="4"/>
    </row>
    <row r="1793" ht="14.25" customHeight="1">
      <c r="A1793" s="8" t="s">
        <v>16</v>
      </c>
      <c r="B1793" s="8">
        <v>5.3</v>
      </c>
      <c r="F1793" s="4"/>
      <c r="G1793" s="4"/>
      <c r="H1793" s="4"/>
      <c r="I1793" s="15"/>
      <c r="J1793" s="4"/>
    </row>
    <row r="1794" ht="14.25" customHeight="1">
      <c r="A1794" s="8" t="s">
        <v>16</v>
      </c>
      <c r="B1794" s="8">
        <v>7.5</v>
      </c>
      <c r="F1794" s="4"/>
      <c r="G1794" s="4"/>
      <c r="H1794" s="4"/>
      <c r="I1794" s="15"/>
      <c r="J1794" s="4"/>
    </row>
    <row r="1795" ht="14.25" customHeight="1">
      <c r="A1795" s="8" t="s">
        <v>16</v>
      </c>
      <c r="B1795" s="8">
        <v>3.3</v>
      </c>
      <c r="F1795" s="4"/>
      <c r="G1795" s="4"/>
      <c r="H1795" s="4"/>
      <c r="I1795" s="15"/>
      <c r="J1795" s="4"/>
    </row>
    <row r="1796" ht="14.25" customHeight="1">
      <c r="A1796" s="8" t="s">
        <v>16</v>
      </c>
      <c r="B1796" s="8">
        <v>3.5</v>
      </c>
      <c r="F1796" s="4"/>
      <c r="G1796" s="4"/>
      <c r="H1796" s="4"/>
      <c r="I1796" s="15"/>
      <c r="J1796" s="4"/>
    </row>
    <row r="1797" ht="14.25" customHeight="1">
      <c r="A1797" s="8" t="s">
        <v>16</v>
      </c>
      <c r="B1797" s="8">
        <v>9.3</v>
      </c>
      <c r="F1797" s="4"/>
      <c r="G1797" s="4"/>
      <c r="H1797" s="4"/>
      <c r="I1797" s="15"/>
      <c r="J1797" s="4"/>
    </row>
    <row r="1798" ht="14.25" customHeight="1">
      <c r="A1798" s="8" t="s">
        <v>16</v>
      </c>
      <c r="B1798" s="8">
        <v>4.8</v>
      </c>
      <c r="F1798" s="4"/>
      <c r="G1798" s="4"/>
      <c r="H1798" s="4"/>
      <c r="I1798" s="15"/>
      <c r="J1798" s="4"/>
    </row>
    <row r="1799" ht="14.25" customHeight="1">
      <c r="A1799" s="8" t="s">
        <v>16</v>
      </c>
      <c r="B1799" s="8">
        <v>6.9</v>
      </c>
      <c r="F1799" s="4"/>
      <c r="G1799" s="4"/>
      <c r="H1799" s="4"/>
      <c r="I1799" s="15"/>
      <c r="J1799" s="4"/>
    </row>
    <row r="1800" ht="14.25" customHeight="1">
      <c r="A1800" s="8" t="s">
        <v>16</v>
      </c>
      <c r="B1800" s="8">
        <v>6.0</v>
      </c>
      <c r="F1800" s="4"/>
      <c r="G1800" s="4"/>
      <c r="H1800" s="4"/>
      <c r="I1800" s="15"/>
      <c r="J1800" s="4"/>
    </row>
    <row r="1801" ht="14.25" customHeight="1">
      <c r="A1801" s="8" t="s">
        <v>16</v>
      </c>
      <c r="B1801" s="8">
        <v>7.3</v>
      </c>
      <c r="F1801" s="4"/>
      <c r="G1801" s="4"/>
      <c r="H1801" s="4"/>
      <c r="I1801" s="15"/>
      <c r="J1801" s="4"/>
    </row>
    <row r="1802" ht="14.25" customHeight="1">
      <c r="A1802" s="8" t="s">
        <v>16</v>
      </c>
      <c r="B1802" s="8">
        <v>6.6</v>
      </c>
      <c r="F1802" s="4"/>
      <c r="G1802" s="4"/>
      <c r="H1802" s="4"/>
      <c r="I1802" s="15"/>
      <c r="J1802" s="4"/>
    </row>
    <row r="1803" ht="14.25" customHeight="1">
      <c r="A1803" s="8" t="s">
        <v>16</v>
      </c>
      <c r="B1803" s="8">
        <v>7.5</v>
      </c>
      <c r="F1803" s="4"/>
      <c r="G1803" s="4"/>
      <c r="H1803" s="4"/>
      <c r="I1803" s="15"/>
      <c r="J1803" s="4"/>
    </row>
    <row r="1804" ht="14.25" customHeight="1">
      <c r="A1804" s="8" t="s">
        <v>16</v>
      </c>
      <c r="B1804" s="8">
        <v>6.9</v>
      </c>
      <c r="F1804" s="4"/>
      <c r="G1804" s="4"/>
      <c r="H1804" s="4"/>
      <c r="I1804" s="15"/>
      <c r="J1804" s="4"/>
    </row>
    <row r="1805" ht="14.25" customHeight="1">
      <c r="A1805" s="8" t="s">
        <v>16</v>
      </c>
      <c r="B1805" s="8">
        <v>6.8</v>
      </c>
      <c r="F1805" s="4"/>
      <c r="G1805" s="4"/>
      <c r="H1805" s="4"/>
      <c r="I1805" s="15"/>
      <c r="J1805" s="4"/>
    </row>
    <row r="1806" ht="14.25" customHeight="1">
      <c r="A1806" s="8" t="s">
        <v>16</v>
      </c>
      <c r="B1806" s="8">
        <v>6.3</v>
      </c>
      <c r="F1806" s="4"/>
      <c r="G1806" s="4"/>
      <c r="H1806" s="4"/>
      <c r="I1806" s="15"/>
      <c r="J1806" s="4"/>
    </row>
    <row r="1807" ht="14.25" customHeight="1">
      <c r="A1807" s="8" t="s">
        <v>16</v>
      </c>
      <c r="B1807" s="8">
        <v>6.4</v>
      </c>
      <c r="F1807" s="4"/>
      <c r="G1807" s="4"/>
      <c r="H1807" s="4"/>
      <c r="I1807" s="15"/>
      <c r="J1807" s="4"/>
    </row>
    <row r="1808" ht="14.25" customHeight="1">
      <c r="A1808" s="8" t="s">
        <v>16</v>
      </c>
      <c r="B1808" s="8">
        <v>5.6</v>
      </c>
      <c r="F1808" s="4"/>
      <c r="G1808" s="4"/>
      <c r="H1808" s="4"/>
      <c r="I1808" s="15"/>
      <c r="J1808" s="4"/>
    </row>
    <row r="1809" ht="14.25" customHeight="1">
      <c r="A1809" s="8" t="s">
        <v>16</v>
      </c>
      <c r="B1809" s="8">
        <v>6.3</v>
      </c>
      <c r="F1809" s="4"/>
      <c r="G1809" s="4"/>
      <c r="H1809" s="4"/>
      <c r="I1809" s="15"/>
      <c r="J1809" s="4"/>
    </row>
    <row r="1810" ht="14.25" customHeight="1">
      <c r="A1810" s="8" t="s">
        <v>16</v>
      </c>
      <c r="B1810" s="8">
        <v>7.3</v>
      </c>
      <c r="F1810" s="4"/>
      <c r="G1810" s="4"/>
      <c r="H1810" s="4"/>
      <c r="I1810" s="15"/>
      <c r="J1810" s="4"/>
    </row>
    <row r="1811" ht="14.25" customHeight="1">
      <c r="A1811" s="8" t="s">
        <v>16</v>
      </c>
      <c r="B1811" s="8">
        <v>6.6</v>
      </c>
      <c r="F1811" s="4"/>
      <c r="G1811" s="4"/>
      <c r="H1811" s="4"/>
      <c r="I1811" s="15"/>
      <c r="J1811" s="4"/>
    </row>
    <row r="1812" ht="14.25" customHeight="1">
      <c r="A1812" s="8" t="s">
        <v>16</v>
      </c>
      <c r="B1812" s="8">
        <v>4.6</v>
      </c>
      <c r="F1812" s="4"/>
      <c r="G1812" s="4"/>
      <c r="H1812" s="4"/>
      <c r="I1812" s="15"/>
      <c r="J1812" s="4"/>
    </row>
    <row r="1813" ht="14.25" customHeight="1">
      <c r="A1813" s="8" t="s">
        <v>16</v>
      </c>
      <c r="B1813" s="8">
        <v>5.1</v>
      </c>
      <c r="F1813" s="4"/>
      <c r="G1813" s="4"/>
      <c r="H1813" s="4"/>
      <c r="I1813" s="15"/>
      <c r="J1813" s="4"/>
    </row>
    <row r="1814" ht="14.25" customHeight="1">
      <c r="A1814" s="8" t="s">
        <v>16</v>
      </c>
      <c r="B1814" s="8">
        <v>5.6</v>
      </c>
      <c r="F1814" s="4"/>
      <c r="G1814" s="4"/>
      <c r="H1814" s="4"/>
      <c r="I1814" s="15"/>
      <c r="J1814" s="4"/>
    </row>
    <row r="1815" ht="14.25" customHeight="1">
      <c r="A1815" s="8" t="s">
        <v>3818</v>
      </c>
      <c r="B1815" s="8">
        <v>5.3</v>
      </c>
      <c r="F1815" s="4"/>
      <c r="G1815" s="4"/>
      <c r="H1815" s="4"/>
      <c r="I1815" s="15"/>
      <c r="J1815" s="4"/>
    </row>
    <row r="1816" ht="14.25" customHeight="1">
      <c r="A1816" s="8" t="s">
        <v>16</v>
      </c>
      <c r="B1816" s="8">
        <v>5.6</v>
      </c>
      <c r="F1816" s="4"/>
      <c r="G1816" s="4"/>
      <c r="H1816" s="4"/>
      <c r="I1816" s="15"/>
      <c r="J1816" s="4"/>
    </row>
    <row r="1817" ht="14.25" customHeight="1">
      <c r="A1817" s="8" t="s">
        <v>16</v>
      </c>
      <c r="B1817" s="8">
        <v>5.9</v>
      </c>
      <c r="F1817" s="4"/>
      <c r="G1817" s="4"/>
      <c r="H1817" s="4"/>
      <c r="I1817" s="15"/>
      <c r="J1817" s="4"/>
    </row>
    <row r="1818" ht="14.25" customHeight="1">
      <c r="A1818" s="8" t="s">
        <v>16</v>
      </c>
      <c r="B1818" s="8">
        <v>4.7</v>
      </c>
      <c r="F1818" s="4"/>
      <c r="G1818" s="4"/>
      <c r="H1818" s="4"/>
      <c r="I1818" s="15"/>
      <c r="J1818" s="4"/>
    </row>
    <row r="1819" ht="14.25" customHeight="1">
      <c r="A1819" s="8" t="s">
        <v>16</v>
      </c>
      <c r="B1819" s="8">
        <v>4.8</v>
      </c>
      <c r="F1819" s="4"/>
      <c r="G1819" s="4"/>
      <c r="H1819" s="4"/>
      <c r="I1819" s="15"/>
      <c r="J1819" s="4"/>
    </row>
    <row r="1820" ht="14.25" customHeight="1">
      <c r="A1820" s="8" t="s">
        <v>16</v>
      </c>
      <c r="B1820" s="8">
        <v>6.8</v>
      </c>
      <c r="F1820" s="4"/>
      <c r="G1820" s="4"/>
      <c r="H1820" s="4"/>
      <c r="I1820" s="15"/>
      <c r="J1820" s="4"/>
    </row>
    <row r="1821" ht="14.25" customHeight="1">
      <c r="A1821" s="8" t="s">
        <v>16</v>
      </c>
      <c r="B1821" s="8">
        <v>5.4</v>
      </c>
      <c r="F1821" s="4"/>
      <c r="G1821" s="4"/>
      <c r="H1821" s="4"/>
      <c r="I1821" s="15"/>
      <c r="J1821" s="4"/>
    </row>
    <row r="1822" ht="14.25" customHeight="1">
      <c r="A1822" s="8" t="s">
        <v>16</v>
      </c>
      <c r="B1822" s="8">
        <v>5.1</v>
      </c>
      <c r="F1822" s="4"/>
      <c r="G1822" s="4"/>
      <c r="H1822" s="4"/>
      <c r="I1822" s="15"/>
      <c r="J1822" s="4"/>
    </row>
    <row r="1823" ht="14.25" customHeight="1">
      <c r="A1823" s="8" t="s">
        <v>16</v>
      </c>
      <c r="B1823" s="8">
        <v>7.0</v>
      </c>
      <c r="F1823" s="4"/>
      <c r="G1823" s="4"/>
      <c r="H1823" s="4"/>
      <c r="I1823" s="15"/>
      <c r="J1823" s="4"/>
    </row>
    <row r="1824" ht="14.25" customHeight="1">
      <c r="A1824" s="8" t="s">
        <v>16</v>
      </c>
      <c r="B1824" s="8">
        <v>4.0</v>
      </c>
      <c r="F1824" s="4"/>
      <c r="G1824" s="4"/>
      <c r="H1824" s="4"/>
      <c r="I1824" s="15"/>
      <c r="J1824" s="4"/>
    </row>
    <row r="1825" ht="14.25" customHeight="1">
      <c r="A1825" s="8" t="s">
        <v>16</v>
      </c>
      <c r="B1825" s="8">
        <v>7.3</v>
      </c>
      <c r="F1825" s="4"/>
      <c r="G1825" s="4"/>
      <c r="H1825" s="4"/>
      <c r="I1825" s="15"/>
      <c r="J1825" s="4"/>
    </row>
    <row r="1826" ht="14.25" customHeight="1">
      <c r="A1826" s="8" t="s">
        <v>16</v>
      </c>
      <c r="B1826" s="8">
        <v>6.8</v>
      </c>
      <c r="F1826" s="4"/>
      <c r="G1826" s="4"/>
      <c r="H1826" s="4"/>
      <c r="I1826" s="15"/>
      <c r="J1826" s="4"/>
    </row>
    <row r="1827" ht="14.25" customHeight="1">
      <c r="A1827" s="8" t="s">
        <v>16</v>
      </c>
      <c r="B1827" s="8">
        <v>7.0</v>
      </c>
      <c r="F1827" s="4"/>
      <c r="G1827" s="4"/>
      <c r="H1827" s="4"/>
      <c r="I1827" s="15"/>
      <c r="J1827" s="4"/>
    </row>
    <row r="1828" ht="14.25" customHeight="1">
      <c r="A1828" s="8" t="s">
        <v>16</v>
      </c>
      <c r="B1828" s="8">
        <v>7.1</v>
      </c>
      <c r="F1828" s="4"/>
      <c r="G1828" s="4"/>
      <c r="H1828" s="4"/>
      <c r="I1828" s="15"/>
      <c r="J1828" s="4"/>
    </row>
    <row r="1829" ht="14.25" customHeight="1">
      <c r="A1829" s="8" t="s">
        <v>16</v>
      </c>
      <c r="B1829" s="8">
        <v>6.9</v>
      </c>
      <c r="F1829" s="4"/>
      <c r="G1829" s="4"/>
      <c r="H1829" s="4"/>
      <c r="I1829" s="15"/>
      <c r="J1829" s="4"/>
    </row>
    <row r="1830" ht="14.25" customHeight="1">
      <c r="A1830" s="8" t="s">
        <v>16</v>
      </c>
      <c r="B1830" s="8">
        <v>7.3</v>
      </c>
      <c r="F1830" s="4"/>
      <c r="G1830" s="4"/>
      <c r="H1830" s="4"/>
      <c r="I1830" s="15"/>
      <c r="J1830" s="4"/>
    </row>
    <row r="1831" ht="14.25" customHeight="1">
      <c r="A1831" s="8" t="s">
        <v>16</v>
      </c>
      <c r="B1831" s="8">
        <v>8.2</v>
      </c>
      <c r="F1831" s="4"/>
      <c r="G1831" s="4"/>
      <c r="H1831" s="4"/>
      <c r="I1831" s="15"/>
      <c r="J1831" s="4"/>
    </row>
    <row r="1832" ht="14.25" customHeight="1">
      <c r="A1832" s="8" t="s">
        <v>16</v>
      </c>
      <c r="B1832" s="8">
        <v>7.1</v>
      </c>
      <c r="F1832" s="4"/>
      <c r="G1832" s="4"/>
      <c r="H1832" s="4"/>
      <c r="I1832" s="15"/>
      <c r="J1832" s="4"/>
    </row>
    <row r="1833" ht="14.25" customHeight="1">
      <c r="A1833" s="8" t="s">
        <v>16</v>
      </c>
      <c r="B1833" s="8">
        <v>7.7</v>
      </c>
      <c r="F1833" s="4"/>
      <c r="G1833" s="4"/>
      <c r="H1833" s="4"/>
      <c r="I1833" s="15"/>
      <c r="J1833" s="4"/>
    </row>
    <row r="1834" ht="14.25" customHeight="1">
      <c r="A1834" s="8" t="s">
        <v>16</v>
      </c>
      <c r="B1834" s="8">
        <v>6.5</v>
      </c>
      <c r="F1834" s="4"/>
      <c r="G1834" s="4"/>
      <c r="H1834" s="4"/>
      <c r="I1834" s="15"/>
      <c r="J1834" s="4"/>
    </row>
    <row r="1835" ht="14.25" customHeight="1">
      <c r="A1835" s="8" t="s">
        <v>16</v>
      </c>
      <c r="B1835" s="8">
        <v>4.9</v>
      </c>
      <c r="F1835" s="4"/>
      <c r="G1835" s="4"/>
      <c r="H1835" s="4"/>
      <c r="I1835" s="15"/>
      <c r="J1835" s="4"/>
    </row>
    <row r="1836" ht="14.25" customHeight="1">
      <c r="A1836" s="8" t="s">
        <v>16</v>
      </c>
      <c r="B1836" s="8">
        <v>6.4</v>
      </c>
      <c r="F1836" s="4"/>
      <c r="G1836" s="4"/>
      <c r="H1836" s="4"/>
      <c r="I1836" s="15"/>
      <c r="J1836" s="4"/>
    </row>
    <row r="1837" ht="14.25" customHeight="1">
      <c r="A1837" s="8" t="s">
        <v>16</v>
      </c>
      <c r="B1837" s="8">
        <v>5.9</v>
      </c>
      <c r="F1837" s="4"/>
      <c r="G1837" s="4"/>
      <c r="H1837" s="4"/>
      <c r="I1837" s="15"/>
      <c r="J1837" s="4"/>
    </row>
    <row r="1838" ht="14.25" customHeight="1">
      <c r="A1838" s="8" t="s">
        <v>16</v>
      </c>
      <c r="B1838" s="8">
        <v>6.2</v>
      </c>
      <c r="F1838" s="4"/>
      <c r="G1838" s="4"/>
      <c r="H1838" s="4"/>
      <c r="I1838" s="15"/>
      <c r="J1838" s="4"/>
    </row>
    <row r="1839" ht="14.25" customHeight="1">
      <c r="A1839" s="8" t="s">
        <v>16</v>
      </c>
      <c r="B1839" s="8">
        <v>5.8</v>
      </c>
      <c r="F1839" s="4"/>
      <c r="G1839" s="4"/>
      <c r="H1839" s="4"/>
      <c r="I1839" s="15"/>
      <c r="J1839" s="4"/>
    </row>
    <row r="1840" ht="14.25" customHeight="1">
      <c r="A1840" s="8" t="s">
        <v>16</v>
      </c>
      <c r="B1840" s="8">
        <v>6.7</v>
      </c>
      <c r="F1840" s="4"/>
      <c r="G1840" s="4"/>
      <c r="H1840" s="4"/>
      <c r="I1840" s="15"/>
      <c r="J1840" s="4"/>
    </row>
    <row r="1841" ht="14.25" customHeight="1">
      <c r="A1841" s="8" t="s">
        <v>16</v>
      </c>
      <c r="B1841" s="8">
        <v>5.9</v>
      </c>
      <c r="F1841" s="4"/>
      <c r="G1841" s="4"/>
      <c r="H1841" s="4"/>
      <c r="I1841" s="15"/>
      <c r="J1841" s="4"/>
    </row>
    <row r="1842" ht="14.25" customHeight="1">
      <c r="A1842" s="8" t="s">
        <v>16</v>
      </c>
      <c r="B1842" s="8">
        <v>7.3</v>
      </c>
      <c r="F1842" s="4"/>
      <c r="G1842" s="4"/>
      <c r="H1842" s="4"/>
      <c r="I1842" s="15"/>
      <c r="J1842" s="4"/>
    </row>
    <row r="1843" ht="14.25" customHeight="1">
      <c r="A1843" s="8" t="s">
        <v>16</v>
      </c>
      <c r="B1843" s="8">
        <v>4.1</v>
      </c>
      <c r="F1843" s="4"/>
      <c r="G1843" s="4"/>
      <c r="H1843" s="4"/>
      <c r="I1843" s="15"/>
      <c r="J1843" s="4"/>
    </row>
    <row r="1844" ht="14.25" customHeight="1">
      <c r="A1844" s="8" t="s">
        <v>16</v>
      </c>
      <c r="B1844" s="8">
        <v>4.9</v>
      </c>
      <c r="F1844" s="4"/>
      <c r="G1844" s="4"/>
      <c r="H1844" s="4"/>
      <c r="I1844" s="15"/>
      <c r="J1844" s="4"/>
    </row>
    <row r="1845" ht="14.25" customHeight="1">
      <c r="A1845" s="8" t="s">
        <v>16</v>
      </c>
      <c r="B1845" s="8">
        <v>7.9</v>
      </c>
      <c r="F1845" s="4"/>
      <c r="G1845" s="4"/>
      <c r="H1845" s="4"/>
      <c r="I1845" s="15"/>
      <c r="J1845" s="4"/>
    </row>
    <row r="1846" ht="14.25" customHeight="1">
      <c r="A1846" s="8" t="s">
        <v>16</v>
      </c>
      <c r="B1846" s="8">
        <v>5.6</v>
      </c>
      <c r="F1846" s="4"/>
      <c r="G1846" s="4"/>
      <c r="H1846" s="4"/>
      <c r="I1846" s="15"/>
      <c r="J1846" s="4"/>
    </row>
    <row r="1847" ht="14.25" customHeight="1">
      <c r="A1847" s="8" t="s">
        <v>16</v>
      </c>
      <c r="B1847" s="8">
        <v>5.2</v>
      </c>
      <c r="F1847" s="4"/>
      <c r="G1847" s="4"/>
      <c r="H1847" s="4"/>
      <c r="I1847" s="15"/>
      <c r="J1847" s="4"/>
    </row>
    <row r="1848" ht="14.25" customHeight="1">
      <c r="A1848" s="8" t="s">
        <v>16</v>
      </c>
      <c r="B1848" s="8">
        <v>4.1</v>
      </c>
      <c r="F1848" s="4"/>
      <c r="G1848" s="4"/>
      <c r="H1848" s="4"/>
      <c r="I1848" s="15"/>
      <c r="J1848" s="4"/>
    </row>
    <row r="1849" ht="14.25" customHeight="1">
      <c r="A1849" s="8" t="s">
        <v>16</v>
      </c>
      <c r="B1849" s="8">
        <v>6.6</v>
      </c>
      <c r="F1849" s="4"/>
      <c r="G1849" s="4"/>
      <c r="H1849" s="4"/>
      <c r="I1849" s="15"/>
      <c r="J1849" s="4"/>
    </row>
    <row r="1850" ht="14.25" customHeight="1">
      <c r="A1850" s="8" t="s">
        <v>16</v>
      </c>
      <c r="B1850" s="8">
        <v>2.9</v>
      </c>
      <c r="F1850" s="4"/>
      <c r="G1850" s="4"/>
      <c r="H1850" s="4"/>
      <c r="I1850" s="15"/>
      <c r="J1850" s="4"/>
    </row>
    <row r="1851" ht="14.25" customHeight="1">
      <c r="A1851" s="8" t="s">
        <v>16</v>
      </c>
      <c r="B1851" s="8">
        <v>6.5</v>
      </c>
      <c r="F1851" s="4"/>
      <c r="G1851" s="4"/>
      <c r="H1851" s="4"/>
      <c r="I1851" s="15"/>
      <c r="J1851" s="4"/>
    </row>
    <row r="1852" ht="14.25" customHeight="1">
      <c r="A1852" s="8" t="s">
        <v>16</v>
      </c>
      <c r="B1852" s="8">
        <v>7.2</v>
      </c>
      <c r="F1852" s="4"/>
      <c r="G1852" s="4"/>
      <c r="H1852" s="4"/>
      <c r="I1852" s="15"/>
      <c r="J1852" s="4"/>
    </row>
    <row r="1853" ht="14.25" customHeight="1">
      <c r="A1853" s="8" t="s">
        <v>16</v>
      </c>
      <c r="B1853" s="8">
        <v>6.8</v>
      </c>
      <c r="F1853" s="4"/>
      <c r="G1853" s="4"/>
      <c r="H1853" s="4"/>
      <c r="I1853" s="15"/>
      <c r="J1853" s="4"/>
    </row>
    <row r="1854" ht="14.25" customHeight="1">
      <c r="A1854" s="8" t="s">
        <v>16</v>
      </c>
      <c r="B1854" s="8">
        <v>7.8</v>
      </c>
      <c r="F1854" s="4"/>
      <c r="G1854" s="4"/>
      <c r="H1854" s="4"/>
      <c r="I1854" s="15"/>
      <c r="J1854" s="4"/>
    </row>
    <row r="1855" ht="14.25" customHeight="1">
      <c r="A1855" s="8" t="s">
        <v>16</v>
      </c>
      <c r="B1855" s="8">
        <v>6.7</v>
      </c>
      <c r="F1855" s="4"/>
      <c r="G1855" s="4"/>
      <c r="H1855" s="4"/>
      <c r="I1855" s="15"/>
      <c r="J1855" s="4"/>
    </row>
    <row r="1856" ht="14.25" customHeight="1">
      <c r="A1856" s="8" t="s">
        <v>1189</v>
      </c>
      <c r="B1856" s="8">
        <v>7.1</v>
      </c>
      <c r="F1856" s="4"/>
      <c r="G1856" s="4"/>
      <c r="H1856" s="4"/>
      <c r="I1856" s="15"/>
      <c r="J1856" s="4"/>
    </row>
    <row r="1857" ht="14.25" customHeight="1">
      <c r="A1857" s="8" t="s">
        <v>16</v>
      </c>
      <c r="B1857" s="8">
        <v>5.7</v>
      </c>
      <c r="F1857" s="4"/>
      <c r="G1857" s="4"/>
      <c r="H1857" s="4"/>
      <c r="I1857" s="15"/>
      <c r="J1857" s="4"/>
    </row>
    <row r="1858" ht="14.25" customHeight="1">
      <c r="A1858" s="8" t="s">
        <v>16</v>
      </c>
      <c r="B1858" s="8">
        <v>5.3</v>
      </c>
      <c r="F1858" s="4"/>
      <c r="G1858" s="4"/>
      <c r="H1858" s="4"/>
      <c r="I1858" s="15"/>
      <c r="J1858" s="4"/>
    </row>
    <row r="1859" ht="14.25" customHeight="1">
      <c r="A1859" s="8" t="s">
        <v>2884</v>
      </c>
      <c r="B1859" s="8">
        <v>6.5</v>
      </c>
      <c r="F1859" s="4"/>
      <c r="G1859" s="4"/>
      <c r="H1859" s="4"/>
      <c r="I1859" s="15"/>
      <c r="J1859" s="4"/>
    </row>
    <row r="1860" ht="14.25" customHeight="1">
      <c r="A1860" s="8" t="s">
        <v>16</v>
      </c>
      <c r="B1860" s="8">
        <v>7.7</v>
      </c>
      <c r="F1860" s="4"/>
      <c r="G1860" s="4"/>
      <c r="H1860" s="4"/>
      <c r="I1860" s="15"/>
      <c r="J1860" s="4"/>
    </row>
    <row r="1861" ht="14.25" customHeight="1">
      <c r="A1861" s="8" t="s">
        <v>16</v>
      </c>
      <c r="B1861" s="8">
        <v>6.1</v>
      </c>
      <c r="F1861" s="4"/>
      <c r="G1861" s="4"/>
      <c r="H1861" s="4"/>
      <c r="I1861" s="15"/>
      <c r="J1861" s="4"/>
    </row>
    <row r="1862" ht="14.25" customHeight="1">
      <c r="A1862" s="8" t="s">
        <v>16</v>
      </c>
      <c r="B1862" s="8">
        <v>7.3</v>
      </c>
      <c r="F1862" s="4"/>
      <c r="G1862" s="4"/>
      <c r="H1862" s="4"/>
      <c r="I1862" s="15"/>
      <c r="J1862" s="4"/>
    </row>
    <row r="1863" ht="14.25" customHeight="1">
      <c r="A1863" s="8" t="s">
        <v>16</v>
      </c>
      <c r="B1863" s="8">
        <v>7.2</v>
      </c>
      <c r="F1863" s="4"/>
      <c r="G1863" s="4"/>
      <c r="H1863" s="4"/>
      <c r="I1863" s="15"/>
      <c r="J1863" s="4"/>
    </row>
    <row r="1864" ht="14.25" customHeight="1">
      <c r="A1864" s="8" t="s">
        <v>16</v>
      </c>
      <c r="B1864" s="8">
        <v>5.3</v>
      </c>
      <c r="F1864" s="4"/>
      <c r="G1864" s="4"/>
      <c r="H1864" s="4"/>
      <c r="I1864" s="15"/>
      <c r="J1864" s="4"/>
    </row>
    <row r="1865" ht="14.25" customHeight="1">
      <c r="A1865" s="8" t="s">
        <v>16</v>
      </c>
      <c r="B1865" s="8">
        <v>6.1</v>
      </c>
      <c r="F1865" s="4"/>
      <c r="G1865" s="4"/>
      <c r="H1865" s="4"/>
      <c r="I1865" s="15"/>
      <c r="J1865" s="4"/>
    </row>
    <row r="1866" ht="14.25" customHeight="1">
      <c r="A1866" s="8" t="s">
        <v>16</v>
      </c>
      <c r="B1866" s="8">
        <v>5.8</v>
      </c>
      <c r="F1866" s="4"/>
      <c r="G1866" s="4"/>
      <c r="H1866" s="4"/>
      <c r="I1866" s="15"/>
      <c r="J1866" s="4"/>
    </row>
    <row r="1867" ht="14.25" customHeight="1">
      <c r="A1867" s="8" t="s">
        <v>16</v>
      </c>
      <c r="B1867" s="8">
        <v>5.7</v>
      </c>
      <c r="F1867" s="4"/>
      <c r="G1867" s="4"/>
      <c r="H1867" s="4"/>
      <c r="I1867" s="15"/>
      <c r="J1867" s="4"/>
    </row>
    <row r="1868" ht="14.25" customHeight="1">
      <c r="A1868" s="8" t="s">
        <v>16</v>
      </c>
      <c r="B1868" s="8">
        <v>6.7</v>
      </c>
      <c r="F1868" s="4"/>
      <c r="G1868" s="4"/>
      <c r="H1868" s="4"/>
      <c r="I1868" s="15"/>
      <c r="J1868" s="4"/>
    </row>
    <row r="1869" ht="14.25" customHeight="1">
      <c r="A1869" s="8" t="s">
        <v>16</v>
      </c>
      <c r="B1869" s="8">
        <v>6.5</v>
      </c>
      <c r="F1869" s="4"/>
      <c r="G1869" s="4"/>
      <c r="H1869" s="4"/>
      <c r="I1869" s="15"/>
      <c r="J1869" s="4"/>
    </row>
    <row r="1870" ht="14.25" customHeight="1">
      <c r="A1870" s="8" t="s">
        <v>16</v>
      </c>
      <c r="B1870" s="8">
        <v>7.2</v>
      </c>
      <c r="F1870" s="4"/>
      <c r="G1870" s="4"/>
      <c r="H1870" s="4"/>
      <c r="I1870" s="15"/>
      <c r="J1870" s="4"/>
    </row>
    <row r="1871" ht="14.25" customHeight="1">
      <c r="A1871" s="8" t="s">
        <v>16</v>
      </c>
      <c r="B1871" s="8">
        <v>7.6</v>
      </c>
      <c r="F1871" s="4"/>
      <c r="G1871" s="4"/>
      <c r="H1871" s="4"/>
      <c r="I1871" s="15"/>
      <c r="J1871" s="4"/>
    </row>
    <row r="1872" ht="14.25" customHeight="1">
      <c r="A1872" s="8" t="s">
        <v>16</v>
      </c>
      <c r="B1872" s="8">
        <v>4.6</v>
      </c>
      <c r="F1872" s="4"/>
      <c r="G1872" s="4"/>
      <c r="H1872" s="4"/>
      <c r="I1872" s="15"/>
      <c r="J1872" s="4"/>
    </row>
    <row r="1873" ht="14.25" customHeight="1">
      <c r="A1873" s="8" t="s">
        <v>16</v>
      </c>
      <c r="B1873" s="8">
        <v>6.9</v>
      </c>
      <c r="F1873" s="4"/>
      <c r="G1873" s="4"/>
      <c r="H1873" s="4"/>
      <c r="I1873" s="15"/>
      <c r="J1873" s="4"/>
    </row>
    <row r="1874" ht="14.25" customHeight="1">
      <c r="A1874" s="8" t="s">
        <v>16</v>
      </c>
      <c r="B1874" s="8">
        <v>6.6</v>
      </c>
      <c r="F1874" s="4"/>
      <c r="G1874" s="4"/>
      <c r="H1874" s="4"/>
      <c r="I1874" s="15"/>
      <c r="J1874" s="4"/>
    </row>
    <row r="1875" ht="14.25" customHeight="1">
      <c r="A1875" s="8" t="s">
        <v>16</v>
      </c>
      <c r="B1875" s="8">
        <v>6.3</v>
      </c>
      <c r="F1875" s="4"/>
      <c r="G1875" s="4"/>
      <c r="H1875" s="4"/>
      <c r="I1875" s="15"/>
      <c r="J1875" s="4"/>
    </row>
    <row r="1876" ht="14.25" customHeight="1">
      <c r="A1876" s="8" t="s">
        <v>16</v>
      </c>
      <c r="B1876" s="8">
        <v>6.2</v>
      </c>
      <c r="F1876" s="4"/>
      <c r="G1876" s="4"/>
      <c r="H1876" s="4"/>
      <c r="I1876" s="15"/>
      <c r="J1876" s="4"/>
    </row>
    <row r="1877" ht="14.25" customHeight="1">
      <c r="A1877" s="8" t="s">
        <v>16</v>
      </c>
      <c r="B1877" s="8">
        <v>5.3</v>
      </c>
      <c r="F1877" s="4"/>
      <c r="G1877" s="4"/>
      <c r="H1877" s="4"/>
      <c r="I1877" s="15"/>
      <c r="J1877" s="4"/>
    </row>
    <row r="1878" ht="14.25" customHeight="1">
      <c r="A1878" s="8" t="s">
        <v>16</v>
      </c>
      <c r="B1878" s="8">
        <v>7.3</v>
      </c>
      <c r="F1878" s="4"/>
      <c r="G1878" s="4"/>
      <c r="H1878" s="4"/>
      <c r="I1878" s="15"/>
      <c r="J1878" s="4"/>
    </row>
    <row r="1879" ht="14.25" customHeight="1">
      <c r="A1879" s="8" t="s">
        <v>16</v>
      </c>
      <c r="B1879" s="8">
        <v>5.6</v>
      </c>
      <c r="F1879" s="4"/>
      <c r="G1879" s="4"/>
      <c r="H1879" s="4"/>
      <c r="I1879" s="15"/>
      <c r="J1879" s="4"/>
    </row>
    <row r="1880" ht="14.25" customHeight="1">
      <c r="A1880" s="8" t="s">
        <v>16</v>
      </c>
      <c r="B1880" s="8">
        <v>6.2</v>
      </c>
      <c r="F1880" s="4"/>
      <c r="G1880" s="4"/>
      <c r="H1880" s="4"/>
      <c r="I1880" s="15"/>
      <c r="J1880" s="4"/>
    </row>
    <row r="1881" ht="14.25" customHeight="1">
      <c r="A1881" s="8" t="s">
        <v>16</v>
      </c>
      <c r="B1881" s="8">
        <v>5.2</v>
      </c>
      <c r="F1881" s="4"/>
      <c r="G1881" s="4"/>
      <c r="H1881" s="4"/>
      <c r="I1881" s="15"/>
      <c r="J1881" s="4"/>
    </row>
    <row r="1882" ht="14.25" customHeight="1">
      <c r="A1882" s="8" t="s">
        <v>16</v>
      </c>
      <c r="B1882" s="8">
        <v>5.3</v>
      </c>
      <c r="F1882" s="4"/>
      <c r="G1882" s="4"/>
      <c r="H1882" s="4"/>
      <c r="I1882" s="15"/>
      <c r="J1882" s="4"/>
    </row>
    <row r="1883" ht="14.25" customHeight="1">
      <c r="A1883" s="8" t="s">
        <v>16</v>
      </c>
      <c r="B1883" s="8">
        <v>5.4</v>
      </c>
      <c r="F1883" s="4"/>
      <c r="G1883" s="4"/>
      <c r="H1883" s="4"/>
      <c r="I1883" s="15"/>
      <c r="J1883" s="4"/>
    </row>
    <row r="1884" ht="14.25" customHeight="1">
      <c r="A1884" s="8" t="s">
        <v>16</v>
      </c>
      <c r="B1884" s="8">
        <v>4.9</v>
      </c>
      <c r="F1884" s="4"/>
      <c r="G1884" s="4"/>
      <c r="H1884" s="4"/>
      <c r="I1884" s="15"/>
      <c r="J1884" s="4"/>
    </row>
    <row r="1885" ht="14.25" customHeight="1">
      <c r="A1885" s="8" t="s">
        <v>16</v>
      </c>
      <c r="B1885" s="8">
        <v>5.5</v>
      </c>
      <c r="F1885" s="4"/>
      <c r="G1885" s="4"/>
      <c r="H1885" s="4"/>
      <c r="I1885" s="15"/>
      <c r="J1885" s="4"/>
    </row>
    <row r="1886" ht="14.25" customHeight="1">
      <c r="A1886" s="8" t="s">
        <v>16</v>
      </c>
      <c r="B1886" s="8">
        <v>6.7</v>
      </c>
      <c r="F1886" s="4"/>
      <c r="G1886" s="4"/>
      <c r="H1886" s="4"/>
      <c r="I1886" s="15"/>
      <c r="J1886" s="4"/>
    </row>
    <row r="1887" ht="14.25" customHeight="1">
      <c r="A1887" s="8" t="s">
        <v>16</v>
      </c>
      <c r="B1887" s="8">
        <v>3.9</v>
      </c>
      <c r="F1887" s="4"/>
      <c r="G1887" s="4"/>
      <c r="H1887" s="4"/>
      <c r="I1887" s="15"/>
      <c r="J1887" s="4"/>
    </row>
    <row r="1888" ht="14.25" customHeight="1">
      <c r="A1888" s="8" t="s">
        <v>16</v>
      </c>
      <c r="B1888" s="8">
        <v>7.2</v>
      </c>
      <c r="F1888" s="4"/>
      <c r="G1888" s="4"/>
      <c r="H1888" s="4"/>
      <c r="I1888" s="15"/>
      <c r="J1888" s="4"/>
    </row>
    <row r="1889" ht="14.25" customHeight="1">
      <c r="A1889" s="8" t="s">
        <v>16</v>
      </c>
      <c r="B1889" s="8">
        <v>5.1</v>
      </c>
      <c r="F1889" s="4"/>
      <c r="G1889" s="4"/>
      <c r="H1889" s="4"/>
      <c r="I1889" s="15"/>
      <c r="J1889" s="4"/>
    </row>
    <row r="1890" ht="14.25" customHeight="1">
      <c r="A1890" s="8" t="s">
        <v>16</v>
      </c>
      <c r="B1890" s="8">
        <v>6.5</v>
      </c>
      <c r="F1890" s="4"/>
      <c r="G1890" s="4"/>
      <c r="H1890" s="4"/>
      <c r="I1890" s="15"/>
      <c r="J1890" s="4"/>
    </row>
    <row r="1891" ht="14.25" customHeight="1">
      <c r="A1891" s="8" t="s">
        <v>3076</v>
      </c>
      <c r="B1891" s="8">
        <v>8.2</v>
      </c>
      <c r="F1891" s="4"/>
      <c r="G1891" s="4"/>
      <c r="H1891" s="4"/>
      <c r="I1891" s="15"/>
      <c r="J1891" s="4"/>
    </row>
    <row r="1892" ht="14.25" customHeight="1">
      <c r="A1892" s="8" t="s">
        <v>16</v>
      </c>
      <c r="B1892" s="8">
        <v>7.7</v>
      </c>
      <c r="F1892" s="4"/>
      <c r="G1892" s="4"/>
      <c r="H1892" s="4"/>
      <c r="I1892" s="15"/>
      <c r="J1892" s="4"/>
    </row>
    <row r="1893" ht="14.25" customHeight="1">
      <c r="A1893" s="8" t="s">
        <v>16</v>
      </c>
      <c r="B1893" s="8">
        <v>7.2</v>
      </c>
      <c r="F1893" s="4"/>
      <c r="G1893" s="4"/>
      <c r="H1893" s="4"/>
      <c r="I1893" s="15"/>
      <c r="J1893" s="4"/>
    </row>
    <row r="1894" ht="14.25" customHeight="1">
      <c r="A1894" s="8" t="s">
        <v>16</v>
      </c>
      <c r="B1894" s="8">
        <v>6.1</v>
      </c>
      <c r="F1894" s="4"/>
      <c r="G1894" s="4"/>
      <c r="H1894" s="4"/>
      <c r="I1894" s="15"/>
      <c r="J1894" s="4"/>
    </row>
    <row r="1895" ht="14.25" customHeight="1">
      <c r="A1895" s="8" t="s">
        <v>16</v>
      </c>
      <c r="B1895" s="8">
        <v>8.8</v>
      </c>
      <c r="F1895" s="4"/>
      <c r="G1895" s="4"/>
      <c r="H1895" s="4"/>
      <c r="I1895" s="15"/>
      <c r="J1895" s="4"/>
    </row>
    <row r="1896" ht="14.25" customHeight="1">
      <c r="A1896" s="8" t="s">
        <v>16</v>
      </c>
      <c r="B1896" s="8">
        <v>6.8</v>
      </c>
      <c r="F1896" s="4"/>
      <c r="G1896" s="4"/>
      <c r="H1896" s="4"/>
      <c r="I1896" s="15"/>
      <c r="J1896" s="4"/>
    </row>
    <row r="1897" ht="14.25" customHeight="1">
      <c r="A1897" s="8" t="s">
        <v>16</v>
      </c>
      <c r="B1897" s="8">
        <v>6.8</v>
      </c>
      <c r="F1897" s="4"/>
      <c r="G1897" s="4"/>
      <c r="H1897" s="4"/>
      <c r="I1897" s="15"/>
      <c r="J1897" s="4"/>
    </row>
    <row r="1898" ht="14.25" customHeight="1">
      <c r="A1898" s="8" t="s">
        <v>16</v>
      </c>
      <c r="B1898" s="8">
        <v>6.7</v>
      </c>
      <c r="F1898" s="4"/>
      <c r="G1898" s="4"/>
      <c r="H1898" s="4"/>
      <c r="I1898" s="15"/>
      <c r="J1898" s="4"/>
    </row>
    <row r="1899" ht="14.25" customHeight="1">
      <c r="A1899" s="8" t="s">
        <v>16</v>
      </c>
      <c r="B1899" s="8">
        <v>7.1</v>
      </c>
      <c r="F1899" s="4"/>
      <c r="G1899" s="4"/>
      <c r="H1899" s="4"/>
      <c r="I1899" s="15"/>
      <c r="J1899" s="4"/>
    </row>
    <row r="1900" ht="14.25" customHeight="1">
      <c r="A1900" s="8" t="s">
        <v>16</v>
      </c>
      <c r="B1900" s="8">
        <v>7.1</v>
      </c>
      <c r="F1900" s="4"/>
      <c r="G1900" s="4"/>
      <c r="H1900" s="4"/>
      <c r="I1900" s="15"/>
      <c r="J1900" s="4"/>
    </row>
    <row r="1901" ht="14.25" customHeight="1">
      <c r="A1901" s="8" t="s">
        <v>16</v>
      </c>
      <c r="B1901" s="8">
        <v>6.1</v>
      </c>
      <c r="F1901" s="4"/>
      <c r="G1901" s="4"/>
      <c r="H1901" s="4"/>
      <c r="I1901" s="15"/>
      <c r="J1901" s="4"/>
    </row>
    <row r="1902" ht="14.25" customHeight="1">
      <c r="A1902" s="8" t="s">
        <v>16</v>
      </c>
      <c r="B1902" s="8">
        <v>8.0</v>
      </c>
      <c r="F1902" s="4"/>
      <c r="G1902" s="4"/>
      <c r="H1902" s="4"/>
      <c r="I1902" s="15"/>
      <c r="J1902" s="4"/>
    </row>
    <row r="1903" ht="14.25" customHeight="1">
      <c r="A1903" s="8" t="s">
        <v>16</v>
      </c>
      <c r="B1903" s="8">
        <v>7.5</v>
      </c>
      <c r="F1903" s="4"/>
      <c r="G1903" s="4"/>
      <c r="H1903" s="4"/>
      <c r="I1903" s="15"/>
      <c r="J1903" s="4"/>
    </row>
    <row r="1904" ht="14.25" customHeight="1">
      <c r="A1904" s="8" t="s">
        <v>16</v>
      </c>
      <c r="B1904" s="8">
        <v>6.6</v>
      </c>
      <c r="F1904" s="4"/>
      <c r="G1904" s="4"/>
      <c r="H1904" s="4"/>
      <c r="I1904" s="15"/>
      <c r="J1904" s="4"/>
    </row>
    <row r="1905" ht="14.25" customHeight="1">
      <c r="A1905" s="8" t="s">
        <v>16</v>
      </c>
      <c r="B1905" s="8">
        <v>5.4</v>
      </c>
      <c r="F1905" s="4"/>
      <c r="G1905" s="4"/>
      <c r="H1905" s="4"/>
      <c r="I1905" s="15"/>
      <c r="J1905" s="4"/>
    </row>
    <row r="1906" ht="14.25" customHeight="1">
      <c r="A1906" s="8" t="s">
        <v>16</v>
      </c>
      <c r="B1906" s="8">
        <v>6.1</v>
      </c>
      <c r="F1906" s="4"/>
      <c r="G1906" s="4"/>
      <c r="H1906" s="4"/>
      <c r="I1906" s="15"/>
      <c r="J1906" s="4"/>
    </row>
    <row r="1907" ht="14.25" customHeight="1">
      <c r="A1907" s="8" t="s">
        <v>16</v>
      </c>
      <c r="B1907" s="8">
        <v>5.6</v>
      </c>
      <c r="F1907" s="4"/>
      <c r="G1907" s="4"/>
      <c r="H1907" s="4"/>
      <c r="I1907" s="15"/>
      <c r="J1907" s="4"/>
    </row>
    <row r="1908" ht="14.25" customHeight="1">
      <c r="A1908" s="8" t="s">
        <v>16</v>
      </c>
      <c r="B1908" s="8">
        <v>5.8</v>
      </c>
      <c r="F1908" s="4"/>
      <c r="G1908" s="4"/>
      <c r="H1908" s="4"/>
      <c r="I1908" s="15"/>
      <c r="J1908" s="4"/>
    </row>
    <row r="1909" ht="14.25" customHeight="1">
      <c r="A1909" s="8" t="s">
        <v>16</v>
      </c>
      <c r="B1909" s="8">
        <v>2.8</v>
      </c>
      <c r="F1909" s="4"/>
      <c r="G1909" s="4"/>
      <c r="H1909" s="4"/>
      <c r="I1909" s="15"/>
      <c r="J1909" s="4"/>
    </row>
    <row r="1910" ht="14.25" customHeight="1">
      <c r="A1910" s="8" t="s">
        <v>16</v>
      </c>
      <c r="B1910" s="8">
        <v>6.7</v>
      </c>
      <c r="F1910" s="4"/>
      <c r="G1910" s="4"/>
      <c r="H1910" s="4"/>
      <c r="I1910" s="15"/>
      <c r="J1910" s="4"/>
    </row>
    <row r="1911" ht="14.25" customHeight="1">
      <c r="A1911" s="8" t="s">
        <v>16</v>
      </c>
      <c r="B1911" s="8">
        <v>5.1</v>
      </c>
      <c r="F1911" s="4"/>
      <c r="G1911" s="4"/>
      <c r="H1911" s="4"/>
      <c r="I1911" s="15"/>
      <c r="J1911" s="4"/>
    </row>
    <row r="1912" ht="14.25" customHeight="1">
      <c r="A1912" s="8" t="s">
        <v>16</v>
      </c>
      <c r="B1912" s="8">
        <v>7.2</v>
      </c>
      <c r="F1912" s="4"/>
      <c r="G1912" s="4"/>
      <c r="H1912" s="4"/>
      <c r="I1912" s="15"/>
      <c r="J1912" s="4"/>
    </row>
    <row r="1913" ht="14.25" customHeight="1">
      <c r="A1913" s="8" t="s">
        <v>16</v>
      </c>
      <c r="B1913" s="8">
        <v>6.0</v>
      </c>
      <c r="F1913" s="4"/>
      <c r="G1913" s="4"/>
      <c r="H1913" s="4"/>
      <c r="I1913" s="15"/>
      <c r="J1913" s="4"/>
    </row>
    <row r="1914" ht="14.25" customHeight="1">
      <c r="A1914" s="8" t="s">
        <v>1189</v>
      </c>
      <c r="B1914" s="8">
        <v>6.7</v>
      </c>
      <c r="F1914" s="4"/>
      <c r="G1914" s="4"/>
      <c r="H1914" s="4"/>
      <c r="I1914" s="15"/>
      <c r="J1914" s="4"/>
    </row>
    <row r="1915" ht="14.25" customHeight="1">
      <c r="A1915" s="8" t="s">
        <v>16</v>
      </c>
      <c r="B1915" s="8">
        <v>6.2</v>
      </c>
      <c r="F1915" s="4"/>
      <c r="G1915" s="4"/>
      <c r="H1915" s="4"/>
      <c r="I1915" s="15"/>
      <c r="J1915" s="4"/>
    </row>
    <row r="1916" ht="14.25" customHeight="1">
      <c r="A1916" s="8" t="s">
        <v>16</v>
      </c>
      <c r="B1916" s="8">
        <v>6.2</v>
      </c>
      <c r="F1916" s="4"/>
      <c r="G1916" s="4"/>
      <c r="H1916" s="4"/>
      <c r="I1916" s="15"/>
      <c r="J1916" s="4"/>
    </row>
    <row r="1917" ht="14.25" customHeight="1">
      <c r="A1917" s="8" t="s">
        <v>16</v>
      </c>
      <c r="B1917" s="8">
        <v>6.8</v>
      </c>
      <c r="F1917" s="4"/>
      <c r="G1917" s="4"/>
      <c r="H1917" s="4"/>
      <c r="I1917" s="15"/>
      <c r="J1917" s="4"/>
    </row>
    <row r="1918" ht="14.25" customHeight="1">
      <c r="A1918" s="8" t="s">
        <v>16</v>
      </c>
      <c r="B1918" s="8">
        <v>7.1</v>
      </c>
      <c r="F1918" s="4"/>
      <c r="G1918" s="4"/>
      <c r="H1918" s="4"/>
      <c r="I1918" s="15"/>
      <c r="J1918" s="4"/>
    </row>
    <row r="1919" ht="14.25" customHeight="1">
      <c r="A1919" s="8" t="s">
        <v>16</v>
      </c>
      <c r="B1919" s="8">
        <v>7.1</v>
      </c>
      <c r="F1919" s="4"/>
      <c r="G1919" s="4"/>
      <c r="H1919" s="4"/>
      <c r="I1919" s="15"/>
      <c r="J1919" s="4"/>
    </row>
    <row r="1920" ht="14.25" customHeight="1">
      <c r="A1920" s="8" t="s">
        <v>16</v>
      </c>
      <c r="B1920" s="8">
        <v>7.0</v>
      </c>
      <c r="F1920" s="4"/>
      <c r="G1920" s="4"/>
      <c r="H1920" s="4"/>
      <c r="I1920" s="15"/>
      <c r="J1920" s="4"/>
    </row>
    <row r="1921" ht="14.25" customHeight="1">
      <c r="A1921" s="8" t="s">
        <v>16</v>
      </c>
      <c r="B1921" s="8">
        <v>7.1</v>
      </c>
      <c r="F1921" s="4"/>
      <c r="G1921" s="4"/>
      <c r="H1921" s="4"/>
      <c r="I1921" s="15"/>
      <c r="J1921" s="4"/>
    </row>
    <row r="1922" ht="14.25" customHeight="1">
      <c r="A1922" s="8" t="s">
        <v>16</v>
      </c>
      <c r="B1922" s="8">
        <v>6.4</v>
      </c>
      <c r="F1922" s="4"/>
      <c r="G1922" s="4"/>
      <c r="H1922" s="4"/>
      <c r="I1922" s="15"/>
      <c r="J1922" s="4"/>
    </row>
    <row r="1923" ht="14.25" customHeight="1">
      <c r="A1923" s="8" t="s">
        <v>16</v>
      </c>
      <c r="B1923" s="8">
        <v>7.0</v>
      </c>
      <c r="F1923" s="4"/>
      <c r="G1923" s="4"/>
      <c r="H1923" s="4"/>
      <c r="I1923" s="15"/>
      <c r="J1923" s="4"/>
    </row>
    <row r="1924" ht="14.25" customHeight="1">
      <c r="A1924" s="8" t="s">
        <v>16</v>
      </c>
      <c r="B1924" s="8">
        <v>6.2</v>
      </c>
      <c r="F1924" s="4"/>
      <c r="G1924" s="4"/>
      <c r="H1924" s="4"/>
      <c r="I1924" s="15"/>
      <c r="J1924" s="4"/>
    </row>
    <row r="1925" ht="14.25" customHeight="1">
      <c r="A1925" s="8" t="s">
        <v>16</v>
      </c>
      <c r="B1925" s="8">
        <v>7.5</v>
      </c>
      <c r="F1925" s="4"/>
      <c r="G1925" s="4"/>
      <c r="H1925" s="4"/>
      <c r="I1925" s="15"/>
      <c r="J1925" s="4"/>
    </row>
    <row r="1926" ht="14.25" customHeight="1">
      <c r="A1926" s="8" t="s">
        <v>16</v>
      </c>
      <c r="B1926" s="8">
        <v>4.8</v>
      </c>
      <c r="F1926" s="4"/>
      <c r="G1926" s="4"/>
      <c r="H1926" s="4"/>
      <c r="I1926" s="15"/>
      <c r="J1926" s="4"/>
    </row>
    <row r="1927" ht="14.25" customHeight="1">
      <c r="A1927" s="8" t="s">
        <v>16</v>
      </c>
      <c r="B1927" s="8">
        <v>7.3</v>
      </c>
      <c r="F1927" s="4"/>
      <c r="G1927" s="4"/>
      <c r="H1927" s="4"/>
      <c r="I1927" s="15"/>
      <c r="J1927" s="4"/>
    </row>
    <row r="1928" ht="14.25" customHeight="1">
      <c r="A1928" s="8" t="s">
        <v>16</v>
      </c>
      <c r="B1928" s="8">
        <v>5.8</v>
      </c>
      <c r="F1928" s="4"/>
      <c r="G1928" s="4"/>
      <c r="H1928" s="4"/>
      <c r="I1928" s="15"/>
      <c r="J1928" s="4"/>
    </row>
    <row r="1929" ht="14.25" customHeight="1">
      <c r="A1929" s="8" t="s">
        <v>16</v>
      </c>
      <c r="B1929" s="8">
        <v>7.6</v>
      </c>
      <c r="F1929" s="4"/>
      <c r="G1929" s="4"/>
      <c r="H1929" s="4"/>
      <c r="I1929" s="15"/>
      <c r="J1929" s="4"/>
    </row>
    <row r="1930" ht="14.25" customHeight="1">
      <c r="A1930" s="8" t="s">
        <v>16</v>
      </c>
      <c r="B1930" s="8">
        <v>5.6</v>
      </c>
      <c r="F1930" s="4"/>
      <c r="G1930" s="4"/>
      <c r="H1930" s="4"/>
      <c r="I1930" s="15"/>
      <c r="J1930" s="4"/>
    </row>
    <row r="1931" ht="14.25" customHeight="1">
      <c r="A1931" s="8" t="s">
        <v>16</v>
      </c>
      <c r="B1931" s="8">
        <v>7.0</v>
      </c>
      <c r="F1931" s="4"/>
      <c r="G1931" s="4"/>
      <c r="H1931" s="4"/>
      <c r="I1931" s="15"/>
      <c r="J1931" s="4"/>
    </row>
    <row r="1932" ht="14.25" customHeight="1">
      <c r="A1932" s="8" t="s">
        <v>16</v>
      </c>
      <c r="B1932" s="8">
        <v>6.6</v>
      </c>
      <c r="F1932" s="4"/>
      <c r="G1932" s="4"/>
      <c r="H1932" s="4"/>
      <c r="I1932" s="15"/>
      <c r="J1932" s="4"/>
    </row>
    <row r="1933" ht="14.25" customHeight="1">
      <c r="A1933" s="8" t="s">
        <v>16</v>
      </c>
      <c r="B1933" s="8">
        <v>6.5</v>
      </c>
      <c r="F1933" s="4"/>
      <c r="G1933" s="4"/>
      <c r="H1933" s="4"/>
      <c r="I1933" s="15"/>
      <c r="J1933" s="4"/>
    </row>
    <row r="1934" ht="14.25" customHeight="1">
      <c r="A1934" s="8" t="s">
        <v>16</v>
      </c>
      <c r="B1934" s="8">
        <v>7.4</v>
      </c>
      <c r="F1934" s="4"/>
      <c r="G1934" s="4"/>
      <c r="H1934" s="4"/>
      <c r="I1934" s="15"/>
      <c r="J1934" s="4"/>
    </row>
    <row r="1935" ht="14.25" customHeight="1">
      <c r="A1935" s="8" t="s">
        <v>16</v>
      </c>
      <c r="B1935" s="8">
        <v>4.6</v>
      </c>
      <c r="F1935" s="4"/>
      <c r="G1935" s="4"/>
      <c r="H1935" s="4"/>
      <c r="I1935" s="15"/>
      <c r="J1935" s="4"/>
    </row>
    <row r="1936" ht="14.25" customHeight="1">
      <c r="A1936" s="8" t="s">
        <v>16</v>
      </c>
      <c r="B1936" s="8">
        <v>6.4</v>
      </c>
      <c r="F1936" s="4"/>
      <c r="G1936" s="4"/>
      <c r="H1936" s="4"/>
      <c r="I1936" s="15"/>
      <c r="J1936" s="4"/>
    </row>
    <row r="1937" ht="14.25" customHeight="1">
      <c r="A1937" s="8" t="s">
        <v>16</v>
      </c>
      <c r="B1937" s="8">
        <v>6.0</v>
      </c>
      <c r="F1937" s="4"/>
      <c r="G1937" s="4"/>
      <c r="H1937" s="4"/>
      <c r="I1937" s="15"/>
      <c r="J1937" s="4"/>
    </row>
    <row r="1938" ht="14.25" customHeight="1">
      <c r="A1938" s="8" t="s">
        <v>16</v>
      </c>
      <c r="B1938" s="8">
        <v>5.9</v>
      </c>
      <c r="F1938" s="4"/>
      <c r="G1938" s="4"/>
      <c r="H1938" s="4"/>
      <c r="I1938" s="15"/>
      <c r="J1938" s="4"/>
    </row>
    <row r="1939" ht="14.25" customHeight="1">
      <c r="A1939" s="8" t="s">
        <v>16</v>
      </c>
      <c r="B1939" s="8">
        <v>6.4</v>
      </c>
      <c r="F1939" s="4"/>
      <c r="G1939" s="4"/>
      <c r="H1939" s="4"/>
      <c r="I1939" s="15"/>
      <c r="J1939" s="4"/>
    </row>
    <row r="1940" ht="14.25" customHeight="1">
      <c r="A1940" s="8" t="s">
        <v>16</v>
      </c>
      <c r="B1940" s="8">
        <v>6.6</v>
      </c>
      <c r="F1940" s="4"/>
      <c r="G1940" s="4"/>
      <c r="H1940" s="4"/>
      <c r="I1940" s="15"/>
      <c r="J1940" s="4"/>
    </row>
    <row r="1941" ht="14.25" customHeight="1">
      <c r="A1941" s="8" t="s">
        <v>16</v>
      </c>
      <c r="B1941" s="8">
        <v>6.9</v>
      </c>
      <c r="F1941" s="4"/>
      <c r="G1941" s="4"/>
      <c r="H1941" s="4"/>
      <c r="I1941" s="15"/>
      <c r="J1941" s="4"/>
    </row>
    <row r="1942" ht="14.25" customHeight="1">
      <c r="A1942" s="8" t="s">
        <v>16</v>
      </c>
      <c r="B1942" s="8">
        <v>6.9</v>
      </c>
      <c r="F1942" s="4"/>
      <c r="G1942" s="4"/>
      <c r="H1942" s="4"/>
      <c r="I1942" s="15"/>
      <c r="J1942" s="4"/>
    </row>
    <row r="1943" ht="14.25" customHeight="1">
      <c r="A1943" s="8" t="s">
        <v>16</v>
      </c>
      <c r="B1943" s="8">
        <v>5.8</v>
      </c>
      <c r="F1943" s="4"/>
      <c r="G1943" s="4"/>
      <c r="H1943" s="4"/>
      <c r="I1943" s="15"/>
      <c r="J1943" s="4"/>
    </row>
    <row r="1944" ht="14.25" customHeight="1">
      <c r="A1944" s="8" t="s">
        <v>16</v>
      </c>
      <c r="B1944" s="8">
        <v>6.4</v>
      </c>
      <c r="F1944" s="4"/>
      <c r="G1944" s="4"/>
      <c r="H1944" s="4"/>
      <c r="I1944" s="15"/>
      <c r="J1944" s="4"/>
    </row>
    <row r="1945" ht="14.25" customHeight="1">
      <c r="A1945" s="8" t="s">
        <v>16</v>
      </c>
      <c r="B1945" s="8">
        <v>5.3</v>
      </c>
      <c r="F1945" s="4"/>
      <c r="G1945" s="4"/>
      <c r="H1945" s="4"/>
      <c r="I1945" s="15"/>
      <c r="J1945" s="4"/>
    </row>
    <row r="1946" ht="14.25" customHeight="1">
      <c r="A1946" s="8" t="s">
        <v>16</v>
      </c>
      <c r="B1946" s="8">
        <v>6.5</v>
      </c>
      <c r="F1946" s="4"/>
      <c r="G1946" s="4"/>
      <c r="H1946" s="4"/>
      <c r="I1946" s="15"/>
      <c r="J1946" s="4"/>
    </row>
    <row r="1947" ht="14.25" customHeight="1">
      <c r="A1947" s="8" t="s">
        <v>16</v>
      </c>
      <c r="B1947" s="8">
        <v>5.7</v>
      </c>
      <c r="F1947" s="4"/>
      <c r="G1947" s="4"/>
      <c r="H1947" s="4"/>
      <c r="I1947" s="15"/>
      <c r="J1947" s="4"/>
    </row>
    <row r="1948" ht="14.25" customHeight="1">
      <c r="A1948" s="8" t="s">
        <v>16</v>
      </c>
      <c r="B1948" s="8">
        <v>6.7</v>
      </c>
      <c r="F1948" s="4"/>
      <c r="G1948" s="4"/>
      <c r="H1948" s="4"/>
      <c r="I1948" s="15"/>
      <c r="J1948" s="4"/>
    </row>
    <row r="1949" ht="14.25" customHeight="1">
      <c r="A1949" s="8" t="s">
        <v>16</v>
      </c>
      <c r="B1949" s="8">
        <v>3.9</v>
      </c>
      <c r="F1949" s="4"/>
      <c r="G1949" s="4"/>
      <c r="H1949" s="4"/>
      <c r="I1949" s="15"/>
      <c r="J1949" s="4"/>
    </row>
    <row r="1950" ht="14.25" customHeight="1">
      <c r="A1950" s="8" t="s">
        <v>16</v>
      </c>
      <c r="B1950" s="8">
        <v>4.1</v>
      </c>
      <c r="F1950" s="4"/>
      <c r="G1950" s="4"/>
      <c r="H1950" s="4"/>
      <c r="I1950" s="15"/>
      <c r="J1950" s="4"/>
    </row>
    <row r="1951" ht="14.25" customHeight="1">
      <c r="A1951" s="8" t="s">
        <v>16</v>
      </c>
      <c r="B1951" s="8">
        <v>6.2</v>
      </c>
      <c r="F1951" s="4"/>
      <c r="G1951" s="4"/>
      <c r="H1951" s="4"/>
      <c r="I1951" s="15"/>
      <c r="J1951" s="4"/>
    </row>
    <row r="1952" ht="14.25" customHeight="1">
      <c r="A1952" s="8" t="s">
        <v>16</v>
      </c>
      <c r="B1952" s="8">
        <v>3.8</v>
      </c>
      <c r="F1952" s="4"/>
      <c r="G1952" s="4"/>
      <c r="H1952" s="4"/>
      <c r="I1952" s="15"/>
      <c r="J1952" s="4"/>
    </row>
    <row r="1953" ht="14.25" customHeight="1">
      <c r="A1953" s="8" t="s">
        <v>16</v>
      </c>
      <c r="B1953" s="8">
        <v>5.1</v>
      </c>
      <c r="F1953" s="4"/>
      <c r="G1953" s="4"/>
      <c r="H1953" s="4"/>
      <c r="I1953" s="15"/>
      <c r="J1953" s="4"/>
    </row>
    <row r="1954" ht="14.25" customHeight="1">
      <c r="A1954" s="8" t="s">
        <v>4061</v>
      </c>
      <c r="B1954" s="8">
        <v>7.8</v>
      </c>
      <c r="F1954" s="4"/>
      <c r="G1954" s="4"/>
      <c r="H1954" s="4"/>
      <c r="I1954" s="15"/>
      <c r="J1954" s="4"/>
    </row>
    <row r="1955" ht="14.25" customHeight="1">
      <c r="A1955" s="8" t="s">
        <v>1189</v>
      </c>
      <c r="B1955" s="8">
        <v>7.8</v>
      </c>
      <c r="F1955" s="4"/>
      <c r="G1955" s="4"/>
      <c r="H1955" s="4"/>
      <c r="I1955" s="15"/>
      <c r="J1955" s="4"/>
    </row>
    <row r="1956" ht="14.25" customHeight="1">
      <c r="A1956" s="8" t="s">
        <v>16</v>
      </c>
      <c r="B1956" s="8">
        <v>6.1</v>
      </c>
      <c r="F1956" s="4"/>
      <c r="G1956" s="4"/>
      <c r="H1956" s="4"/>
      <c r="I1956" s="15"/>
      <c r="J1956" s="4"/>
    </row>
    <row r="1957" ht="14.25" customHeight="1">
      <c r="A1957" s="8" t="s">
        <v>16</v>
      </c>
      <c r="B1957" s="8">
        <v>5.8</v>
      </c>
      <c r="F1957" s="4"/>
      <c r="G1957" s="4"/>
      <c r="H1957" s="4"/>
      <c r="I1957" s="15"/>
      <c r="J1957" s="4"/>
    </row>
    <row r="1958" ht="14.25" customHeight="1">
      <c r="A1958" s="8" t="s">
        <v>16</v>
      </c>
      <c r="B1958" s="8">
        <v>6.3</v>
      </c>
      <c r="F1958" s="4"/>
      <c r="G1958" s="4"/>
      <c r="H1958" s="4"/>
      <c r="I1958" s="15"/>
      <c r="J1958" s="4"/>
    </row>
    <row r="1959" ht="14.25" customHeight="1">
      <c r="A1959" s="8" t="s">
        <v>16</v>
      </c>
      <c r="B1959" s="8">
        <v>5.4</v>
      </c>
      <c r="F1959" s="4"/>
      <c r="G1959" s="4"/>
      <c r="H1959" s="4"/>
      <c r="I1959" s="15"/>
      <c r="J1959" s="4"/>
    </row>
    <row r="1960" ht="14.25" customHeight="1">
      <c r="A1960" s="8" t="s">
        <v>1189</v>
      </c>
      <c r="B1960" s="8">
        <v>7.3</v>
      </c>
      <c r="F1960" s="4"/>
      <c r="G1960" s="4"/>
      <c r="H1960" s="4"/>
      <c r="I1960" s="15"/>
      <c r="J1960" s="4"/>
    </row>
    <row r="1961" ht="14.25" customHeight="1">
      <c r="A1961" s="8" t="s">
        <v>16</v>
      </c>
      <c r="B1961" s="8">
        <v>6.8</v>
      </c>
      <c r="F1961" s="4"/>
      <c r="G1961" s="4"/>
      <c r="H1961" s="4"/>
      <c r="I1961" s="15"/>
      <c r="J1961" s="4"/>
    </row>
    <row r="1962" ht="14.25" customHeight="1">
      <c r="A1962" s="8" t="s">
        <v>16</v>
      </c>
      <c r="B1962" s="8">
        <v>7.3</v>
      </c>
      <c r="F1962" s="4"/>
      <c r="G1962" s="4"/>
      <c r="H1962" s="4"/>
      <c r="I1962" s="15"/>
      <c r="J1962" s="4"/>
    </row>
    <row r="1963" ht="14.25" customHeight="1">
      <c r="A1963" s="8" t="s">
        <v>16</v>
      </c>
      <c r="B1963" s="8">
        <v>6.5</v>
      </c>
      <c r="F1963" s="4"/>
      <c r="G1963" s="4"/>
      <c r="H1963" s="4"/>
      <c r="I1963" s="15"/>
      <c r="J1963" s="4"/>
    </row>
    <row r="1964" ht="14.25" customHeight="1">
      <c r="A1964" s="8" t="s">
        <v>16</v>
      </c>
      <c r="B1964" s="8">
        <v>7.2</v>
      </c>
      <c r="F1964" s="4"/>
      <c r="G1964" s="4"/>
      <c r="H1964" s="4"/>
      <c r="I1964" s="15"/>
      <c r="J1964" s="4"/>
    </row>
    <row r="1965" ht="14.25" customHeight="1">
      <c r="A1965" s="8" t="s">
        <v>16</v>
      </c>
      <c r="B1965" s="8">
        <v>6.3</v>
      </c>
      <c r="F1965" s="4"/>
      <c r="G1965" s="4"/>
      <c r="H1965" s="4"/>
      <c r="I1965" s="15"/>
      <c r="J1965" s="4"/>
    </row>
    <row r="1966" ht="14.25" customHeight="1">
      <c r="A1966" s="8" t="s">
        <v>16</v>
      </c>
      <c r="B1966" s="8">
        <v>5.9</v>
      </c>
      <c r="F1966" s="4"/>
      <c r="G1966" s="4"/>
      <c r="H1966" s="4"/>
      <c r="I1966" s="15"/>
      <c r="J1966" s="4"/>
    </row>
    <row r="1967" ht="14.25" customHeight="1">
      <c r="A1967" s="8" t="s">
        <v>16</v>
      </c>
      <c r="B1967" s="8">
        <v>7.8</v>
      </c>
      <c r="F1967" s="4"/>
      <c r="G1967" s="4"/>
      <c r="H1967" s="4"/>
      <c r="I1967" s="15"/>
      <c r="J1967" s="4"/>
    </row>
    <row r="1968" ht="14.25" customHeight="1">
      <c r="A1968" s="8" t="s">
        <v>16</v>
      </c>
      <c r="B1968" s="8">
        <v>7.4</v>
      </c>
      <c r="F1968" s="4"/>
      <c r="G1968" s="4"/>
      <c r="H1968" s="4"/>
      <c r="I1968" s="15"/>
      <c r="J1968" s="4"/>
    </row>
    <row r="1969" ht="14.25" customHeight="1">
      <c r="A1969" s="8" t="s">
        <v>16</v>
      </c>
      <c r="B1969" s="8">
        <v>4.8</v>
      </c>
      <c r="F1969" s="4"/>
      <c r="G1969" s="4"/>
      <c r="H1969" s="4"/>
      <c r="I1969" s="15"/>
      <c r="J1969" s="4"/>
    </row>
    <row r="1970" ht="14.25" customHeight="1">
      <c r="A1970" s="8" t="s">
        <v>16</v>
      </c>
      <c r="B1970" s="8">
        <v>6.3</v>
      </c>
      <c r="F1970" s="4"/>
      <c r="G1970" s="4"/>
      <c r="H1970" s="4"/>
      <c r="I1970" s="15"/>
      <c r="J1970" s="4"/>
    </row>
    <row r="1971" ht="14.25" customHeight="1">
      <c r="A1971" s="8" t="s">
        <v>16</v>
      </c>
      <c r="B1971" s="8">
        <v>7.8</v>
      </c>
      <c r="F1971" s="4"/>
      <c r="G1971" s="4"/>
      <c r="H1971" s="4"/>
      <c r="I1971" s="15"/>
      <c r="J1971" s="4"/>
    </row>
    <row r="1972" ht="14.25" customHeight="1">
      <c r="A1972" s="8" t="s">
        <v>16</v>
      </c>
      <c r="B1972" s="8">
        <v>7.5</v>
      </c>
      <c r="F1972" s="4"/>
      <c r="G1972" s="4"/>
      <c r="H1972" s="4"/>
      <c r="I1972" s="15"/>
      <c r="J1972" s="4"/>
    </row>
    <row r="1973" ht="14.25" customHeight="1">
      <c r="A1973" s="8" t="s">
        <v>16</v>
      </c>
      <c r="B1973" s="8">
        <v>6.8</v>
      </c>
      <c r="F1973" s="4"/>
      <c r="G1973" s="4"/>
      <c r="H1973" s="4"/>
      <c r="I1973" s="15"/>
      <c r="J1973" s="4"/>
    </row>
    <row r="1974" ht="14.25" customHeight="1">
      <c r="A1974" s="8" t="s">
        <v>16</v>
      </c>
      <c r="B1974" s="8">
        <v>6.6</v>
      </c>
      <c r="F1974" s="4"/>
      <c r="G1974" s="4"/>
      <c r="H1974" s="4"/>
      <c r="I1974" s="15"/>
      <c r="J1974" s="4"/>
    </row>
    <row r="1975" ht="14.25" customHeight="1">
      <c r="A1975" s="8" t="s">
        <v>16</v>
      </c>
      <c r="B1975" s="8">
        <v>4.6</v>
      </c>
      <c r="F1975" s="4"/>
      <c r="G1975" s="4"/>
      <c r="H1975" s="4"/>
      <c r="I1975" s="15"/>
      <c r="J1975" s="4"/>
    </row>
    <row r="1976" ht="14.25" customHeight="1">
      <c r="A1976" s="8" t="s">
        <v>16</v>
      </c>
      <c r="B1976" s="8">
        <v>7.1</v>
      </c>
      <c r="F1976" s="4"/>
      <c r="G1976" s="4"/>
      <c r="H1976" s="4"/>
      <c r="I1976" s="15"/>
      <c r="J1976" s="4"/>
    </row>
    <row r="1977" ht="14.25" customHeight="1">
      <c r="A1977" s="8" t="s">
        <v>16</v>
      </c>
      <c r="B1977" s="8">
        <v>6.1</v>
      </c>
      <c r="F1977" s="4"/>
      <c r="G1977" s="4"/>
      <c r="H1977" s="4"/>
      <c r="I1977" s="15"/>
      <c r="J1977" s="4"/>
    </row>
    <row r="1978" ht="14.25" customHeight="1">
      <c r="A1978" s="8" t="s">
        <v>16</v>
      </c>
      <c r="B1978" s="8">
        <v>6.7</v>
      </c>
      <c r="F1978" s="4"/>
      <c r="G1978" s="4"/>
      <c r="H1978" s="4"/>
      <c r="I1978" s="15"/>
      <c r="J1978" s="4"/>
    </row>
    <row r="1979" ht="14.25" customHeight="1">
      <c r="A1979" s="8" t="s">
        <v>16</v>
      </c>
      <c r="B1979" s="8">
        <v>7.1</v>
      </c>
      <c r="F1979" s="4"/>
      <c r="G1979" s="4"/>
      <c r="H1979" s="4"/>
      <c r="I1979" s="15"/>
      <c r="J1979" s="4"/>
    </row>
    <row r="1980" ht="14.25" customHeight="1">
      <c r="A1980" s="8" t="s">
        <v>16</v>
      </c>
      <c r="B1980" s="8">
        <v>5.8</v>
      </c>
      <c r="F1980" s="4"/>
      <c r="G1980" s="4"/>
      <c r="H1980" s="4"/>
      <c r="I1980" s="15"/>
      <c r="J1980" s="4"/>
    </row>
    <row r="1981" ht="14.25" customHeight="1">
      <c r="A1981" s="8" t="s">
        <v>16</v>
      </c>
      <c r="B1981" s="8">
        <v>6.7</v>
      </c>
      <c r="F1981" s="4"/>
      <c r="G1981" s="4"/>
      <c r="H1981" s="4"/>
      <c r="I1981" s="15"/>
      <c r="J1981" s="4"/>
    </row>
    <row r="1982" ht="14.25" customHeight="1">
      <c r="A1982" s="8" t="s">
        <v>16</v>
      </c>
      <c r="B1982" s="8">
        <v>5.8</v>
      </c>
      <c r="F1982" s="4"/>
      <c r="G1982" s="4"/>
      <c r="H1982" s="4"/>
      <c r="I1982" s="15"/>
      <c r="J1982" s="4"/>
    </row>
    <row r="1983" ht="14.25" customHeight="1">
      <c r="A1983" s="8" t="s">
        <v>16</v>
      </c>
      <c r="B1983" s="8">
        <v>6.8</v>
      </c>
      <c r="F1983" s="4"/>
      <c r="G1983" s="4"/>
      <c r="H1983" s="4"/>
      <c r="I1983" s="15"/>
      <c r="J1983" s="4"/>
    </row>
    <row r="1984" ht="14.25" customHeight="1">
      <c r="A1984" s="8" t="s">
        <v>16</v>
      </c>
      <c r="B1984" s="8">
        <v>8.5</v>
      </c>
      <c r="F1984" s="4"/>
      <c r="G1984" s="4"/>
      <c r="H1984" s="4"/>
      <c r="I1984" s="15"/>
      <c r="J1984" s="4"/>
    </row>
    <row r="1985" ht="14.25" customHeight="1">
      <c r="A1985" s="8" t="s">
        <v>16</v>
      </c>
      <c r="B1985" s="8">
        <v>6.6</v>
      </c>
      <c r="F1985" s="4"/>
      <c r="G1985" s="4"/>
      <c r="H1985" s="4"/>
      <c r="I1985" s="15"/>
      <c r="J1985" s="4"/>
    </row>
    <row r="1986" ht="14.25" customHeight="1">
      <c r="A1986" s="8" t="s">
        <v>16</v>
      </c>
      <c r="B1986" s="8">
        <v>7.7</v>
      </c>
      <c r="F1986" s="4"/>
      <c r="G1986" s="4"/>
      <c r="H1986" s="4"/>
      <c r="I1986" s="15"/>
      <c r="J1986" s="4"/>
    </row>
    <row r="1987" ht="14.25" customHeight="1">
      <c r="A1987" s="8" t="s">
        <v>16</v>
      </c>
      <c r="B1987" s="8">
        <v>4.7</v>
      </c>
      <c r="F1987" s="4"/>
      <c r="G1987" s="4"/>
      <c r="H1987" s="4"/>
      <c r="I1987" s="15"/>
      <c r="J1987" s="4"/>
    </row>
    <row r="1988" ht="14.25" customHeight="1">
      <c r="A1988" s="8" t="s">
        <v>16</v>
      </c>
      <c r="B1988" s="8">
        <v>6.4</v>
      </c>
      <c r="F1988" s="4"/>
      <c r="G1988" s="4"/>
      <c r="H1988" s="4"/>
      <c r="I1988" s="15"/>
      <c r="J1988" s="4"/>
    </row>
    <row r="1989" ht="14.25" customHeight="1">
      <c r="A1989" s="8" t="s">
        <v>16</v>
      </c>
      <c r="B1989" s="8">
        <v>5.5</v>
      </c>
      <c r="F1989" s="4"/>
      <c r="G1989" s="4"/>
      <c r="H1989" s="4"/>
      <c r="I1989" s="15"/>
      <c r="J1989" s="4"/>
    </row>
    <row r="1990" ht="14.25" customHeight="1">
      <c r="A1990" s="8" t="s">
        <v>16</v>
      </c>
      <c r="B1990" s="8">
        <v>8.6</v>
      </c>
      <c r="F1990" s="4"/>
      <c r="G1990" s="4"/>
      <c r="H1990" s="4"/>
      <c r="I1990" s="15"/>
      <c r="J1990" s="4"/>
    </row>
    <row r="1991" ht="14.25" customHeight="1">
      <c r="A1991" s="8" t="s">
        <v>16</v>
      </c>
      <c r="B1991" s="8">
        <v>7.0</v>
      </c>
      <c r="F1991" s="4"/>
      <c r="G1991" s="4"/>
      <c r="H1991" s="4"/>
      <c r="I1991" s="15"/>
      <c r="J1991" s="4"/>
    </row>
    <row r="1992" ht="14.25" customHeight="1">
      <c r="A1992" s="8" t="s">
        <v>16</v>
      </c>
      <c r="B1992" s="8">
        <v>7.1</v>
      </c>
      <c r="F1992" s="4"/>
      <c r="G1992" s="4"/>
      <c r="H1992" s="4"/>
      <c r="I1992" s="15"/>
      <c r="J1992" s="4"/>
    </row>
    <row r="1993" ht="14.25" customHeight="1">
      <c r="A1993" s="8" t="s">
        <v>16</v>
      </c>
      <c r="B1993" s="8">
        <v>5.7</v>
      </c>
      <c r="F1993" s="4"/>
      <c r="G1993" s="4"/>
      <c r="H1993" s="4"/>
      <c r="I1993" s="15"/>
      <c r="J1993" s="4"/>
    </row>
    <row r="1994" ht="14.25" customHeight="1">
      <c r="A1994" s="8" t="s">
        <v>16</v>
      </c>
      <c r="B1994" s="8">
        <v>3.7</v>
      </c>
      <c r="F1994" s="4"/>
      <c r="G1994" s="4"/>
      <c r="H1994" s="4"/>
      <c r="I1994" s="15"/>
      <c r="J1994" s="4"/>
    </row>
    <row r="1995" ht="14.25" customHeight="1">
      <c r="A1995" s="8" t="s">
        <v>16</v>
      </c>
      <c r="B1995" s="8">
        <v>7.5</v>
      </c>
      <c r="F1995" s="4"/>
      <c r="G1995" s="4"/>
      <c r="H1995" s="4"/>
      <c r="I1995" s="15"/>
      <c r="J1995" s="4"/>
    </row>
    <row r="1996" ht="14.25" customHeight="1">
      <c r="A1996" s="8" t="s">
        <v>16</v>
      </c>
      <c r="B1996" s="8">
        <v>4.6</v>
      </c>
      <c r="F1996" s="4"/>
      <c r="G1996" s="4"/>
      <c r="H1996" s="4"/>
      <c r="I1996" s="15"/>
      <c r="J1996" s="4"/>
    </row>
    <row r="1997" ht="14.25" customHeight="1">
      <c r="A1997" s="8" t="s">
        <v>16</v>
      </c>
      <c r="B1997" s="8">
        <v>4.9</v>
      </c>
      <c r="F1997" s="4"/>
      <c r="G1997" s="4"/>
      <c r="H1997" s="4"/>
      <c r="I1997" s="15"/>
      <c r="J1997" s="4"/>
    </row>
    <row r="1998" ht="14.25" customHeight="1">
      <c r="A1998" s="8" t="s">
        <v>16</v>
      </c>
      <c r="B1998" s="8">
        <v>6.9</v>
      </c>
      <c r="F1998" s="4"/>
      <c r="G1998" s="4"/>
      <c r="H1998" s="4"/>
      <c r="I1998" s="15"/>
      <c r="J1998" s="4"/>
    </row>
    <row r="1999" ht="14.25" customHeight="1">
      <c r="A1999" s="8" t="s">
        <v>16</v>
      </c>
      <c r="B1999" s="8">
        <v>7.1</v>
      </c>
      <c r="F1999" s="4"/>
      <c r="G1999" s="4"/>
      <c r="H1999" s="4"/>
      <c r="I1999" s="15"/>
      <c r="J1999" s="4"/>
    </row>
    <row r="2000" ht="14.25" customHeight="1">
      <c r="A2000" s="8" t="s">
        <v>16</v>
      </c>
      <c r="B2000" s="8">
        <v>5.8</v>
      </c>
      <c r="F2000" s="4"/>
      <c r="G2000" s="4"/>
      <c r="H2000" s="4"/>
      <c r="I2000" s="15"/>
      <c r="J2000" s="4"/>
    </row>
    <row r="2001" ht="14.25" customHeight="1">
      <c r="A2001" s="8" t="s">
        <v>16</v>
      </c>
      <c r="B2001" s="8">
        <v>5.4</v>
      </c>
      <c r="F2001" s="4"/>
      <c r="G2001" s="4"/>
      <c r="H2001" s="4"/>
      <c r="I2001" s="15"/>
      <c r="J2001" s="4"/>
    </row>
    <row r="2002" ht="14.25" customHeight="1">
      <c r="A2002" s="8" t="s">
        <v>16</v>
      </c>
      <c r="B2002" s="8">
        <v>7.3</v>
      </c>
      <c r="F2002" s="4"/>
      <c r="G2002" s="4"/>
      <c r="H2002" s="4"/>
      <c r="I2002" s="15"/>
      <c r="J2002" s="4"/>
    </row>
    <row r="2003" ht="14.25" customHeight="1">
      <c r="A2003" s="8" t="s">
        <v>16</v>
      </c>
      <c r="B2003" s="8">
        <v>7.1</v>
      </c>
      <c r="F2003" s="4"/>
      <c r="G2003" s="4"/>
      <c r="H2003" s="4"/>
      <c r="I2003" s="15"/>
      <c r="J2003" s="4"/>
    </row>
    <row r="2004" ht="14.25" customHeight="1">
      <c r="A2004" s="8" t="s">
        <v>16</v>
      </c>
      <c r="B2004" s="8">
        <v>5.8</v>
      </c>
      <c r="F2004" s="4"/>
      <c r="G2004" s="4"/>
      <c r="H2004" s="4"/>
      <c r="I2004" s="15"/>
      <c r="J2004" s="4"/>
    </row>
    <row r="2005" ht="14.25" customHeight="1">
      <c r="A2005" s="8" t="s">
        <v>16</v>
      </c>
      <c r="B2005" s="8">
        <v>8.1</v>
      </c>
      <c r="F2005" s="4"/>
      <c r="G2005" s="4"/>
      <c r="H2005" s="4"/>
      <c r="I2005" s="15"/>
      <c r="J2005" s="4"/>
    </row>
    <row r="2006" ht="14.25" customHeight="1">
      <c r="A2006" s="8" t="s">
        <v>16</v>
      </c>
      <c r="B2006" s="8">
        <v>5.7</v>
      </c>
      <c r="F2006" s="4"/>
      <c r="G2006" s="4"/>
      <c r="H2006" s="4"/>
      <c r="I2006" s="15"/>
      <c r="J2006" s="4"/>
    </row>
    <row r="2007" ht="14.25" customHeight="1">
      <c r="A2007" s="8" t="s">
        <v>16</v>
      </c>
      <c r="B2007" s="8">
        <v>4.4</v>
      </c>
      <c r="F2007" s="4"/>
      <c r="G2007" s="4"/>
      <c r="H2007" s="4"/>
      <c r="I2007" s="15"/>
      <c r="J2007" s="4"/>
    </row>
    <row r="2008" ht="14.25" customHeight="1">
      <c r="A2008" s="8" t="s">
        <v>16</v>
      </c>
      <c r="B2008" s="8">
        <v>7.9</v>
      </c>
      <c r="F2008" s="4"/>
      <c r="G2008" s="4"/>
      <c r="H2008" s="4"/>
      <c r="I2008" s="15"/>
      <c r="J2008" s="4"/>
    </row>
    <row r="2009" ht="14.25" customHeight="1">
      <c r="A2009" s="8" t="s">
        <v>16</v>
      </c>
      <c r="B2009" s="8">
        <v>7.6</v>
      </c>
      <c r="F2009" s="4"/>
      <c r="G2009" s="4"/>
      <c r="H2009" s="4"/>
      <c r="I2009" s="15"/>
      <c r="J2009" s="4"/>
    </row>
    <row r="2010" ht="14.25" customHeight="1">
      <c r="A2010" s="8" t="s">
        <v>16</v>
      </c>
      <c r="B2010" s="8">
        <v>4.8</v>
      </c>
      <c r="F2010" s="4"/>
      <c r="G2010" s="4"/>
      <c r="H2010" s="4"/>
      <c r="I2010" s="15"/>
      <c r="J2010" s="4"/>
    </row>
    <row r="2011" ht="14.25" customHeight="1">
      <c r="A2011" s="8" t="s">
        <v>16</v>
      </c>
      <c r="B2011" s="8">
        <v>6.7</v>
      </c>
      <c r="F2011" s="4"/>
      <c r="G2011" s="4"/>
      <c r="H2011" s="4"/>
      <c r="I2011" s="15"/>
      <c r="J2011" s="4"/>
    </row>
    <row r="2012" ht="14.25" customHeight="1">
      <c r="A2012" s="8" t="s">
        <v>16</v>
      </c>
      <c r="B2012" s="8">
        <v>2.7</v>
      </c>
      <c r="F2012" s="4"/>
      <c r="G2012" s="4"/>
      <c r="H2012" s="4"/>
      <c r="I2012" s="15"/>
      <c r="J2012" s="4"/>
    </row>
    <row r="2013" ht="14.25" customHeight="1">
      <c r="A2013" s="8" t="s">
        <v>16</v>
      </c>
      <c r="B2013" s="8">
        <v>5.8</v>
      </c>
      <c r="F2013" s="4"/>
      <c r="G2013" s="4"/>
      <c r="H2013" s="4"/>
      <c r="I2013" s="15"/>
      <c r="J2013" s="4"/>
    </row>
    <row r="2014" ht="14.25" customHeight="1">
      <c r="A2014" s="8" t="s">
        <v>16</v>
      </c>
      <c r="B2014" s="8">
        <v>7.5</v>
      </c>
      <c r="F2014" s="4"/>
      <c r="G2014" s="4"/>
      <c r="H2014" s="4"/>
      <c r="I2014" s="15"/>
      <c r="J2014" s="4"/>
    </row>
    <row r="2015" ht="14.25" customHeight="1">
      <c r="A2015" s="8" t="s">
        <v>16</v>
      </c>
      <c r="B2015" s="8">
        <v>5.4</v>
      </c>
      <c r="F2015" s="4"/>
      <c r="G2015" s="4"/>
      <c r="H2015" s="4"/>
      <c r="I2015" s="15"/>
      <c r="J2015" s="4"/>
    </row>
    <row r="2016" ht="14.25" customHeight="1">
      <c r="A2016" s="8" t="s">
        <v>16</v>
      </c>
      <c r="B2016" s="8">
        <v>4.1</v>
      </c>
      <c r="F2016" s="4"/>
      <c r="G2016" s="4"/>
      <c r="H2016" s="4"/>
      <c r="I2016" s="15"/>
      <c r="J2016" s="4"/>
    </row>
    <row r="2017" ht="14.25" customHeight="1">
      <c r="A2017" s="8" t="s">
        <v>16</v>
      </c>
      <c r="B2017" s="8">
        <v>5.9</v>
      </c>
      <c r="F2017" s="4"/>
      <c r="G2017" s="4"/>
      <c r="H2017" s="4"/>
      <c r="I2017" s="15"/>
      <c r="J2017" s="4"/>
    </row>
    <row r="2018" ht="14.25" customHeight="1">
      <c r="A2018" s="8" t="s">
        <v>16</v>
      </c>
      <c r="B2018" s="8">
        <v>6.3</v>
      </c>
      <c r="F2018" s="4"/>
      <c r="G2018" s="4"/>
      <c r="H2018" s="4"/>
      <c r="I2018" s="15"/>
      <c r="J2018" s="4"/>
    </row>
    <row r="2019" ht="14.25" customHeight="1">
      <c r="A2019" s="8" t="s">
        <v>16</v>
      </c>
      <c r="B2019" s="8">
        <v>6.8</v>
      </c>
      <c r="F2019" s="4"/>
      <c r="G2019" s="4"/>
      <c r="H2019" s="4"/>
      <c r="I2019" s="15"/>
      <c r="J2019" s="4"/>
    </row>
    <row r="2020" ht="14.25" customHeight="1">
      <c r="A2020" s="8" t="s">
        <v>16</v>
      </c>
      <c r="B2020" s="8">
        <v>2.3</v>
      </c>
      <c r="F2020" s="4"/>
      <c r="G2020" s="4"/>
      <c r="H2020" s="4"/>
      <c r="I2020" s="15"/>
      <c r="J2020" s="4"/>
    </row>
    <row r="2021" ht="14.25" customHeight="1">
      <c r="A2021" s="8" t="s">
        <v>16</v>
      </c>
      <c r="B2021" s="8">
        <v>6.9</v>
      </c>
      <c r="F2021" s="4"/>
      <c r="G2021" s="4"/>
      <c r="H2021" s="4"/>
      <c r="I2021" s="15"/>
      <c r="J2021" s="4"/>
    </row>
    <row r="2022" ht="14.25" customHeight="1">
      <c r="A2022" s="8" t="s">
        <v>16</v>
      </c>
      <c r="B2022" s="8">
        <v>8.1</v>
      </c>
      <c r="F2022" s="4"/>
      <c r="G2022" s="4"/>
      <c r="H2022" s="4"/>
      <c r="I2022" s="15"/>
      <c r="J2022" s="4"/>
    </row>
    <row r="2023" ht="14.25" customHeight="1">
      <c r="A2023" s="8" t="s">
        <v>16</v>
      </c>
      <c r="B2023" s="8">
        <v>6.1</v>
      </c>
      <c r="F2023" s="4"/>
      <c r="G2023" s="4"/>
      <c r="H2023" s="4"/>
      <c r="I2023" s="15"/>
      <c r="J2023" s="4"/>
    </row>
    <row r="2024" ht="14.25" customHeight="1">
      <c r="A2024" s="8" t="s">
        <v>16</v>
      </c>
      <c r="B2024" s="8">
        <v>5.0</v>
      </c>
      <c r="F2024" s="4"/>
      <c r="G2024" s="4"/>
      <c r="H2024" s="4"/>
      <c r="I2024" s="15"/>
      <c r="J2024" s="4"/>
    </row>
    <row r="2025" ht="14.25" customHeight="1">
      <c r="A2025" s="8" t="s">
        <v>16</v>
      </c>
      <c r="B2025" s="8">
        <v>5.5</v>
      </c>
      <c r="F2025" s="4"/>
      <c r="G2025" s="4"/>
      <c r="H2025" s="4"/>
      <c r="I2025" s="15"/>
      <c r="J2025" s="4"/>
    </row>
    <row r="2026" ht="14.25" customHeight="1">
      <c r="A2026" s="8" t="s">
        <v>16</v>
      </c>
      <c r="B2026" s="8">
        <v>6.2</v>
      </c>
      <c r="F2026" s="4"/>
      <c r="G2026" s="4"/>
      <c r="H2026" s="4"/>
      <c r="I2026" s="15"/>
      <c r="J2026" s="4"/>
    </row>
    <row r="2027" ht="14.25" customHeight="1">
      <c r="A2027" s="8" t="s">
        <v>16</v>
      </c>
      <c r="B2027" s="8">
        <v>6.2</v>
      </c>
      <c r="F2027" s="4"/>
      <c r="G2027" s="4"/>
      <c r="H2027" s="4"/>
      <c r="I2027" s="15"/>
      <c r="J2027" s="4"/>
    </row>
    <row r="2028" ht="14.25" customHeight="1">
      <c r="A2028" s="8" t="s">
        <v>16</v>
      </c>
      <c r="B2028" s="8">
        <v>6.3</v>
      </c>
      <c r="F2028" s="4"/>
      <c r="G2028" s="4"/>
      <c r="H2028" s="4"/>
      <c r="I2028" s="15"/>
      <c r="J2028" s="4"/>
    </row>
    <row r="2029" ht="14.25" customHeight="1">
      <c r="A2029" s="8" t="s">
        <v>16</v>
      </c>
      <c r="B2029" s="8">
        <v>6.7</v>
      </c>
      <c r="F2029" s="4"/>
      <c r="G2029" s="4"/>
      <c r="H2029" s="4"/>
      <c r="I2029" s="15"/>
      <c r="J2029" s="4"/>
    </row>
    <row r="2030" ht="14.25" customHeight="1">
      <c r="A2030" s="8" t="s">
        <v>16</v>
      </c>
      <c r="B2030" s="8">
        <v>3.5</v>
      </c>
      <c r="F2030" s="4"/>
      <c r="G2030" s="4"/>
      <c r="H2030" s="4"/>
      <c r="I2030" s="15"/>
      <c r="J2030" s="4"/>
    </row>
    <row r="2031" ht="14.25" customHeight="1">
      <c r="A2031" s="8" t="s">
        <v>16</v>
      </c>
      <c r="B2031" s="8">
        <v>7.5</v>
      </c>
      <c r="F2031" s="4"/>
      <c r="G2031" s="4"/>
      <c r="H2031" s="4"/>
      <c r="I2031" s="15"/>
      <c r="J2031" s="4"/>
    </row>
    <row r="2032" ht="14.25" customHeight="1">
      <c r="A2032" s="8" t="s">
        <v>16</v>
      </c>
      <c r="B2032" s="8">
        <v>6.6</v>
      </c>
      <c r="F2032" s="4"/>
      <c r="G2032" s="4"/>
      <c r="H2032" s="4"/>
      <c r="I2032" s="15"/>
      <c r="J2032" s="4"/>
    </row>
    <row r="2033" ht="14.25" customHeight="1">
      <c r="A2033" s="8" t="s">
        <v>16</v>
      </c>
      <c r="B2033" s="8">
        <v>7.5</v>
      </c>
      <c r="F2033" s="4"/>
      <c r="G2033" s="4"/>
      <c r="H2033" s="4"/>
      <c r="I2033" s="15"/>
      <c r="J2033" s="4"/>
    </row>
    <row r="2034" ht="14.25" customHeight="1">
      <c r="A2034" s="8" t="s">
        <v>16</v>
      </c>
      <c r="B2034" s="8">
        <v>7.2</v>
      </c>
      <c r="F2034" s="4"/>
      <c r="G2034" s="4"/>
      <c r="H2034" s="4"/>
      <c r="I2034" s="15"/>
      <c r="J2034" s="4"/>
    </row>
    <row r="2035" ht="14.25" customHeight="1">
      <c r="A2035" s="8" t="s">
        <v>16</v>
      </c>
      <c r="B2035" s="8">
        <v>4.8</v>
      </c>
      <c r="F2035" s="4"/>
      <c r="G2035" s="4"/>
      <c r="H2035" s="4"/>
      <c r="I2035" s="15"/>
      <c r="J2035" s="4"/>
    </row>
    <row r="2036" ht="14.25" customHeight="1">
      <c r="A2036" s="8" t="s">
        <v>16</v>
      </c>
      <c r="B2036" s="8">
        <v>6.6</v>
      </c>
      <c r="F2036" s="4"/>
      <c r="G2036" s="4"/>
      <c r="H2036" s="4"/>
      <c r="I2036" s="15"/>
      <c r="J2036" s="4"/>
    </row>
    <row r="2037" ht="14.25" customHeight="1">
      <c r="A2037" s="8" t="s">
        <v>16</v>
      </c>
      <c r="B2037" s="8">
        <v>3.5</v>
      </c>
      <c r="F2037" s="4"/>
      <c r="G2037" s="4"/>
      <c r="H2037" s="4"/>
      <c r="I2037" s="15"/>
      <c r="J2037" s="4"/>
    </row>
    <row r="2038" ht="14.25" customHeight="1">
      <c r="A2038" s="8" t="s">
        <v>16</v>
      </c>
      <c r="B2038" s="8">
        <v>7.6</v>
      </c>
      <c r="F2038" s="4"/>
      <c r="G2038" s="4"/>
      <c r="H2038" s="4"/>
      <c r="I2038" s="15"/>
      <c r="J2038" s="4"/>
    </row>
    <row r="2039" ht="14.25" customHeight="1">
      <c r="A2039" s="8" t="s">
        <v>16</v>
      </c>
      <c r="B2039" s="8">
        <v>6.3</v>
      </c>
      <c r="F2039" s="4"/>
      <c r="G2039" s="4"/>
      <c r="H2039" s="4"/>
      <c r="I2039" s="15"/>
      <c r="J2039" s="4"/>
    </row>
    <row r="2040" ht="14.25" customHeight="1">
      <c r="A2040" s="8" t="s">
        <v>16</v>
      </c>
      <c r="B2040" s="8">
        <v>5.5</v>
      </c>
      <c r="F2040" s="4"/>
      <c r="G2040" s="4"/>
      <c r="H2040" s="4"/>
      <c r="I2040" s="15"/>
      <c r="J2040" s="4"/>
    </row>
    <row r="2041" ht="14.25" customHeight="1">
      <c r="A2041" s="8" t="s">
        <v>16</v>
      </c>
      <c r="B2041" s="8">
        <v>6.3</v>
      </c>
      <c r="F2041" s="4"/>
      <c r="G2041" s="4"/>
      <c r="H2041" s="4"/>
      <c r="I2041" s="15"/>
      <c r="J2041" s="4"/>
    </row>
    <row r="2042" ht="14.25" customHeight="1">
      <c r="A2042" s="8" t="s">
        <v>16</v>
      </c>
      <c r="B2042" s="8">
        <v>6.5</v>
      </c>
      <c r="F2042" s="4"/>
      <c r="G2042" s="4"/>
      <c r="H2042" s="4"/>
      <c r="I2042" s="15"/>
      <c r="J2042" s="4"/>
    </row>
    <row r="2043" ht="14.25" customHeight="1">
      <c r="A2043" s="8" t="s">
        <v>16</v>
      </c>
      <c r="B2043" s="8">
        <v>6.9</v>
      </c>
      <c r="F2043" s="4"/>
      <c r="G2043" s="4"/>
      <c r="H2043" s="4"/>
      <c r="I2043" s="15"/>
      <c r="J2043" s="4"/>
    </row>
    <row r="2044" ht="14.25" customHeight="1">
      <c r="A2044" s="8" t="s">
        <v>16</v>
      </c>
      <c r="B2044" s="8">
        <v>7.6</v>
      </c>
      <c r="F2044" s="4"/>
      <c r="G2044" s="4"/>
      <c r="H2044" s="4"/>
      <c r="I2044" s="15"/>
      <c r="J2044" s="4"/>
    </row>
    <row r="2045" ht="14.25" customHeight="1">
      <c r="A2045" s="8" t="s">
        <v>16</v>
      </c>
      <c r="B2045" s="8">
        <v>3.9</v>
      </c>
      <c r="F2045" s="4"/>
      <c r="G2045" s="4"/>
      <c r="H2045" s="4"/>
      <c r="I2045" s="15"/>
      <c r="J2045" s="4"/>
    </row>
    <row r="2046" ht="14.25" customHeight="1">
      <c r="A2046" s="8" t="s">
        <v>16</v>
      </c>
      <c r="B2046" s="8">
        <v>6.1</v>
      </c>
      <c r="F2046" s="4"/>
      <c r="G2046" s="4"/>
      <c r="H2046" s="4"/>
      <c r="I2046" s="15"/>
      <c r="J2046" s="4"/>
    </row>
    <row r="2047" ht="14.25" customHeight="1">
      <c r="A2047" s="8" t="s">
        <v>16</v>
      </c>
      <c r="B2047" s="8">
        <v>7.3</v>
      </c>
      <c r="F2047" s="4"/>
      <c r="G2047" s="4"/>
      <c r="H2047" s="4"/>
      <c r="I2047" s="15"/>
      <c r="J2047" s="4"/>
    </row>
    <row r="2048" ht="14.25" customHeight="1">
      <c r="A2048" s="8" t="s">
        <v>16</v>
      </c>
      <c r="B2048" s="8">
        <v>8.3</v>
      </c>
      <c r="F2048" s="4"/>
      <c r="G2048" s="4"/>
      <c r="H2048" s="4"/>
      <c r="I2048" s="15"/>
      <c r="J2048" s="4"/>
    </row>
    <row r="2049" ht="14.25" customHeight="1">
      <c r="A2049" s="8" t="s">
        <v>16</v>
      </c>
      <c r="B2049" s="8">
        <v>5.8</v>
      </c>
      <c r="F2049" s="4"/>
      <c r="G2049" s="4"/>
      <c r="H2049" s="4"/>
      <c r="I2049" s="15"/>
      <c r="J2049" s="4"/>
    </row>
    <row r="2050" ht="14.25" customHeight="1">
      <c r="A2050" s="8" t="s">
        <v>16</v>
      </c>
      <c r="B2050" s="8">
        <v>6.8</v>
      </c>
      <c r="F2050" s="4"/>
      <c r="G2050" s="4"/>
      <c r="H2050" s="4"/>
      <c r="I2050" s="15"/>
      <c r="J2050" s="4"/>
    </row>
    <row r="2051" ht="14.25" customHeight="1">
      <c r="A2051" s="8" t="s">
        <v>16</v>
      </c>
      <c r="B2051" s="8">
        <v>7.0</v>
      </c>
      <c r="F2051" s="4"/>
      <c r="G2051" s="4"/>
      <c r="H2051" s="4"/>
      <c r="I2051" s="15"/>
      <c r="J2051" s="4"/>
    </row>
    <row r="2052" ht="14.25" customHeight="1">
      <c r="A2052" s="8" t="s">
        <v>16</v>
      </c>
      <c r="B2052" s="8">
        <v>5.9</v>
      </c>
      <c r="F2052" s="4"/>
      <c r="G2052" s="4"/>
      <c r="H2052" s="4"/>
      <c r="I2052" s="15"/>
      <c r="J2052" s="4"/>
    </row>
    <row r="2053" ht="14.25" customHeight="1">
      <c r="A2053" s="8" t="s">
        <v>16</v>
      </c>
      <c r="B2053" s="8">
        <v>6.5</v>
      </c>
      <c r="F2053" s="4"/>
      <c r="G2053" s="4"/>
      <c r="H2053" s="4"/>
      <c r="I2053" s="15"/>
      <c r="J2053" s="4"/>
    </row>
    <row r="2054" ht="14.25" customHeight="1">
      <c r="A2054" s="8" t="s">
        <v>16</v>
      </c>
      <c r="B2054" s="8">
        <v>6.4</v>
      </c>
      <c r="F2054" s="4"/>
      <c r="G2054" s="4"/>
      <c r="H2054" s="4"/>
      <c r="I2054" s="15"/>
      <c r="J2054" s="4"/>
    </row>
    <row r="2055" ht="14.25" customHeight="1">
      <c r="A2055" s="8" t="s">
        <v>16</v>
      </c>
      <c r="B2055" s="8">
        <v>5.8</v>
      </c>
      <c r="F2055" s="4"/>
      <c r="G2055" s="4"/>
      <c r="H2055" s="4"/>
      <c r="I2055" s="15"/>
      <c r="J2055" s="4"/>
    </row>
    <row r="2056" ht="14.25" customHeight="1">
      <c r="A2056" s="8" t="s">
        <v>16</v>
      </c>
      <c r="B2056" s="8">
        <v>5.1</v>
      </c>
      <c r="F2056" s="4"/>
      <c r="G2056" s="4"/>
      <c r="H2056" s="4"/>
      <c r="I2056" s="15"/>
      <c r="J2056" s="4"/>
    </row>
    <row r="2057" ht="14.25" customHeight="1">
      <c r="A2057" s="8" t="s">
        <v>16</v>
      </c>
      <c r="B2057" s="8">
        <v>6.8</v>
      </c>
      <c r="F2057" s="4"/>
      <c r="G2057" s="4"/>
      <c r="H2057" s="4"/>
      <c r="I2057" s="15"/>
      <c r="J2057" s="4"/>
    </row>
    <row r="2058" ht="14.25" customHeight="1">
      <c r="A2058" s="8" t="s">
        <v>16</v>
      </c>
      <c r="B2058" s="8">
        <v>5.3</v>
      </c>
      <c r="F2058" s="4"/>
      <c r="G2058" s="4"/>
      <c r="H2058" s="4"/>
      <c r="I2058" s="15"/>
      <c r="J2058" s="4"/>
    </row>
    <row r="2059" ht="14.25" customHeight="1">
      <c r="A2059" s="8" t="s">
        <v>16</v>
      </c>
      <c r="B2059" s="8">
        <v>5.3</v>
      </c>
      <c r="F2059" s="4"/>
      <c r="G2059" s="4"/>
      <c r="H2059" s="4"/>
      <c r="I2059" s="15"/>
      <c r="J2059" s="4"/>
    </row>
    <row r="2060" ht="14.25" customHeight="1">
      <c r="A2060" s="8" t="s">
        <v>16</v>
      </c>
      <c r="B2060" s="8">
        <v>4.9</v>
      </c>
      <c r="F2060" s="4"/>
      <c r="G2060" s="4"/>
      <c r="H2060" s="4"/>
      <c r="I2060" s="15"/>
      <c r="J2060" s="4"/>
    </row>
    <row r="2061" ht="14.25" customHeight="1">
      <c r="A2061" s="8" t="s">
        <v>16</v>
      </c>
      <c r="B2061" s="8">
        <v>6.8</v>
      </c>
      <c r="F2061" s="4"/>
      <c r="G2061" s="4"/>
      <c r="H2061" s="4"/>
      <c r="I2061" s="15"/>
      <c r="J2061" s="4"/>
    </row>
    <row r="2062" ht="14.25" customHeight="1">
      <c r="A2062" s="8" t="s">
        <v>16</v>
      </c>
      <c r="B2062" s="8">
        <v>7.1</v>
      </c>
      <c r="F2062" s="4"/>
      <c r="G2062" s="4"/>
      <c r="H2062" s="4"/>
      <c r="I2062" s="15"/>
      <c r="J2062" s="4"/>
    </row>
    <row r="2063" ht="14.25" customHeight="1">
      <c r="A2063" s="8" t="s">
        <v>16</v>
      </c>
      <c r="B2063" s="8">
        <v>6.1</v>
      </c>
      <c r="F2063" s="4"/>
      <c r="G2063" s="4"/>
      <c r="H2063" s="4"/>
      <c r="I2063" s="15"/>
      <c r="J2063" s="4"/>
    </row>
    <row r="2064" ht="14.25" customHeight="1">
      <c r="A2064" s="8" t="s">
        <v>16</v>
      </c>
      <c r="B2064" s="8">
        <v>8.5</v>
      </c>
      <c r="F2064" s="4"/>
      <c r="G2064" s="4"/>
      <c r="H2064" s="4"/>
      <c r="I2064" s="15"/>
      <c r="J2064" s="4"/>
    </row>
    <row r="2065" ht="14.25" customHeight="1">
      <c r="A2065" s="8" t="s">
        <v>16</v>
      </c>
      <c r="B2065" s="8">
        <v>5.9</v>
      </c>
      <c r="F2065" s="4"/>
      <c r="G2065" s="4"/>
      <c r="H2065" s="4"/>
      <c r="I2065" s="15"/>
      <c r="J2065" s="4"/>
    </row>
    <row r="2066" ht="14.25" customHeight="1">
      <c r="A2066" s="8" t="s">
        <v>16</v>
      </c>
      <c r="B2066" s="8">
        <v>6.3</v>
      </c>
      <c r="F2066" s="4"/>
      <c r="G2066" s="4"/>
      <c r="H2066" s="4"/>
      <c r="I2066" s="15"/>
      <c r="J2066" s="4"/>
    </row>
    <row r="2067" ht="14.25" customHeight="1">
      <c r="A2067" s="8" t="s">
        <v>16</v>
      </c>
      <c r="B2067" s="8">
        <v>5.9</v>
      </c>
      <c r="F2067" s="4"/>
      <c r="G2067" s="4"/>
      <c r="H2067" s="4"/>
      <c r="I2067" s="15"/>
      <c r="J2067" s="4"/>
    </row>
    <row r="2068" ht="14.25" customHeight="1">
      <c r="A2068" s="8" t="s">
        <v>16</v>
      </c>
      <c r="B2068" s="8">
        <v>5.4</v>
      </c>
      <c r="F2068" s="4"/>
      <c r="G2068" s="4"/>
      <c r="H2068" s="4"/>
      <c r="I2068" s="15"/>
      <c r="J2068" s="4"/>
    </row>
    <row r="2069" ht="14.25" customHeight="1">
      <c r="A2069" s="8" t="s">
        <v>16</v>
      </c>
      <c r="B2069" s="8">
        <v>6.9</v>
      </c>
      <c r="F2069" s="4"/>
      <c r="G2069" s="4"/>
      <c r="H2069" s="4"/>
      <c r="I2069" s="15"/>
      <c r="J2069" s="4"/>
    </row>
    <row r="2070" ht="14.25" customHeight="1">
      <c r="A2070" s="8" t="s">
        <v>16</v>
      </c>
      <c r="B2070" s="8">
        <v>7.5</v>
      </c>
      <c r="F2070" s="4"/>
      <c r="G2070" s="4"/>
      <c r="H2070" s="4"/>
      <c r="I2070" s="15"/>
      <c r="J2070" s="4"/>
    </row>
    <row r="2071" ht="14.25" customHeight="1">
      <c r="A2071" s="8" t="s">
        <v>16</v>
      </c>
      <c r="B2071" s="8">
        <v>8.2</v>
      </c>
      <c r="F2071" s="4"/>
      <c r="G2071" s="4"/>
      <c r="H2071" s="4"/>
      <c r="I2071" s="15"/>
      <c r="J2071" s="4"/>
    </row>
    <row r="2072" ht="14.25" customHeight="1">
      <c r="A2072" s="8" t="s">
        <v>16</v>
      </c>
      <c r="B2072" s="8">
        <v>5.9</v>
      </c>
      <c r="F2072" s="4"/>
      <c r="G2072" s="4"/>
      <c r="H2072" s="4"/>
      <c r="I2072" s="15"/>
      <c r="J2072" s="4"/>
    </row>
    <row r="2073" ht="14.25" customHeight="1">
      <c r="A2073" s="8" t="s">
        <v>16</v>
      </c>
      <c r="B2073" s="8">
        <v>5.0</v>
      </c>
      <c r="F2073" s="4"/>
      <c r="G2073" s="4"/>
      <c r="H2073" s="4"/>
      <c r="I2073" s="15"/>
      <c r="J2073" s="4"/>
    </row>
    <row r="2074" ht="14.25" customHeight="1">
      <c r="A2074" s="8" t="s">
        <v>16</v>
      </c>
      <c r="B2074" s="8">
        <v>7.3</v>
      </c>
      <c r="F2074" s="4"/>
      <c r="G2074" s="4"/>
      <c r="H2074" s="4"/>
      <c r="I2074" s="15"/>
      <c r="J2074" s="4"/>
    </row>
    <row r="2075" ht="14.25" customHeight="1">
      <c r="A2075" s="8" t="s">
        <v>16</v>
      </c>
      <c r="B2075" s="8">
        <v>6.4</v>
      </c>
      <c r="F2075" s="4"/>
      <c r="G2075" s="4"/>
      <c r="H2075" s="4"/>
      <c r="I2075" s="15"/>
      <c r="J2075" s="4"/>
    </row>
    <row r="2076" ht="14.25" customHeight="1">
      <c r="A2076" s="8" t="s">
        <v>16</v>
      </c>
      <c r="B2076" s="8">
        <v>6.6</v>
      </c>
      <c r="F2076" s="4"/>
      <c r="G2076" s="4"/>
      <c r="H2076" s="4"/>
      <c r="I2076" s="15"/>
      <c r="J2076" s="4"/>
    </row>
    <row r="2077" ht="14.25" customHeight="1">
      <c r="A2077" s="8" t="s">
        <v>2884</v>
      </c>
      <c r="B2077" s="8">
        <v>7.8</v>
      </c>
      <c r="F2077" s="4"/>
      <c r="G2077" s="4"/>
      <c r="H2077" s="4"/>
      <c r="I2077" s="15"/>
      <c r="J2077" s="4"/>
    </row>
    <row r="2078" ht="14.25" customHeight="1">
      <c r="A2078" s="8" t="s">
        <v>16</v>
      </c>
      <c r="B2078" s="8">
        <v>4.0</v>
      </c>
      <c r="F2078" s="4"/>
      <c r="G2078" s="4"/>
      <c r="H2078" s="4"/>
      <c r="I2078" s="15"/>
      <c r="J2078" s="4"/>
    </row>
    <row r="2079" ht="14.25" customHeight="1">
      <c r="A2079" s="8" t="s">
        <v>4300</v>
      </c>
      <c r="B2079" s="8">
        <v>7.6</v>
      </c>
      <c r="F2079" s="4"/>
      <c r="G2079" s="4"/>
      <c r="H2079" s="4"/>
      <c r="I2079" s="15"/>
      <c r="J2079" s="4"/>
    </row>
    <row r="2080" ht="14.25" customHeight="1">
      <c r="A2080" s="8" t="s">
        <v>16</v>
      </c>
      <c r="B2080" s="8">
        <v>7.7</v>
      </c>
      <c r="F2080" s="4"/>
      <c r="G2080" s="4"/>
      <c r="H2080" s="4"/>
      <c r="I2080" s="15"/>
      <c r="J2080" s="4"/>
    </row>
    <row r="2081" ht="14.25" customHeight="1">
      <c r="A2081" s="8" t="s">
        <v>16</v>
      </c>
      <c r="B2081" s="8">
        <v>5.8</v>
      </c>
      <c r="F2081" s="4"/>
      <c r="G2081" s="4"/>
      <c r="H2081" s="4"/>
      <c r="I2081" s="15"/>
      <c r="J2081" s="4"/>
    </row>
    <row r="2082" ht="14.25" customHeight="1">
      <c r="A2082" s="8" t="s">
        <v>16</v>
      </c>
      <c r="B2082" s="8">
        <v>5.2</v>
      </c>
      <c r="F2082" s="4"/>
      <c r="G2082" s="4"/>
      <c r="H2082" s="4"/>
      <c r="I2082" s="15"/>
      <c r="J2082" s="4"/>
    </row>
    <row r="2083" ht="14.25" customHeight="1">
      <c r="A2083" s="8" t="s">
        <v>16</v>
      </c>
      <c r="B2083" s="8">
        <v>5.6</v>
      </c>
      <c r="F2083" s="4"/>
      <c r="G2083" s="4"/>
      <c r="H2083" s="4"/>
      <c r="I2083" s="15"/>
      <c r="J2083" s="4"/>
    </row>
    <row r="2084" ht="14.25" customHeight="1">
      <c r="A2084" s="8" t="s">
        <v>16</v>
      </c>
      <c r="B2084" s="8">
        <v>5.3</v>
      </c>
      <c r="F2084" s="4"/>
      <c r="G2084" s="4"/>
      <c r="H2084" s="4"/>
      <c r="I2084" s="15"/>
      <c r="J2084" s="4"/>
    </row>
    <row r="2085" ht="14.25" customHeight="1">
      <c r="A2085" s="8" t="s">
        <v>16</v>
      </c>
      <c r="B2085" s="8">
        <v>6.6</v>
      </c>
      <c r="F2085" s="4"/>
      <c r="G2085" s="4"/>
      <c r="H2085" s="4"/>
      <c r="I2085" s="15"/>
      <c r="J2085" s="4"/>
    </row>
    <row r="2086" ht="14.25" customHeight="1">
      <c r="A2086" s="8" t="s">
        <v>16</v>
      </c>
      <c r="B2086" s="8">
        <v>1.9</v>
      </c>
      <c r="F2086" s="4"/>
      <c r="G2086" s="4"/>
      <c r="H2086" s="4"/>
      <c r="I2086" s="15"/>
      <c r="J2086" s="4"/>
    </row>
    <row r="2087" ht="14.25" customHeight="1">
      <c r="A2087" s="8" t="s">
        <v>16</v>
      </c>
      <c r="B2087" s="8">
        <v>5.7</v>
      </c>
      <c r="F2087" s="4"/>
      <c r="G2087" s="4"/>
      <c r="H2087" s="4"/>
      <c r="I2087" s="15"/>
      <c r="J2087" s="4"/>
    </row>
    <row r="2088" ht="14.25" customHeight="1">
      <c r="A2088" s="8" t="s">
        <v>16</v>
      </c>
      <c r="B2088" s="8">
        <v>6.6</v>
      </c>
      <c r="F2088" s="4"/>
      <c r="G2088" s="4"/>
      <c r="H2088" s="4"/>
      <c r="I2088" s="15"/>
      <c r="J2088" s="4"/>
    </row>
    <row r="2089" ht="14.25" customHeight="1">
      <c r="A2089" s="8" t="s">
        <v>16</v>
      </c>
      <c r="B2089" s="8">
        <v>6.0</v>
      </c>
      <c r="F2089" s="4"/>
      <c r="G2089" s="4"/>
      <c r="H2089" s="4"/>
      <c r="I2089" s="15"/>
      <c r="J2089" s="4"/>
    </row>
    <row r="2090" ht="14.25" customHeight="1">
      <c r="A2090" s="8" t="s">
        <v>16</v>
      </c>
      <c r="B2090" s="8">
        <v>6.1</v>
      </c>
      <c r="F2090" s="4"/>
      <c r="G2090" s="4"/>
      <c r="H2090" s="4"/>
      <c r="I2090" s="15"/>
      <c r="J2090" s="4"/>
    </row>
    <row r="2091" ht="14.25" customHeight="1">
      <c r="A2091" s="8" t="s">
        <v>16</v>
      </c>
      <c r="B2091" s="8">
        <v>4.8</v>
      </c>
      <c r="F2091" s="4"/>
      <c r="G2091" s="4"/>
      <c r="H2091" s="4"/>
      <c r="I2091" s="15"/>
      <c r="J2091" s="4"/>
    </row>
    <row r="2092" ht="14.25" customHeight="1">
      <c r="A2092" s="8" t="s">
        <v>16</v>
      </c>
      <c r="B2092" s="8">
        <v>6.2</v>
      </c>
      <c r="F2092" s="4"/>
      <c r="G2092" s="4"/>
      <c r="H2092" s="4"/>
      <c r="I2092" s="15"/>
      <c r="J2092" s="4"/>
    </row>
    <row r="2093" ht="14.25" customHeight="1">
      <c r="A2093" s="8" t="s">
        <v>16</v>
      </c>
      <c r="B2093" s="8">
        <v>7.5</v>
      </c>
      <c r="F2093" s="4"/>
      <c r="G2093" s="4"/>
      <c r="H2093" s="4"/>
      <c r="I2093" s="15"/>
      <c r="J2093" s="4"/>
    </row>
    <row r="2094" ht="14.25" customHeight="1">
      <c r="A2094" s="8" t="s">
        <v>16</v>
      </c>
      <c r="B2094" s="8">
        <v>6.3</v>
      </c>
      <c r="F2094" s="4"/>
      <c r="G2094" s="4"/>
      <c r="H2094" s="4"/>
      <c r="I2094" s="15"/>
      <c r="J2094" s="4"/>
    </row>
    <row r="2095" ht="14.25" customHeight="1">
      <c r="A2095" s="8" t="s">
        <v>16</v>
      </c>
      <c r="B2095" s="8">
        <v>7.1</v>
      </c>
      <c r="F2095" s="4"/>
      <c r="G2095" s="4"/>
      <c r="H2095" s="4"/>
      <c r="I2095" s="15"/>
      <c r="J2095" s="4"/>
    </row>
    <row r="2096" ht="14.25" customHeight="1">
      <c r="A2096" s="8" t="s">
        <v>16</v>
      </c>
      <c r="B2096" s="8">
        <v>6.6</v>
      </c>
      <c r="F2096" s="4"/>
      <c r="G2096" s="4"/>
      <c r="H2096" s="4"/>
      <c r="I2096" s="15"/>
      <c r="J2096" s="4"/>
    </row>
    <row r="2097" ht="14.25" customHeight="1">
      <c r="A2097" s="8" t="s">
        <v>16</v>
      </c>
      <c r="B2097" s="8">
        <v>6.1</v>
      </c>
      <c r="F2097" s="4"/>
      <c r="G2097" s="4"/>
      <c r="H2097" s="4"/>
      <c r="I2097" s="15"/>
      <c r="J2097" s="4"/>
    </row>
    <row r="2098" ht="14.25" customHeight="1">
      <c r="A2098" s="8" t="s">
        <v>16</v>
      </c>
      <c r="B2098" s="8">
        <v>6.7</v>
      </c>
      <c r="F2098" s="4"/>
      <c r="G2098" s="4"/>
      <c r="H2098" s="4"/>
      <c r="I2098" s="15"/>
      <c r="J2098" s="4"/>
    </row>
    <row r="2099" ht="14.25" customHeight="1">
      <c r="A2099" s="8" t="s">
        <v>16</v>
      </c>
      <c r="B2099" s="8">
        <v>5.6</v>
      </c>
      <c r="F2099" s="4"/>
      <c r="G2099" s="4"/>
      <c r="H2099" s="4"/>
      <c r="I2099" s="15"/>
      <c r="J2099" s="4"/>
    </row>
    <row r="2100" ht="14.25" customHeight="1">
      <c r="A2100" s="8" t="s">
        <v>16</v>
      </c>
      <c r="B2100" s="8">
        <v>7.2</v>
      </c>
      <c r="F2100" s="4"/>
      <c r="G2100" s="4"/>
      <c r="H2100" s="4"/>
      <c r="I2100" s="15"/>
      <c r="J2100" s="4"/>
    </row>
    <row r="2101" ht="14.25" customHeight="1">
      <c r="A2101" s="8" t="s">
        <v>16</v>
      </c>
      <c r="B2101" s="8">
        <v>4.3</v>
      </c>
      <c r="F2101" s="4"/>
      <c r="G2101" s="4"/>
      <c r="H2101" s="4"/>
      <c r="I2101" s="15"/>
      <c r="J2101" s="4"/>
    </row>
    <row r="2102" ht="14.25" customHeight="1">
      <c r="A2102" s="8" t="s">
        <v>16</v>
      </c>
      <c r="B2102" s="8">
        <v>6.4</v>
      </c>
      <c r="F2102" s="4"/>
      <c r="G2102" s="4"/>
      <c r="H2102" s="4"/>
      <c r="I2102" s="15"/>
      <c r="J2102" s="4"/>
    </row>
    <row r="2103" ht="14.25" customHeight="1">
      <c r="A2103" s="8" t="s">
        <v>16</v>
      </c>
      <c r="B2103" s="8">
        <v>7.1</v>
      </c>
      <c r="F2103" s="4"/>
      <c r="G2103" s="4"/>
      <c r="H2103" s="4"/>
      <c r="I2103" s="15"/>
      <c r="J2103" s="4"/>
    </row>
    <row r="2104" ht="14.25" customHeight="1">
      <c r="A2104" s="8" t="s">
        <v>16</v>
      </c>
      <c r="B2104" s="8">
        <v>6.3</v>
      </c>
      <c r="F2104" s="4"/>
      <c r="G2104" s="4"/>
      <c r="H2104" s="4"/>
      <c r="I2104" s="15"/>
      <c r="J2104" s="4"/>
    </row>
    <row r="2105" ht="14.25" customHeight="1">
      <c r="A2105" s="8" t="s">
        <v>16</v>
      </c>
      <c r="B2105" s="8">
        <v>7.4</v>
      </c>
      <c r="F2105" s="4"/>
      <c r="G2105" s="4"/>
      <c r="H2105" s="4"/>
      <c r="I2105" s="15"/>
      <c r="J2105" s="4"/>
    </row>
    <row r="2106" ht="14.25" customHeight="1">
      <c r="A2106" s="8" t="s">
        <v>16</v>
      </c>
      <c r="B2106" s="8">
        <v>6.1</v>
      </c>
      <c r="F2106" s="4"/>
      <c r="G2106" s="4"/>
      <c r="H2106" s="4"/>
      <c r="I2106" s="15"/>
      <c r="J2106" s="4"/>
    </row>
    <row r="2107" ht="14.25" customHeight="1">
      <c r="A2107" s="8" t="s">
        <v>16</v>
      </c>
      <c r="B2107" s="8">
        <v>6.6</v>
      </c>
      <c r="F2107" s="4"/>
      <c r="G2107" s="4"/>
      <c r="H2107" s="4"/>
      <c r="I2107" s="15"/>
      <c r="J2107" s="4"/>
    </row>
    <row r="2108" ht="14.25" customHeight="1">
      <c r="A2108" s="8" t="s">
        <v>16</v>
      </c>
      <c r="B2108" s="8">
        <v>6.0</v>
      </c>
      <c r="F2108" s="4"/>
      <c r="G2108" s="4"/>
      <c r="H2108" s="4"/>
      <c r="I2108" s="15"/>
      <c r="J2108" s="4"/>
    </row>
    <row r="2109" ht="14.25" customHeight="1">
      <c r="A2109" s="8" t="s">
        <v>16</v>
      </c>
      <c r="B2109" s="8">
        <v>6.8</v>
      </c>
      <c r="F2109" s="4"/>
      <c r="G2109" s="4"/>
      <c r="H2109" s="4"/>
      <c r="I2109" s="15"/>
      <c r="J2109" s="4"/>
    </row>
    <row r="2110" ht="14.25" customHeight="1">
      <c r="A2110" s="8" t="s">
        <v>16</v>
      </c>
      <c r="B2110" s="8">
        <v>6.8</v>
      </c>
      <c r="F2110" s="4"/>
      <c r="G2110" s="4"/>
      <c r="H2110" s="4"/>
      <c r="I2110" s="15"/>
      <c r="J2110" s="4"/>
    </row>
    <row r="2111" ht="14.25" customHeight="1">
      <c r="A2111" s="8" t="s">
        <v>16</v>
      </c>
      <c r="B2111" s="8">
        <v>7.2</v>
      </c>
      <c r="F2111" s="4"/>
      <c r="G2111" s="4"/>
      <c r="H2111" s="4"/>
      <c r="I2111" s="15"/>
      <c r="J2111" s="4"/>
    </row>
    <row r="2112" ht="14.25" customHeight="1">
      <c r="A2112" s="8" t="s">
        <v>16</v>
      </c>
      <c r="B2112" s="8">
        <v>1.9</v>
      </c>
      <c r="F2112" s="4"/>
      <c r="G2112" s="4"/>
      <c r="H2112" s="4"/>
      <c r="I2112" s="15"/>
      <c r="J2112" s="4"/>
    </row>
    <row r="2113" ht="14.25" customHeight="1">
      <c r="A2113" s="8" t="s">
        <v>16</v>
      </c>
      <c r="B2113" s="8">
        <v>5.5</v>
      </c>
      <c r="F2113" s="4"/>
      <c r="G2113" s="4"/>
      <c r="H2113" s="4"/>
      <c r="I2113" s="15"/>
      <c r="J2113" s="4"/>
    </row>
    <row r="2114" ht="14.25" customHeight="1">
      <c r="A2114" s="8" t="s">
        <v>16</v>
      </c>
      <c r="B2114" s="8">
        <v>4.5</v>
      </c>
      <c r="F2114" s="4"/>
      <c r="G2114" s="4"/>
      <c r="H2114" s="4"/>
      <c r="I2114" s="15"/>
      <c r="J2114" s="4"/>
    </row>
    <row r="2115" ht="14.25" customHeight="1">
      <c r="A2115" s="8" t="s">
        <v>16</v>
      </c>
      <c r="B2115" s="8">
        <v>6.3</v>
      </c>
      <c r="F2115" s="4"/>
      <c r="G2115" s="4"/>
      <c r="H2115" s="4"/>
      <c r="I2115" s="15"/>
      <c r="J2115" s="4"/>
    </row>
    <row r="2116" ht="14.25" customHeight="1">
      <c r="A2116" s="8" t="s">
        <v>16</v>
      </c>
      <c r="B2116" s="8">
        <v>6.7</v>
      </c>
      <c r="F2116" s="4"/>
      <c r="G2116" s="4"/>
      <c r="H2116" s="4"/>
      <c r="I2116" s="15"/>
      <c r="J2116" s="4"/>
    </row>
    <row r="2117" ht="14.25" customHeight="1">
      <c r="A2117" s="8" t="s">
        <v>16</v>
      </c>
      <c r="B2117" s="8">
        <v>2.8</v>
      </c>
      <c r="F2117" s="4"/>
      <c r="G2117" s="4"/>
      <c r="H2117" s="4"/>
      <c r="I2117" s="15"/>
      <c r="J2117" s="4"/>
    </row>
    <row r="2118" ht="14.25" customHeight="1">
      <c r="A2118" s="8" t="s">
        <v>16</v>
      </c>
      <c r="B2118" s="8">
        <v>5.0</v>
      </c>
      <c r="F2118" s="4"/>
      <c r="G2118" s="4"/>
      <c r="H2118" s="4"/>
      <c r="I2118" s="15"/>
      <c r="J2118" s="4"/>
    </row>
    <row r="2119" ht="14.25" customHeight="1">
      <c r="A2119" s="8" t="s">
        <v>16</v>
      </c>
      <c r="B2119" s="8">
        <v>4.3</v>
      </c>
      <c r="F2119" s="4"/>
      <c r="G2119" s="4"/>
      <c r="H2119" s="4"/>
      <c r="I2119" s="15"/>
      <c r="J2119" s="4"/>
    </row>
    <row r="2120" ht="14.25" customHeight="1">
      <c r="A2120" s="8" t="s">
        <v>16</v>
      </c>
      <c r="B2120" s="8">
        <v>5.6</v>
      </c>
      <c r="F2120" s="4"/>
      <c r="G2120" s="4"/>
      <c r="H2120" s="4"/>
      <c r="I2120" s="15"/>
      <c r="J2120" s="4"/>
    </row>
    <row r="2121" ht="14.25" customHeight="1">
      <c r="A2121" s="8" t="s">
        <v>16</v>
      </c>
      <c r="B2121" s="8">
        <v>6.2</v>
      </c>
      <c r="F2121" s="4"/>
      <c r="G2121" s="4"/>
      <c r="H2121" s="4"/>
      <c r="I2121" s="15"/>
      <c r="J2121" s="4"/>
    </row>
    <row r="2122" ht="14.25" customHeight="1">
      <c r="A2122" s="8" t="s">
        <v>16</v>
      </c>
      <c r="B2122" s="8">
        <v>5.3</v>
      </c>
      <c r="F2122" s="4"/>
      <c r="G2122" s="4"/>
      <c r="H2122" s="4"/>
      <c r="I2122" s="15"/>
      <c r="J2122" s="4"/>
    </row>
    <row r="2123" ht="14.25" customHeight="1">
      <c r="A2123" s="8" t="s">
        <v>16</v>
      </c>
      <c r="B2123" s="8">
        <v>7.4</v>
      </c>
      <c r="F2123" s="4"/>
      <c r="G2123" s="4"/>
      <c r="H2123" s="4"/>
      <c r="I2123" s="15"/>
      <c r="J2123" s="4"/>
    </row>
    <row r="2124" ht="14.25" customHeight="1">
      <c r="A2124" s="8" t="s">
        <v>16</v>
      </c>
      <c r="B2124" s="8">
        <v>7.4</v>
      </c>
      <c r="F2124" s="4"/>
      <c r="G2124" s="4"/>
      <c r="H2124" s="4"/>
      <c r="I2124" s="15"/>
      <c r="J2124" s="4"/>
    </row>
    <row r="2125" ht="14.25" customHeight="1">
      <c r="A2125" s="8" t="s">
        <v>16</v>
      </c>
      <c r="B2125" s="8">
        <v>6.5</v>
      </c>
      <c r="F2125" s="4"/>
      <c r="G2125" s="4"/>
      <c r="H2125" s="4"/>
      <c r="I2125" s="15"/>
      <c r="J2125" s="4"/>
    </row>
    <row r="2126" ht="14.25" customHeight="1">
      <c r="A2126" s="8" t="s">
        <v>16</v>
      </c>
      <c r="B2126" s="8">
        <v>7.1</v>
      </c>
      <c r="F2126" s="4"/>
      <c r="G2126" s="4"/>
      <c r="H2126" s="4"/>
      <c r="I2126" s="15"/>
      <c r="J2126" s="4"/>
    </row>
    <row r="2127" ht="14.25" customHeight="1">
      <c r="A2127" s="8" t="s">
        <v>16</v>
      </c>
      <c r="B2127" s="8">
        <v>7.2</v>
      </c>
      <c r="F2127" s="4"/>
      <c r="G2127" s="4"/>
      <c r="H2127" s="4"/>
      <c r="I2127" s="15"/>
      <c r="J2127" s="4"/>
    </row>
    <row r="2128" ht="14.25" customHeight="1">
      <c r="A2128" s="8" t="s">
        <v>16</v>
      </c>
      <c r="B2128" s="8">
        <v>2.3</v>
      </c>
      <c r="F2128" s="4"/>
      <c r="G2128" s="4"/>
      <c r="H2128" s="4"/>
      <c r="I2128" s="15"/>
      <c r="J2128" s="4"/>
    </row>
    <row r="2129" ht="14.25" customHeight="1">
      <c r="A2129" s="8" t="s">
        <v>16</v>
      </c>
      <c r="B2129" s="8">
        <v>6.4</v>
      </c>
      <c r="F2129" s="4"/>
      <c r="G2129" s="4"/>
      <c r="H2129" s="4"/>
      <c r="I2129" s="15"/>
      <c r="J2129" s="4"/>
    </row>
    <row r="2130" ht="14.25" customHeight="1">
      <c r="A2130" s="8" t="s">
        <v>16</v>
      </c>
      <c r="B2130" s="8">
        <v>6.1</v>
      </c>
      <c r="F2130" s="4"/>
      <c r="G2130" s="4"/>
      <c r="H2130" s="4"/>
      <c r="I2130" s="15"/>
      <c r="J2130" s="4"/>
    </row>
    <row r="2131" ht="14.25" customHeight="1">
      <c r="A2131" s="8" t="s">
        <v>16</v>
      </c>
      <c r="B2131" s="8">
        <v>7.0</v>
      </c>
      <c r="F2131" s="4"/>
      <c r="G2131" s="4"/>
      <c r="H2131" s="4"/>
      <c r="I2131" s="15"/>
      <c r="J2131" s="4"/>
    </row>
    <row r="2132" ht="14.25" customHeight="1">
      <c r="A2132" s="8" t="s">
        <v>16</v>
      </c>
      <c r="B2132" s="8">
        <v>7.0</v>
      </c>
      <c r="F2132" s="4"/>
      <c r="G2132" s="4"/>
      <c r="H2132" s="4"/>
      <c r="I2132" s="15"/>
      <c r="J2132" s="4"/>
    </row>
    <row r="2133" ht="14.25" customHeight="1">
      <c r="A2133" s="8" t="s">
        <v>16</v>
      </c>
      <c r="B2133" s="8">
        <v>7.0</v>
      </c>
      <c r="F2133" s="4"/>
      <c r="G2133" s="4"/>
      <c r="H2133" s="4"/>
      <c r="I2133" s="15"/>
      <c r="J2133" s="4"/>
    </row>
    <row r="2134" ht="14.25" customHeight="1">
      <c r="A2134" s="8" t="s">
        <v>16</v>
      </c>
      <c r="B2134" s="8">
        <v>4.9</v>
      </c>
      <c r="F2134" s="4"/>
      <c r="G2134" s="4"/>
      <c r="H2134" s="4"/>
      <c r="I2134" s="15"/>
      <c r="J2134" s="4"/>
    </row>
    <row r="2135" ht="14.25" customHeight="1">
      <c r="A2135" s="8" t="s">
        <v>16</v>
      </c>
      <c r="B2135" s="8">
        <v>6.9</v>
      </c>
      <c r="F2135" s="4"/>
      <c r="G2135" s="4"/>
      <c r="H2135" s="4"/>
      <c r="I2135" s="15"/>
      <c r="J2135" s="4"/>
    </row>
    <row r="2136" ht="14.25" customHeight="1">
      <c r="A2136" s="8" t="s">
        <v>16</v>
      </c>
      <c r="B2136" s="8">
        <v>7.5</v>
      </c>
      <c r="F2136" s="4"/>
      <c r="G2136" s="4"/>
      <c r="H2136" s="4"/>
      <c r="I2136" s="15"/>
      <c r="J2136" s="4"/>
    </row>
    <row r="2137" ht="14.25" customHeight="1">
      <c r="A2137" s="8" t="s">
        <v>3076</v>
      </c>
      <c r="B2137" s="8">
        <v>8.4</v>
      </c>
      <c r="F2137" s="4"/>
      <c r="G2137" s="4"/>
      <c r="H2137" s="4"/>
      <c r="I2137" s="15"/>
      <c r="J2137" s="4"/>
    </row>
    <row r="2138" ht="14.25" customHeight="1">
      <c r="A2138" s="8" t="s">
        <v>1189</v>
      </c>
      <c r="B2138" s="8">
        <v>6.9</v>
      </c>
      <c r="F2138" s="4"/>
      <c r="G2138" s="4"/>
      <c r="H2138" s="4"/>
      <c r="I2138" s="15"/>
      <c r="J2138" s="4"/>
    </row>
    <row r="2139" ht="14.25" customHeight="1">
      <c r="A2139" s="8" t="s">
        <v>16</v>
      </c>
      <c r="B2139" s="8">
        <v>4.5</v>
      </c>
      <c r="F2139" s="4"/>
      <c r="G2139" s="4"/>
      <c r="H2139" s="4"/>
      <c r="I2139" s="15"/>
      <c r="J2139" s="4"/>
    </row>
    <row r="2140" ht="14.25" customHeight="1">
      <c r="A2140" s="8" t="s">
        <v>16</v>
      </c>
      <c r="B2140" s="8">
        <v>7.4</v>
      </c>
      <c r="F2140" s="4"/>
      <c r="G2140" s="4"/>
      <c r="H2140" s="4"/>
      <c r="I2140" s="15"/>
      <c r="J2140" s="4"/>
    </row>
    <row r="2141" ht="14.25" customHeight="1">
      <c r="A2141" s="8" t="s">
        <v>16</v>
      </c>
      <c r="B2141" s="8">
        <v>7.0</v>
      </c>
      <c r="F2141" s="4"/>
      <c r="G2141" s="4"/>
      <c r="H2141" s="4"/>
      <c r="I2141" s="15"/>
      <c r="J2141" s="4"/>
    </row>
    <row r="2142" ht="14.25" customHeight="1">
      <c r="A2142" s="8" t="s">
        <v>16</v>
      </c>
      <c r="B2142" s="8">
        <v>2.8</v>
      </c>
      <c r="F2142" s="4"/>
      <c r="G2142" s="4"/>
      <c r="H2142" s="4"/>
      <c r="I2142" s="15"/>
      <c r="J2142" s="4"/>
    </row>
    <row r="2143" ht="14.25" customHeight="1">
      <c r="A2143" s="8" t="s">
        <v>16</v>
      </c>
      <c r="B2143" s="8">
        <v>7.5</v>
      </c>
      <c r="F2143" s="4"/>
      <c r="G2143" s="4"/>
      <c r="H2143" s="4"/>
      <c r="I2143" s="15"/>
      <c r="J2143" s="4"/>
    </row>
    <row r="2144" ht="14.25" customHeight="1">
      <c r="A2144" s="8" t="s">
        <v>16</v>
      </c>
      <c r="B2144" s="8">
        <v>7.1</v>
      </c>
      <c r="F2144" s="4"/>
      <c r="G2144" s="4"/>
      <c r="H2144" s="4"/>
      <c r="I2144" s="15"/>
      <c r="J2144" s="4"/>
    </row>
    <row r="2145" ht="14.25" customHeight="1">
      <c r="A2145" s="8" t="s">
        <v>16</v>
      </c>
      <c r="B2145" s="8">
        <v>6.4</v>
      </c>
      <c r="F2145" s="4"/>
      <c r="G2145" s="4"/>
      <c r="H2145" s="4"/>
      <c r="I2145" s="15"/>
      <c r="J2145" s="4"/>
    </row>
    <row r="2146" ht="14.25" customHeight="1">
      <c r="A2146" s="8" t="s">
        <v>16</v>
      </c>
      <c r="B2146" s="8">
        <v>6.7</v>
      </c>
      <c r="F2146" s="4"/>
      <c r="G2146" s="4"/>
      <c r="H2146" s="4"/>
      <c r="I2146" s="15"/>
      <c r="J2146" s="4"/>
    </row>
    <row r="2147" ht="14.25" customHeight="1">
      <c r="A2147" s="8" t="s">
        <v>16</v>
      </c>
      <c r="B2147" s="8">
        <v>5.3</v>
      </c>
      <c r="F2147" s="4"/>
      <c r="G2147" s="4"/>
      <c r="H2147" s="4"/>
      <c r="I2147" s="15"/>
      <c r="J2147" s="4"/>
    </row>
    <row r="2148" ht="14.25" customHeight="1">
      <c r="A2148" s="8" t="s">
        <v>3076</v>
      </c>
      <c r="B2148" s="8">
        <v>6.9</v>
      </c>
      <c r="F2148" s="4"/>
      <c r="G2148" s="4"/>
      <c r="H2148" s="4"/>
      <c r="I2148" s="15"/>
      <c r="J2148" s="4"/>
    </row>
    <row r="2149" ht="14.25" customHeight="1">
      <c r="A2149" s="8" t="s">
        <v>16</v>
      </c>
      <c r="B2149" s="8">
        <v>6.2</v>
      </c>
      <c r="F2149" s="4"/>
      <c r="G2149" s="4"/>
      <c r="H2149" s="4"/>
      <c r="I2149" s="15"/>
      <c r="J2149" s="4"/>
    </row>
    <row r="2150" ht="14.25" customHeight="1">
      <c r="A2150" s="8" t="s">
        <v>16</v>
      </c>
      <c r="B2150" s="8">
        <v>6.4</v>
      </c>
      <c r="F2150" s="4"/>
      <c r="G2150" s="4"/>
      <c r="H2150" s="4"/>
      <c r="I2150" s="15"/>
      <c r="J2150" s="4"/>
    </row>
    <row r="2151" ht="14.25" customHeight="1">
      <c r="A2151" s="8" t="s">
        <v>1189</v>
      </c>
      <c r="B2151" s="8">
        <v>6.0</v>
      </c>
      <c r="F2151" s="4"/>
      <c r="G2151" s="4"/>
      <c r="H2151" s="4"/>
      <c r="I2151" s="15"/>
      <c r="J2151" s="4"/>
    </row>
    <row r="2152" ht="14.25" customHeight="1">
      <c r="A2152" s="8" t="s">
        <v>16</v>
      </c>
      <c r="B2152" s="8">
        <v>5.1</v>
      </c>
      <c r="F2152" s="4"/>
      <c r="G2152" s="4"/>
      <c r="H2152" s="4"/>
      <c r="I2152" s="15"/>
      <c r="J2152" s="4"/>
    </row>
    <row r="2153" ht="14.25" customHeight="1">
      <c r="A2153" s="8" t="s">
        <v>16</v>
      </c>
      <c r="B2153" s="8">
        <v>5.5</v>
      </c>
      <c r="F2153" s="4"/>
      <c r="G2153" s="4"/>
      <c r="H2153" s="4"/>
      <c r="I2153" s="15"/>
      <c r="J2153" s="4"/>
    </row>
    <row r="2154" ht="14.25" customHeight="1">
      <c r="A2154" s="8" t="s">
        <v>16</v>
      </c>
      <c r="B2154" s="8">
        <v>5.4</v>
      </c>
      <c r="F2154" s="4"/>
      <c r="G2154" s="4"/>
      <c r="H2154" s="4"/>
      <c r="I2154" s="15"/>
      <c r="J2154" s="4"/>
    </row>
    <row r="2155" ht="14.25" customHeight="1">
      <c r="A2155" s="8" t="s">
        <v>816</v>
      </c>
      <c r="B2155" s="8">
        <v>7.5</v>
      </c>
      <c r="F2155" s="4"/>
      <c r="G2155" s="4"/>
      <c r="H2155" s="4"/>
      <c r="I2155" s="15"/>
      <c r="J2155" s="4"/>
    </row>
    <row r="2156" ht="14.25" customHeight="1">
      <c r="A2156" s="8" t="s">
        <v>4449</v>
      </c>
      <c r="B2156" s="8">
        <v>7.4</v>
      </c>
      <c r="F2156" s="4"/>
      <c r="G2156" s="4"/>
      <c r="H2156" s="4"/>
      <c r="I2156" s="15"/>
      <c r="J2156" s="4"/>
    </row>
    <row r="2157" ht="14.25" customHeight="1">
      <c r="A2157" s="8" t="s">
        <v>16</v>
      </c>
      <c r="B2157" s="8">
        <v>8.0</v>
      </c>
      <c r="F2157" s="4"/>
      <c r="G2157" s="4"/>
      <c r="H2157" s="4"/>
      <c r="I2157" s="15"/>
      <c r="J2157" s="4"/>
    </row>
    <row r="2158" ht="14.25" customHeight="1">
      <c r="A2158" s="8" t="s">
        <v>16</v>
      </c>
      <c r="B2158" s="8">
        <v>5.7</v>
      </c>
      <c r="F2158" s="4"/>
      <c r="G2158" s="4"/>
      <c r="H2158" s="4"/>
      <c r="I2158" s="15"/>
      <c r="J2158" s="4"/>
    </row>
    <row r="2159" ht="14.25" customHeight="1">
      <c r="A2159" s="8" t="s">
        <v>16</v>
      </c>
      <c r="B2159" s="8">
        <v>6.8</v>
      </c>
      <c r="F2159" s="4"/>
      <c r="G2159" s="4"/>
      <c r="H2159" s="4"/>
      <c r="I2159" s="15"/>
      <c r="J2159" s="4"/>
    </row>
    <row r="2160" ht="14.25" customHeight="1">
      <c r="A2160" s="8" t="s">
        <v>16</v>
      </c>
      <c r="B2160" s="8">
        <v>5.9</v>
      </c>
      <c r="F2160" s="4"/>
      <c r="G2160" s="4"/>
      <c r="H2160" s="4"/>
      <c r="I2160" s="15"/>
      <c r="J2160" s="4"/>
    </row>
    <row r="2161" ht="14.25" customHeight="1">
      <c r="A2161" s="8" t="s">
        <v>16</v>
      </c>
      <c r="B2161" s="8">
        <v>7.2</v>
      </c>
      <c r="F2161" s="4"/>
      <c r="G2161" s="4"/>
      <c r="H2161" s="4"/>
      <c r="I2161" s="15"/>
      <c r="J2161" s="4"/>
    </row>
    <row r="2162" ht="14.25" customHeight="1">
      <c r="A2162" s="8" t="s">
        <v>16</v>
      </c>
      <c r="B2162" s="8">
        <v>5.5</v>
      </c>
      <c r="F2162" s="4"/>
      <c r="G2162" s="4"/>
      <c r="H2162" s="4"/>
      <c r="I2162" s="15"/>
      <c r="J2162" s="4"/>
    </row>
    <row r="2163" ht="14.25" customHeight="1">
      <c r="A2163" s="8" t="s">
        <v>16</v>
      </c>
      <c r="B2163" s="8">
        <v>8.5</v>
      </c>
      <c r="F2163" s="4"/>
      <c r="G2163" s="4"/>
      <c r="H2163" s="4"/>
      <c r="I2163" s="15"/>
      <c r="J2163" s="4"/>
    </row>
    <row r="2164" ht="14.25" customHeight="1">
      <c r="A2164" s="8" t="s">
        <v>16</v>
      </c>
      <c r="B2164" s="8">
        <v>5.6</v>
      </c>
      <c r="F2164" s="4"/>
      <c r="G2164" s="4"/>
      <c r="H2164" s="4"/>
      <c r="I2164" s="15"/>
      <c r="J2164" s="4"/>
    </row>
    <row r="2165" ht="14.25" customHeight="1">
      <c r="A2165" s="8" t="s">
        <v>16</v>
      </c>
      <c r="B2165" s="8">
        <v>4.1</v>
      </c>
      <c r="F2165" s="4"/>
      <c r="G2165" s="4"/>
      <c r="H2165" s="4"/>
      <c r="I2165" s="15"/>
      <c r="J2165" s="4"/>
    </row>
    <row r="2166" ht="14.25" customHeight="1">
      <c r="A2166" s="8" t="s">
        <v>16</v>
      </c>
      <c r="B2166" s="8">
        <v>6.1</v>
      </c>
      <c r="F2166" s="4"/>
      <c r="G2166" s="4"/>
      <c r="H2166" s="4"/>
      <c r="I2166" s="15"/>
      <c r="J2166" s="4"/>
    </row>
    <row r="2167" ht="14.25" customHeight="1">
      <c r="A2167" s="8" t="s">
        <v>16</v>
      </c>
      <c r="B2167" s="8">
        <v>5.4</v>
      </c>
      <c r="F2167" s="4"/>
      <c r="G2167" s="4"/>
      <c r="H2167" s="4"/>
      <c r="I2167" s="15"/>
      <c r="J2167" s="4"/>
    </row>
    <row r="2168" ht="14.25" customHeight="1">
      <c r="A2168" s="8" t="s">
        <v>16</v>
      </c>
      <c r="B2168" s="8">
        <v>7.1</v>
      </c>
      <c r="F2168" s="4"/>
      <c r="G2168" s="4"/>
      <c r="H2168" s="4"/>
      <c r="I2168" s="15"/>
      <c r="J2168" s="4"/>
    </row>
    <row r="2169" ht="14.25" customHeight="1">
      <c r="A2169" s="8" t="s">
        <v>16</v>
      </c>
      <c r="B2169" s="8">
        <v>3.6</v>
      </c>
      <c r="F2169" s="4"/>
      <c r="G2169" s="4"/>
      <c r="H2169" s="4"/>
      <c r="I2169" s="15"/>
      <c r="J2169" s="4"/>
    </row>
    <row r="2170" ht="14.25" customHeight="1">
      <c r="A2170" s="8" t="s">
        <v>16</v>
      </c>
      <c r="B2170" s="8">
        <v>6.5</v>
      </c>
      <c r="F2170" s="4"/>
      <c r="G2170" s="4"/>
      <c r="H2170" s="4"/>
      <c r="I2170" s="15"/>
      <c r="J2170" s="4"/>
    </row>
    <row r="2171" ht="14.25" customHeight="1">
      <c r="A2171" s="8" t="s">
        <v>3076</v>
      </c>
      <c r="B2171" s="8">
        <v>8.6</v>
      </c>
      <c r="F2171" s="4"/>
      <c r="G2171" s="4"/>
      <c r="H2171" s="4"/>
      <c r="I2171" s="15"/>
      <c r="J2171" s="4"/>
    </row>
    <row r="2172" ht="14.25" customHeight="1">
      <c r="A2172" s="8" t="s">
        <v>16</v>
      </c>
      <c r="B2172" s="8">
        <v>7.0</v>
      </c>
      <c r="F2172" s="4"/>
      <c r="G2172" s="4"/>
      <c r="H2172" s="4"/>
      <c r="I2172" s="15"/>
      <c r="J2172" s="4"/>
    </row>
    <row r="2173" ht="14.25" customHeight="1">
      <c r="A2173" s="8" t="s">
        <v>16</v>
      </c>
      <c r="B2173" s="8">
        <v>7.6</v>
      </c>
      <c r="F2173" s="4"/>
      <c r="G2173" s="4"/>
      <c r="H2173" s="4"/>
      <c r="I2173" s="15"/>
      <c r="J2173" s="4"/>
    </row>
    <row r="2174" ht="14.25" customHeight="1">
      <c r="A2174" s="8" t="s">
        <v>16</v>
      </c>
      <c r="B2174" s="8">
        <v>6.5</v>
      </c>
      <c r="F2174" s="4"/>
      <c r="G2174" s="4"/>
      <c r="H2174" s="4"/>
      <c r="I2174" s="15"/>
      <c r="J2174" s="4"/>
    </row>
    <row r="2175" ht="14.25" customHeight="1">
      <c r="A2175" s="8" t="s">
        <v>16</v>
      </c>
      <c r="B2175" s="8">
        <v>6.4</v>
      </c>
      <c r="F2175" s="4"/>
      <c r="G2175" s="4"/>
      <c r="H2175" s="4"/>
      <c r="I2175" s="15"/>
      <c r="J2175" s="4"/>
    </row>
    <row r="2176" ht="14.25" customHeight="1">
      <c r="A2176" s="8" t="s">
        <v>16</v>
      </c>
      <c r="B2176" s="8">
        <v>6.3</v>
      </c>
      <c r="F2176" s="4"/>
      <c r="G2176" s="4"/>
      <c r="H2176" s="4"/>
      <c r="I2176" s="15"/>
      <c r="J2176" s="4"/>
    </row>
    <row r="2177" ht="14.25" customHeight="1">
      <c r="A2177" s="8" t="s">
        <v>16</v>
      </c>
      <c r="B2177" s="8">
        <v>5.7</v>
      </c>
      <c r="F2177" s="4"/>
      <c r="G2177" s="4"/>
      <c r="H2177" s="4"/>
      <c r="I2177" s="15"/>
      <c r="J2177" s="4"/>
    </row>
    <row r="2178" ht="14.25" customHeight="1">
      <c r="A2178" s="8" t="s">
        <v>16</v>
      </c>
      <c r="B2178" s="8">
        <v>6.3</v>
      </c>
      <c r="F2178" s="4"/>
      <c r="G2178" s="4"/>
      <c r="H2178" s="4"/>
      <c r="I2178" s="15"/>
      <c r="J2178" s="4"/>
    </row>
    <row r="2179" ht="14.25" customHeight="1">
      <c r="A2179" s="8" t="s">
        <v>16</v>
      </c>
      <c r="B2179" s="8">
        <v>6.0</v>
      </c>
      <c r="F2179" s="4"/>
      <c r="G2179" s="4"/>
      <c r="H2179" s="4"/>
      <c r="I2179" s="15"/>
      <c r="J2179" s="4"/>
    </row>
    <row r="2180" ht="14.25" customHeight="1">
      <c r="A2180" s="8" t="s">
        <v>16</v>
      </c>
      <c r="B2180" s="8">
        <v>7.7</v>
      </c>
      <c r="F2180" s="4"/>
      <c r="G2180" s="4"/>
      <c r="H2180" s="4"/>
      <c r="I2180" s="15"/>
      <c r="J2180" s="4"/>
    </row>
    <row r="2181" ht="14.25" customHeight="1">
      <c r="A2181" s="8" t="s">
        <v>16</v>
      </c>
      <c r="B2181" s="8">
        <v>6.2</v>
      </c>
      <c r="F2181" s="4"/>
      <c r="G2181" s="4"/>
      <c r="H2181" s="4"/>
      <c r="I2181" s="15"/>
      <c r="J2181" s="4"/>
    </row>
    <row r="2182" ht="14.25" customHeight="1">
      <c r="A2182" s="8" t="s">
        <v>16</v>
      </c>
      <c r="B2182" s="8">
        <v>7.7</v>
      </c>
      <c r="F2182" s="4"/>
      <c r="G2182" s="4"/>
      <c r="H2182" s="4"/>
      <c r="I2182" s="15"/>
      <c r="J2182" s="4"/>
    </row>
    <row r="2183" ht="14.25" customHeight="1">
      <c r="A2183" s="8" t="s">
        <v>16</v>
      </c>
      <c r="B2183" s="8">
        <v>6.4</v>
      </c>
      <c r="F2183" s="4"/>
      <c r="G2183" s="4"/>
      <c r="H2183" s="4"/>
      <c r="I2183" s="15"/>
      <c r="J2183" s="4"/>
    </row>
    <row r="2184" ht="14.25" customHeight="1">
      <c r="A2184" s="8" t="s">
        <v>16</v>
      </c>
      <c r="B2184" s="8">
        <v>6.4</v>
      </c>
      <c r="F2184" s="4"/>
      <c r="G2184" s="4"/>
      <c r="H2184" s="4"/>
      <c r="I2184" s="15"/>
      <c r="J2184" s="4"/>
    </row>
    <row r="2185" ht="14.25" customHeight="1">
      <c r="A2185" s="8" t="s">
        <v>16</v>
      </c>
      <c r="B2185" s="8">
        <v>6.9</v>
      </c>
      <c r="F2185" s="4"/>
      <c r="G2185" s="4"/>
      <c r="H2185" s="4"/>
      <c r="I2185" s="15"/>
      <c r="J2185" s="4"/>
    </row>
    <row r="2186" ht="14.25" customHeight="1">
      <c r="A2186" s="8" t="s">
        <v>16</v>
      </c>
      <c r="B2186" s="8">
        <v>7.3</v>
      </c>
      <c r="F2186" s="4"/>
      <c r="G2186" s="4"/>
      <c r="H2186" s="4"/>
      <c r="I2186" s="15"/>
      <c r="J2186" s="4"/>
    </row>
    <row r="2187" ht="14.25" customHeight="1">
      <c r="A2187" s="8" t="s">
        <v>16</v>
      </c>
      <c r="B2187" s="8">
        <v>7.3</v>
      </c>
      <c r="F2187" s="4"/>
      <c r="G2187" s="4"/>
      <c r="H2187" s="4"/>
      <c r="I2187" s="15"/>
      <c r="J2187" s="4"/>
    </row>
    <row r="2188" ht="14.25" customHeight="1">
      <c r="A2188" s="8" t="s">
        <v>16</v>
      </c>
      <c r="B2188" s="8">
        <v>6.2</v>
      </c>
      <c r="F2188" s="4"/>
      <c r="G2188" s="4"/>
      <c r="H2188" s="4"/>
      <c r="I2188" s="15"/>
      <c r="J2188" s="4"/>
    </row>
    <row r="2189" ht="14.25" customHeight="1">
      <c r="A2189" s="8" t="s">
        <v>16</v>
      </c>
      <c r="B2189" s="8">
        <v>6.6</v>
      </c>
      <c r="F2189" s="4"/>
      <c r="G2189" s="4"/>
      <c r="H2189" s="4"/>
      <c r="I2189" s="15"/>
      <c r="J2189" s="4"/>
    </row>
    <row r="2190" ht="14.25" customHeight="1">
      <c r="A2190" s="8" t="s">
        <v>16</v>
      </c>
      <c r="B2190" s="8">
        <v>6.7</v>
      </c>
      <c r="F2190" s="4"/>
      <c r="G2190" s="4"/>
      <c r="H2190" s="4"/>
      <c r="I2190" s="15"/>
      <c r="J2190" s="4"/>
    </row>
    <row r="2191" ht="14.25" customHeight="1">
      <c r="A2191" s="8" t="s">
        <v>16</v>
      </c>
      <c r="B2191" s="8">
        <v>5.7</v>
      </c>
      <c r="F2191" s="4"/>
      <c r="G2191" s="4"/>
      <c r="H2191" s="4"/>
      <c r="I2191" s="15"/>
      <c r="J2191" s="4"/>
    </row>
    <row r="2192" ht="14.25" customHeight="1">
      <c r="A2192" s="8" t="s">
        <v>16</v>
      </c>
      <c r="B2192" s="8">
        <v>3.1</v>
      </c>
      <c r="F2192" s="4"/>
      <c r="G2192" s="4"/>
      <c r="H2192" s="4"/>
      <c r="I2192" s="15"/>
      <c r="J2192" s="4"/>
    </row>
    <row r="2193" ht="14.25" customHeight="1">
      <c r="A2193" s="8" t="s">
        <v>16</v>
      </c>
      <c r="B2193" s="8">
        <v>6.3</v>
      </c>
      <c r="F2193" s="4"/>
      <c r="G2193" s="4"/>
      <c r="H2193" s="4"/>
      <c r="I2193" s="15"/>
      <c r="J2193" s="4"/>
    </row>
    <row r="2194" ht="14.25" customHeight="1">
      <c r="A2194" s="8" t="s">
        <v>16</v>
      </c>
      <c r="B2194" s="8">
        <v>5.7</v>
      </c>
      <c r="F2194" s="4"/>
      <c r="G2194" s="4"/>
      <c r="H2194" s="4"/>
      <c r="I2194" s="15"/>
      <c r="J2194" s="4"/>
    </row>
    <row r="2195" ht="14.25" customHeight="1">
      <c r="A2195" s="8" t="s">
        <v>16</v>
      </c>
      <c r="B2195" s="8">
        <v>7.1</v>
      </c>
      <c r="F2195" s="4"/>
      <c r="G2195" s="4"/>
      <c r="H2195" s="4"/>
      <c r="I2195" s="15"/>
      <c r="J2195" s="4"/>
    </row>
    <row r="2196" ht="14.25" customHeight="1">
      <c r="A2196" s="8" t="s">
        <v>16</v>
      </c>
      <c r="B2196" s="8">
        <v>7.0</v>
      </c>
      <c r="F2196" s="4"/>
      <c r="G2196" s="4"/>
      <c r="H2196" s="4"/>
      <c r="I2196" s="15"/>
      <c r="J2196" s="4"/>
    </row>
    <row r="2197" ht="14.25" customHeight="1">
      <c r="A2197" s="8" t="s">
        <v>16</v>
      </c>
      <c r="B2197" s="8">
        <v>6.1</v>
      </c>
      <c r="F2197" s="4"/>
      <c r="G2197" s="4"/>
      <c r="H2197" s="4"/>
      <c r="I2197" s="15"/>
      <c r="J2197" s="4"/>
    </row>
    <row r="2198" ht="14.25" customHeight="1">
      <c r="A2198" s="8" t="s">
        <v>16</v>
      </c>
      <c r="B2198" s="8">
        <v>6.6</v>
      </c>
      <c r="F2198" s="4"/>
      <c r="G2198" s="4"/>
      <c r="H2198" s="4"/>
      <c r="I2198" s="15"/>
      <c r="J2198" s="4"/>
    </row>
    <row r="2199" ht="14.25" customHeight="1">
      <c r="A2199" s="8" t="s">
        <v>16</v>
      </c>
      <c r="B2199" s="8">
        <v>7.8</v>
      </c>
      <c r="F2199" s="4"/>
      <c r="G2199" s="4"/>
      <c r="H2199" s="4"/>
      <c r="I2199" s="15"/>
      <c r="J2199" s="4"/>
    </row>
    <row r="2200" ht="14.25" customHeight="1">
      <c r="A2200" s="8" t="s">
        <v>16</v>
      </c>
      <c r="B2200" s="8">
        <v>8.3</v>
      </c>
      <c r="F2200" s="4"/>
      <c r="G2200" s="4"/>
      <c r="H2200" s="4"/>
      <c r="I2200" s="15"/>
      <c r="J2200" s="4"/>
    </row>
    <row r="2201" ht="14.25" customHeight="1">
      <c r="A2201" s="8" t="s">
        <v>16</v>
      </c>
      <c r="B2201" s="8">
        <v>3.9</v>
      </c>
      <c r="F2201" s="4"/>
      <c r="G2201" s="4"/>
      <c r="H2201" s="4"/>
      <c r="I2201" s="15"/>
      <c r="J2201" s="4"/>
    </row>
    <row r="2202" ht="14.25" customHeight="1">
      <c r="A2202" s="8" t="s">
        <v>16</v>
      </c>
      <c r="B2202" s="8">
        <v>7.0</v>
      </c>
      <c r="F2202" s="4"/>
      <c r="G2202" s="4"/>
      <c r="H2202" s="4"/>
      <c r="I2202" s="15"/>
      <c r="J2202" s="4"/>
    </row>
    <row r="2203" ht="14.25" customHeight="1">
      <c r="A2203" s="8" t="s">
        <v>16</v>
      </c>
      <c r="B2203" s="8">
        <v>6.7</v>
      </c>
      <c r="F2203" s="4"/>
      <c r="G2203" s="4"/>
      <c r="H2203" s="4"/>
      <c r="I2203" s="15"/>
      <c r="J2203" s="4"/>
    </row>
    <row r="2204" ht="14.25" customHeight="1">
      <c r="A2204" s="8" t="s">
        <v>16</v>
      </c>
      <c r="B2204" s="8">
        <v>7.3</v>
      </c>
      <c r="F2204" s="4"/>
      <c r="G2204" s="4"/>
      <c r="H2204" s="4"/>
      <c r="I2204" s="15"/>
      <c r="J2204" s="4"/>
    </row>
    <row r="2205" ht="14.25" customHeight="1">
      <c r="A2205" s="8" t="s">
        <v>16</v>
      </c>
      <c r="B2205" s="8">
        <v>6.3</v>
      </c>
      <c r="F2205" s="4"/>
      <c r="G2205" s="4"/>
      <c r="H2205" s="4"/>
      <c r="I2205" s="15"/>
      <c r="J2205" s="4"/>
    </row>
    <row r="2206" ht="14.25" customHeight="1">
      <c r="A2206" s="8" t="s">
        <v>16</v>
      </c>
      <c r="B2206" s="8">
        <v>7.8</v>
      </c>
      <c r="F2206" s="4"/>
      <c r="G2206" s="4"/>
      <c r="H2206" s="4"/>
      <c r="I2206" s="15"/>
      <c r="J2206" s="4"/>
    </row>
    <row r="2207" ht="14.25" customHeight="1">
      <c r="A2207" s="8" t="s">
        <v>16</v>
      </c>
      <c r="B2207" s="8">
        <v>7.3</v>
      </c>
      <c r="F2207" s="4"/>
      <c r="G2207" s="4"/>
      <c r="H2207" s="4"/>
      <c r="I2207" s="15"/>
      <c r="J2207" s="4"/>
    </row>
    <row r="2208" ht="14.25" customHeight="1">
      <c r="A2208" s="8" t="s">
        <v>16</v>
      </c>
      <c r="B2208" s="8">
        <v>7.6</v>
      </c>
      <c r="F2208" s="4"/>
      <c r="G2208" s="4"/>
      <c r="H2208" s="4"/>
      <c r="I2208" s="15"/>
      <c r="J2208" s="4"/>
    </row>
    <row r="2209" ht="14.25" customHeight="1">
      <c r="A2209" s="8" t="s">
        <v>16</v>
      </c>
      <c r="B2209" s="8">
        <v>5.3</v>
      </c>
      <c r="F2209" s="4"/>
      <c r="G2209" s="4"/>
      <c r="H2209" s="4"/>
      <c r="I2209" s="15"/>
      <c r="J2209" s="4"/>
    </row>
    <row r="2210" ht="14.25" customHeight="1">
      <c r="A2210" s="8" t="s">
        <v>16</v>
      </c>
      <c r="B2210" s="8">
        <v>7.9</v>
      </c>
      <c r="F2210" s="4"/>
      <c r="G2210" s="4"/>
      <c r="H2210" s="4"/>
      <c r="I2210" s="15"/>
      <c r="J2210" s="4"/>
    </row>
    <row r="2211" ht="14.25" customHeight="1">
      <c r="A2211" s="8" t="s">
        <v>16</v>
      </c>
      <c r="B2211" s="8">
        <v>5.3</v>
      </c>
      <c r="F2211" s="4"/>
      <c r="G2211" s="4"/>
      <c r="H2211" s="4"/>
      <c r="I2211" s="15"/>
      <c r="J2211" s="4"/>
    </row>
    <row r="2212" ht="14.25" customHeight="1">
      <c r="A2212" s="8" t="s">
        <v>16</v>
      </c>
      <c r="B2212" s="8">
        <v>6.8</v>
      </c>
      <c r="F2212" s="4"/>
      <c r="G2212" s="4"/>
      <c r="H2212" s="4"/>
      <c r="I2212" s="15"/>
      <c r="J2212" s="4"/>
    </row>
    <row r="2213" ht="14.25" customHeight="1">
      <c r="A2213" s="8" t="s">
        <v>16</v>
      </c>
      <c r="B2213" s="8">
        <v>7.1</v>
      </c>
      <c r="F2213" s="4"/>
      <c r="G2213" s="4"/>
      <c r="H2213" s="4"/>
      <c r="I2213" s="15"/>
      <c r="J2213" s="4"/>
    </row>
    <row r="2214" ht="14.25" customHeight="1">
      <c r="A2214" s="8" t="s">
        <v>16</v>
      </c>
      <c r="B2214" s="8">
        <v>5.8</v>
      </c>
      <c r="F2214" s="4"/>
      <c r="G2214" s="4"/>
      <c r="H2214" s="4"/>
      <c r="I2214" s="15"/>
      <c r="J2214" s="4"/>
    </row>
    <row r="2215" ht="14.25" customHeight="1">
      <c r="A2215" s="8" t="s">
        <v>16</v>
      </c>
      <c r="B2215" s="8">
        <v>5.8</v>
      </c>
      <c r="F2215" s="4"/>
      <c r="G2215" s="4"/>
      <c r="H2215" s="4"/>
      <c r="I2215" s="15"/>
      <c r="J2215" s="4"/>
    </row>
    <row r="2216" ht="14.25" customHeight="1">
      <c r="A2216" s="8" t="s">
        <v>16</v>
      </c>
      <c r="B2216" s="8">
        <v>8.3</v>
      </c>
      <c r="F2216" s="4"/>
      <c r="G2216" s="4"/>
      <c r="H2216" s="4"/>
      <c r="I2216" s="15"/>
      <c r="J2216" s="4"/>
    </row>
    <row r="2217" ht="14.25" customHeight="1">
      <c r="A2217" s="8" t="s">
        <v>16</v>
      </c>
      <c r="B2217" s="8">
        <v>5.6</v>
      </c>
      <c r="F2217" s="4"/>
      <c r="G2217" s="4"/>
      <c r="H2217" s="4"/>
      <c r="I2217" s="15"/>
      <c r="J2217" s="4"/>
    </row>
    <row r="2218" ht="14.25" customHeight="1">
      <c r="A2218" s="8" t="s">
        <v>16</v>
      </c>
      <c r="B2218" s="8">
        <v>6.8</v>
      </c>
      <c r="F2218" s="4"/>
      <c r="G2218" s="4"/>
      <c r="H2218" s="4"/>
      <c r="I2218" s="15"/>
      <c r="J2218" s="4"/>
    </row>
    <row r="2219" ht="14.25" customHeight="1">
      <c r="A2219" s="8" t="s">
        <v>16</v>
      </c>
      <c r="B2219" s="8">
        <v>5.0</v>
      </c>
      <c r="F2219" s="4"/>
      <c r="G2219" s="4"/>
      <c r="H2219" s="4"/>
      <c r="I2219" s="15"/>
      <c r="J2219" s="4"/>
    </row>
    <row r="2220" ht="14.25" customHeight="1">
      <c r="A2220" s="8" t="s">
        <v>16</v>
      </c>
      <c r="B2220" s="8">
        <v>7.6</v>
      </c>
      <c r="F2220" s="4"/>
      <c r="G2220" s="4"/>
      <c r="H2220" s="4"/>
      <c r="I2220" s="15"/>
      <c r="J2220" s="4"/>
    </row>
    <row r="2221" ht="14.25" customHeight="1">
      <c r="A2221" s="8" t="s">
        <v>16</v>
      </c>
      <c r="B2221" s="8">
        <v>6.7</v>
      </c>
      <c r="F2221" s="4"/>
      <c r="G2221" s="4"/>
      <c r="H2221" s="4"/>
      <c r="I2221" s="15"/>
      <c r="J2221" s="4"/>
    </row>
    <row r="2222" ht="14.25" customHeight="1">
      <c r="A2222" s="8" t="s">
        <v>16</v>
      </c>
      <c r="B2222" s="8">
        <v>6.7</v>
      </c>
      <c r="F2222" s="4"/>
      <c r="G2222" s="4"/>
      <c r="H2222" s="4"/>
      <c r="I2222" s="15"/>
      <c r="J2222" s="4"/>
    </row>
    <row r="2223" ht="14.25" customHeight="1">
      <c r="A2223" s="8" t="s">
        <v>16</v>
      </c>
      <c r="B2223" s="8">
        <v>5.7</v>
      </c>
      <c r="F2223" s="4"/>
      <c r="G2223" s="4"/>
      <c r="H2223" s="4"/>
      <c r="I2223" s="15"/>
      <c r="J2223" s="4"/>
    </row>
    <row r="2224" ht="14.25" customHeight="1">
      <c r="A2224" s="8" t="s">
        <v>16</v>
      </c>
      <c r="B2224" s="8">
        <v>5.2</v>
      </c>
      <c r="F2224" s="4"/>
      <c r="G2224" s="4"/>
      <c r="H2224" s="4"/>
      <c r="I2224" s="15"/>
      <c r="J2224" s="4"/>
    </row>
    <row r="2225" ht="14.25" customHeight="1">
      <c r="A2225" s="8" t="s">
        <v>16</v>
      </c>
      <c r="B2225" s="8">
        <v>7.5</v>
      </c>
      <c r="F2225" s="4"/>
      <c r="G2225" s="4"/>
      <c r="H2225" s="4"/>
      <c r="I2225" s="15"/>
      <c r="J2225" s="4"/>
    </row>
    <row r="2226" ht="14.25" customHeight="1">
      <c r="A2226" s="8" t="s">
        <v>16</v>
      </c>
      <c r="B2226" s="8">
        <v>7.2</v>
      </c>
      <c r="F2226" s="4"/>
      <c r="G2226" s="4"/>
      <c r="H2226" s="4"/>
      <c r="I2226" s="15"/>
      <c r="J2226" s="4"/>
    </row>
    <row r="2227" ht="14.25" customHeight="1">
      <c r="A2227" s="8" t="s">
        <v>16</v>
      </c>
      <c r="B2227" s="8">
        <v>5.3</v>
      </c>
      <c r="F2227" s="4"/>
      <c r="G2227" s="4"/>
      <c r="H2227" s="4"/>
      <c r="I2227" s="15"/>
      <c r="J2227" s="4"/>
    </row>
    <row r="2228" ht="14.25" customHeight="1">
      <c r="A2228" s="8" t="s">
        <v>16</v>
      </c>
      <c r="B2228" s="8">
        <v>6.5</v>
      </c>
      <c r="F2228" s="4"/>
      <c r="G2228" s="4"/>
      <c r="H2228" s="4"/>
      <c r="I2228" s="15"/>
      <c r="J2228" s="4"/>
    </row>
    <row r="2229" ht="14.25" customHeight="1">
      <c r="A2229" s="8" t="s">
        <v>16</v>
      </c>
      <c r="B2229" s="8">
        <v>5.0</v>
      </c>
      <c r="F2229" s="4"/>
      <c r="G2229" s="4"/>
      <c r="H2229" s="4"/>
      <c r="I2229" s="15"/>
      <c r="J2229" s="4"/>
    </row>
    <row r="2230" ht="14.25" customHeight="1">
      <c r="A2230" s="8" t="s">
        <v>16</v>
      </c>
      <c r="B2230" s="8">
        <v>6.1</v>
      </c>
      <c r="F2230" s="4"/>
      <c r="G2230" s="4"/>
      <c r="H2230" s="4"/>
      <c r="I2230" s="15"/>
      <c r="J2230" s="4"/>
    </row>
    <row r="2231" ht="14.25" customHeight="1">
      <c r="A2231" s="8" t="s">
        <v>16</v>
      </c>
      <c r="B2231" s="8">
        <v>4.4</v>
      </c>
      <c r="F2231" s="4"/>
      <c r="G2231" s="4"/>
      <c r="H2231" s="4"/>
      <c r="I2231" s="15"/>
      <c r="J2231" s="4"/>
    </row>
    <row r="2232" ht="14.25" customHeight="1">
      <c r="A2232" s="8" t="s">
        <v>16</v>
      </c>
      <c r="B2232" s="8">
        <v>7.5</v>
      </c>
      <c r="F2232" s="4"/>
      <c r="G2232" s="4"/>
      <c r="H2232" s="4"/>
      <c r="I2232" s="15"/>
      <c r="J2232" s="4"/>
    </row>
    <row r="2233" ht="14.25" customHeight="1">
      <c r="A2233" s="8" t="s">
        <v>16</v>
      </c>
      <c r="B2233" s="8">
        <v>5.7</v>
      </c>
      <c r="F2233" s="4"/>
      <c r="G2233" s="4"/>
      <c r="H2233" s="4"/>
      <c r="I2233" s="15"/>
      <c r="J2233" s="4"/>
    </row>
    <row r="2234" ht="14.25" customHeight="1">
      <c r="A2234" s="8" t="s">
        <v>16</v>
      </c>
      <c r="B2234" s="8">
        <v>5.5</v>
      </c>
      <c r="F2234" s="4"/>
      <c r="G2234" s="4"/>
      <c r="H2234" s="4"/>
      <c r="I2234" s="15"/>
      <c r="J2234" s="4"/>
    </row>
    <row r="2235" ht="14.25" customHeight="1">
      <c r="A2235" s="8" t="s">
        <v>16</v>
      </c>
      <c r="B2235" s="8">
        <v>7.1</v>
      </c>
      <c r="F2235" s="4"/>
      <c r="G2235" s="4"/>
      <c r="H2235" s="4"/>
      <c r="I2235" s="15"/>
      <c r="J2235" s="4"/>
    </row>
    <row r="2236" ht="14.25" customHeight="1">
      <c r="A2236" s="8" t="s">
        <v>16</v>
      </c>
      <c r="B2236" s="8">
        <v>5.9</v>
      </c>
      <c r="F2236" s="4"/>
      <c r="G2236" s="4"/>
      <c r="H2236" s="4"/>
      <c r="I2236" s="15"/>
      <c r="J2236" s="4"/>
    </row>
    <row r="2237" ht="14.25" customHeight="1">
      <c r="A2237" s="8" t="s">
        <v>16</v>
      </c>
      <c r="B2237" s="8">
        <v>6.7</v>
      </c>
      <c r="F2237" s="4"/>
      <c r="G2237" s="4"/>
      <c r="H2237" s="4"/>
      <c r="I2237" s="15"/>
      <c r="J2237" s="4"/>
    </row>
    <row r="2238" ht="14.25" customHeight="1">
      <c r="A2238" s="8" t="s">
        <v>16</v>
      </c>
      <c r="B2238" s="8">
        <v>7.0</v>
      </c>
      <c r="F2238" s="4"/>
      <c r="G2238" s="4"/>
      <c r="H2238" s="4"/>
      <c r="I2238" s="15"/>
      <c r="J2238" s="4"/>
    </row>
    <row r="2239" ht="14.25" customHeight="1">
      <c r="A2239" s="8" t="s">
        <v>16</v>
      </c>
      <c r="B2239" s="8">
        <v>7.9</v>
      </c>
      <c r="F2239" s="4"/>
      <c r="G2239" s="4"/>
      <c r="H2239" s="4"/>
      <c r="I2239" s="15"/>
      <c r="J2239" s="4"/>
    </row>
    <row r="2240" ht="14.25" customHeight="1">
      <c r="A2240" s="8" t="s">
        <v>16</v>
      </c>
      <c r="B2240" s="8">
        <v>6.9</v>
      </c>
      <c r="F2240" s="4"/>
      <c r="G2240" s="4"/>
      <c r="H2240" s="4"/>
      <c r="I2240" s="15"/>
      <c r="J2240" s="4"/>
    </row>
    <row r="2241" ht="14.25" customHeight="1">
      <c r="A2241" s="8" t="s">
        <v>4606</v>
      </c>
      <c r="B2241" s="8">
        <v>7.3</v>
      </c>
      <c r="F2241" s="4"/>
      <c r="G2241" s="4"/>
      <c r="H2241" s="4"/>
      <c r="I2241" s="15"/>
      <c r="J2241" s="4"/>
    </row>
    <row r="2242" ht="14.25" customHeight="1">
      <c r="A2242" s="8" t="s">
        <v>16</v>
      </c>
      <c r="B2242" s="8">
        <v>7.3</v>
      </c>
      <c r="F2242" s="4"/>
      <c r="G2242" s="4"/>
      <c r="H2242" s="4"/>
      <c r="I2242" s="15"/>
      <c r="J2242" s="4"/>
    </row>
    <row r="2243" ht="14.25" customHeight="1">
      <c r="A2243" s="8" t="s">
        <v>16</v>
      </c>
      <c r="B2243" s="8">
        <v>3.5</v>
      </c>
      <c r="F2243" s="4"/>
      <c r="G2243" s="4"/>
      <c r="H2243" s="4"/>
      <c r="I2243" s="15"/>
      <c r="J2243" s="4"/>
    </row>
    <row r="2244" ht="14.25" customHeight="1">
      <c r="A2244" s="8" t="s">
        <v>16</v>
      </c>
      <c r="B2244" s="8">
        <v>7.8</v>
      </c>
      <c r="F2244" s="4"/>
      <c r="G2244" s="4"/>
      <c r="H2244" s="4"/>
      <c r="I2244" s="15"/>
      <c r="J2244" s="4"/>
    </row>
    <row r="2245" ht="14.25" customHeight="1">
      <c r="A2245" s="8" t="s">
        <v>16</v>
      </c>
      <c r="B2245" s="8">
        <v>6.7</v>
      </c>
      <c r="F2245" s="4"/>
      <c r="G2245" s="4"/>
      <c r="H2245" s="4"/>
      <c r="I2245" s="15"/>
      <c r="J2245" s="4"/>
    </row>
    <row r="2246" ht="14.25" customHeight="1">
      <c r="A2246" s="8" t="s">
        <v>16</v>
      </c>
      <c r="B2246" s="8">
        <v>6.4</v>
      </c>
      <c r="F2246" s="4"/>
      <c r="G2246" s="4"/>
      <c r="H2246" s="4"/>
      <c r="I2246" s="15"/>
      <c r="J2246" s="4"/>
    </row>
    <row r="2247" ht="14.25" customHeight="1">
      <c r="A2247" s="8" t="s">
        <v>16</v>
      </c>
      <c r="B2247" s="8">
        <v>7.1</v>
      </c>
      <c r="F2247" s="4"/>
      <c r="G2247" s="4"/>
      <c r="H2247" s="4"/>
      <c r="I2247" s="15"/>
      <c r="J2247" s="4"/>
    </row>
    <row r="2248" ht="14.25" customHeight="1">
      <c r="A2248" s="8" t="s">
        <v>4449</v>
      </c>
      <c r="B2248" s="8">
        <v>7.8</v>
      </c>
      <c r="F2248" s="4"/>
      <c r="G2248" s="4"/>
      <c r="H2248" s="4"/>
      <c r="I2248" s="15"/>
      <c r="J2248" s="4"/>
    </row>
    <row r="2249" ht="14.25" customHeight="1">
      <c r="A2249" s="8" t="s">
        <v>16</v>
      </c>
      <c r="B2249" s="8">
        <v>5.9</v>
      </c>
      <c r="F2249" s="4"/>
      <c r="G2249" s="4"/>
      <c r="H2249" s="4"/>
      <c r="I2249" s="15"/>
      <c r="J2249" s="4"/>
    </row>
    <row r="2250" ht="14.25" customHeight="1">
      <c r="A2250" s="8" t="s">
        <v>16</v>
      </c>
      <c r="B2250" s="8">
        <v>7.2</v>
      </c>
      <c r="F2250" s="4"/>
      <c r="G2250" s="4"/>
      <c r="H2250" s="4"/>
      <c r="I2250" s="15"/>
      <c r="J2250" s="4"/>
    </row>
    <row r="2251" ht="14.25" customHeight="1">
      <c r="A2251" s="8" t="s">
        <v>16</v>
      </c>
      <c r="B2251" s="8">
        <v>6.2</v>
      </c>
      <c r="F2251" s="4"/>
      <c r="G2251" s="4"/>
      <c r="H2251" s="4"/>
      <c r="I2251" s="15"/>
      <c r="J2251" s="4"/>
    </row>
    <row r="2252" ht="14.25" customHeight="1">
      <c r="A2252" s="8" t="s">
        <v>16</v>
      </c>
      <c r="B2252" s="8">
        <v>6.7</v>
      </c>
      <c r="F2252" s="4"/>
      <c r="G2252" s="4"/>
      <c r="H2252" s="4"/>
      <c r="I2252" s="15"/>
      <c r="J2252" s="4"/>
    </row>
    <row r="2253" ht="14.25" customHeight="1">
      <c r="A2253" s="8" t="s">
        <v>16</v>
      </c>
      <c r="B2253" s="8">
        <v>7.6</v>
      </c>
      <c r="F2253" s="4"/>
      <c r="G2253" s="4"/>
      <c r="H2253" s="4"/>
      <c r="I2253" s="15"/>
      <c r="J2253" s="4"/>
    </row>
    <row r="2254" ht="14.25" customHeight="1">
      <c r="A2254" s="8" t="s">
        <v>16</v>
      </c>
      <c r="B2254" s="8">
        <v>6.2</v>
      </c>
      <c r="F2254" s="4"/>
      <c r="G2254" s="4"/>
      <c r="H2254" s="4"/>
      <c r="I2254" s="15"/>
      <c r="J2254" s="4"/>
    </row>
    <row r="2255" ht="14.25" customHeight="1">
      <c r="A2255" s="8" t="s">
        <v>16</v>
      </c>
      <c r="B2255" s="8">
        <v>6.5</v>
      </c>
      <c r="F2255" s="4"/>
      <c r="G2255" s="4"/>
      <c r="H2255" s="4"/>
      <c r="I2255" s="15"/>
      <c r="J2255" s="4"/>
    </row>
    <row r="2256" ht="14.25" customHeight="1">
      <c r="A2256" s="8" t="s">
        <v>16</v>
      </c>
      <c r="B2256" s="8">
        <v>8.1</v>
      </c>
      <c r="F2256" s="4"/>
      <c r="G2256" s="4"/>
      <c r="H2256" s="4"/>
      <c r="I2256" s="15"/>
      <c r="J2256" s="4"/>
    </row>
    <row r="2257" ht="14.25" customHeight="1">
      <c r="A2257" s="8" t="s">
        <v>16</v>
      </c>
      <c r="B2257" s="8">
        <v>6.3</v>
      </c>
      <c r="F2257" s="4"/>
      <c r="G2257" s="4"/>
      <c r="H2257" s="4"/>
      <c r="I2257" s="15"/>
      <c r="J2257" s="4"/>
    </row>
    <row r="2258" ht="14.25" customHeight="1">
      <c r="A2258" s="8" t="s">
        <v>16</v>
      </c>
      <c r="B2258" s="8">
        <v>4.4</v>
      </c>
      <c r="F2258" s="4"/>
      <c r="G2258" s="4"/>
      <c r="H2258" s="4"/>
      <c r="I2258" s="15"/>
      <c r="J2258" s="4"/>
    </row>
    <row r="2259" ht="14.25" customHeight="1">
      <c r="A2259" s="8" t="s">
        <v>16</v>
      </c>
      <c r="B2259" s="8">
        <v>6.0</v>
      </c>
      <c r="F2259" s="4"/>
      <c r="G2259" s="4"/>
      <c r="H2259" s="4"/>
      <c r="I2259" s="15"/>
      <c r="J2259" s="4"/>
    </row>
    <row r="2260" ht="14.25" customHeight="1">
      <c r="A2260" s="8" t="s">
        <v>16</v>
      </c>
      <c r="B2260" s="8">
        <v>7.6</v>
      </c>
      <c r="F2260" s="4"/>
      <c r="G2260" s="4"/>
      <c r="H2260" s="4"/>
      <c r="I2260" s="15"/>
      <c r="J2260" s="4"/>
    </row>
    <row r="2261" ht="14.25" customHeight="1">
      <c r="A2261" s="8" t="s">
        <v>16</v>
      </c>
      <c r="B2261" s="8">
        <v>8.4</v>
      </c>
      <c r="F2261" s="4"/>
      <c r="G2261" s="4"/>
      <c r="H2261" s="4"/>
      <c r="I2261" s="15"/>
      <c r="J2261" s="4"/>
    </row>
    <row r="2262" ht="14.25" customHeight="1">
      <c r="A2262" s="8" t="s">
        <v>16</v>
      </c>
      <c r="B2262" s="8">
        <v>7.9</v>
      </c>
      <c r="F2262" s="4"/>
      <c r="G2262" s="4"/>
      <c r="H2262" s="4"/>
      <c r="I2262" s="15"/>
      <c r="J2262" s="4"/>
    </row>
    <row r="2263" ht="14.25" customHeight="1">
      <c r="A2263" s="8" t="s">
        <v>16</v>
      </c>
      <c r="B2263" s="8">
        <v>5.6</v>
      </c>
      <c r="F2263" s="4"/>
      <c r="G2263" s="4"/>
      <c r="H2263" s="4"/>
      <c r="I2263" s="15"/>
      <c r="J2263" s="4"/>
    </row>
    <row r="2264" ht="14.25" customHeight="1">
      <c r="A2264" s="8" t="s">
        <v>16</v>
      </c>
      <c r="B2264" s="8">
        <v>6.5</v>
      </c>
      <c r="F2264" s="4"/>
      <c r="G2264" s="4"/>
      <c r="H2264" s="4"/>
      <c r="I2264" s="15"/>
      <c r="J2264" s="4"/>
    </row>
    <row r="2265" ht="14.25" customHeight="1">
      <c r="A2265" s="8" t="s">
        <v>16</v>
      </c>
      <c r="B2265" s="8">
        <v>7.5</v>
      </c>
      <c r="F2265" s="4"/>
      <c r="G2265" s="4"/>
      <c r="H2265" s="4"/>
      <c r="I2265" s="15"/>
      <c r="J2265" s="4"/>
    </row>
    <row r="2266" ht="14.25" customHeight="1">
      <c r="A2266" s="8" t="s">
        <v>16</v>
      </c>
      <c r="B2266" s="8">
        <v>6.3</v>
      </c>
      <c r="F2266" s="4"/>
      <c r="G2266" s="4"/>
      <c r="H2266" s="4"/>
      <c r="I2266" s="15"/>
      <c r="J2266" s="4"/>
    </row>
    <row r="2267" ht="14.25" customHeight="1">
      <c r="A2267" s="8" t="s">
        <v>16</v>
      </c>
      <c r="B2267" s="8">
        <v>7.9</v>
      </c>
      <c r="F2267" s="4"/>
      <c r="G2267" s="4"/>
      <c r="H2267" s="4"/>
      <c r="I2267" s="15"/>
      <c r="J2267" s="4"/>
    </row>
    <row r="2268" ht="14.25" customHeight="1">
      <c r="A2268" s="8" t="s">
        <v>16</v>
      </c>
      <c r="B2268" s="8">
        <v>5.1</v>
      </c>
      <c r="F2268" s="4"/>
      <c r="G2268" s="4"/>
      <c r="H2268" s="4"/>
      <c r="I2268" s="15"/>
      <c r="J2268" s="4"/>
    </row>
    <row r="2269" ht="14.25" customHeight="1">
      <c r="A2269" s="8" t="s">
        <v>16</v>
      </c>
      <c r="B2269" s="8">
        <v>6.7</v>
      </c>
      <c r="F2269" s="4"/>
      <c r="G2269" s="4"/>
      <c r="H2269" s="4"/>
      <c r="I2269" s="15"/>
      <c r="J2269" s="4"/>
    </row>
    <row r="2270" ht="14.25" customHeight="1">
      <c r="A2270" s="8" t="s">
        <v>16</v>
      </c>
      <c r="B2270" s="8">
        <v>6.7</v>
      </c>
      <c r="F2270" s="4"/>
      <c r="G2270" s="4"/>
      <c r="H2270" s="4"/>
      <c r="I2270" s="15"/>
      <c r="J2270" s="4"/>
    </row>
    <row r="2271" ht="14.25" customHeight="1">
      <c r="A2271" s="8" t="s">
        <v>16</v>
      </c>
      <c r="B2271" s="8">
        <v>5.6</v>
      </c>
      <c r="F2271" s="4"/>
      <c r="G2271" s="4"/>
      <c r="H2271" s="4"/>
      <c r="I2271" s="15"/>
      <c r="J2271" s="4"/>
    </row>
    <row r="2272" ht="14.25" customHeight="1">
      <c r="A2272" s="8" t="s">
        <v>16</v>
      </c>
      <c r="B2272" s="8">
        <v>5.6</v>
      </c>
      <c r="F2272" s="4"/>
      <c r="G2272" s="4"/>
      <c r="H2272" s="4"/>
      <c r="I2272" s="15"/>
      <c r="J2272" s="4"/>
    </row>
    <row r="2273" ht="14.25" customHeight="1">
      <c r="A2273" s="8" t="s">
        <v>16</v>
      </c>
      <c r="B2273" s="8">
        <v>6.8</v>
      </c>
      <c r="F2273" s="4"/>
      <c r="G2273" s="4"/>
      <c r="H2273" s="4"/>
      <c r="I2273" s="15"/>
      <c r="J2273" s="4"/>
    </row>
    <row r="2274" ht="14.25" customHeight="1">
      <c r="A2274" s="8" t="s">
        <v>16</v>
      </c>
      <c r="B2274" s="8">
        <v>6.2</v>
      </c>
      <c r="F2274" s="4"/>
      <c r="G2274" s="4"/>
      <c r="H2274" s="4"/>
      <c r="I2274" s="15"/>
      <c r="J2274" s="4"/>
    </row>
    <row r="2275" ht="14.25" customHeight="1">
      <c r="A2275" s="8" t="s">
        <v>16</v>
      </c>
      <c r="B2275" s="8">
        <v>5.6</v>
      </c>
      <c r="F2275" s="4"/>
      <c r="G2275" s="4"/>
      <c r="H2275" s="4"/>
      <c r="I2275" s="15"/>
      <c r="J2275" s="4"/>
    </row>
    <row r="2276" ht="14.25" customHeight="1">
      <c r="A2276" s="8" t="s">
        <v>16</v>
      </c>
      <c r="B2276" s="8">
        <v>6.4</v>
      </c>
      <c r="F2276" s="4"/>
      <c r="G2276" s="4"/>
      <c r="H2276" s="4"/>
      <c r="I2276" s="15"/>
      <c r="J2276" s="4"/>
    </row>
    <row r="2277" ht="14.25" customHeight="1">
      <c r="A2277" s="8" t="s">
        <v>16</v>
      </c>
      <c r="B2277" s="8">
        <v>5.6</v>
      </c>
      <c r="F2277" s="4"/>
      <c r="G2277" s="4"/>
      <c r="H2277" s="4"/>
      <c r="I2277" s="15"/>
      <c r="J2277" s="4"/>
    </row>
    <row r="2278" ht="14.25" customHeight="1">
      <c r="A2278" s="8" t="s">
        <v>16</v>
      </c>
      <c r="B2278" s="8">
        <v>7.4</v>
      </c>
      <c r="F2278" s="4"/>
      <c r="G2278" s="4"/>
      <c r="H2278" s="4"/>
      <c r="I2278" s="15"/>
      <c r="J2278" s="4"/>
    </row>
    <row r="2279" ht="14.25" customHeight="1">
      <c r="A2279" s="8" t="s">
        <v>16</v>
      </c>
      <c r="B2279" s="8">
        <v>7.2</v>
      </c>
      <c r="F2279" s="4"/>
      <c r="G2279" s="4"/>
      <c r="H2279" s="4"/>
      <c r="I2279" s="15"/>
      <c r="J2279" s="4"/>
    </row>
    <row r="2280" ht="14.25" customHeight="1">
      <c r="A2280" s="8" t="s">
        <v>16</v>
      </c>
      <c r="B2280" s="8">
        <v>4.9</v>
      </c>
      <c r="F2280" s="4"/>
      <c r="G2280" s="4"/>
      <c r="H2280" s="4"/>
      <c r="I2280" s="15"/>
      <c r="J2280" s="4"/>
    </row>
    <row r="2281" ht="14.25" customHeight="1">
      <c r="A2281" s="8" t="s">
        <v>16</v>
      </c>
      <c r="B2281" s="8">
        <v>7.5</v>
      </c>
      <c r="F2281" s="4"/>
      <c r="G2281" s="4"/>
      <c r="H2281" s="4"/>
      <c r="I2281" s="15"/>
      <c r="J2281" s="4"/>
    </row>
    <row r="2282" ht="14.25" customHeight="1">
      <c r="A2282" s="8" t="s">
        <v>16</v>
      </c>
      <c r="B2282" s="8">
        <v>4.8</v>
      </c>
      <c r="F2282" s="4"/>
      <c r="G2282" s="4"/>
      <c r="H2282" s="4"/>
      <c r="I2282" s="15"/>
      <c r="J2282" s="4"/>
    </row>
    <row r="2283" ht="14.25" customHeight="1">
      <c r="A2283" s="8" t="s">
        <v>16</v>
      </c>
      <c r="B2283" s="8">
        <v>3.1</v>
      </c>
      <c r="F2283" s="4"/>
      <c r="G2283" s="4"/>
      <c r="H2283" s="4"/>
      <c r="I2283" s="15"/>
      <c r="J2283" s="4"/>
    </row>
    <row r="2284" ht="14.25" customHeight="1">
      <c r="A2284" s="8" t="s">
        <v>16</v>
      </c>
      <c r="B2284" s="8">
        <v>5.8</v>
      </c>
      <c r="F2284" s="4"/>
      <c r="G2284" s="4"/>
      <c r="H2284" s="4"/>
      <c r="I2284" s="15"/>
      <c r="J2284" s="4"/>
    </row>
    <row r="2285" ht="14.25" customHeight="1">
      <c r="A2285" s="8" t="s">
        <v>16</v>
      </c>
      <c r="B2285" s="8">
        <v>6.7</v>
      </c>
      <c r="F2285" s="4"/>
      <c r="G2285" s="4"/>
      <c r="H2285" s="4"/>
      <c r="I2285" s="15"/>
      <c r="J2285" s="4"/>
    </row>
    <row r="2286" ht="14.25" customHeight="1">
      <c r="A2286" s="8" t="s">
        <v>16</v>
      </c>
      <c r="B2286" s="8">
        <v>6.5</v>
      </c>
      <c r="F2286" s="4"/>
      <c r="G2286" s="4"/>
      <c r="H2286" s="4"/>
      <c r="I2286" s="15"/>
      <c r="J2286" s="4"/>
    </row>
    <row r="2287" ht="14.25" customHeight="1">
      <c r="A2287" s="8" t="s">
        <v>16</v>
      </c>
      <c r="B2287" s="8">
        <v>5.9</v>
      </c>
      <c r="F2287" s="4"/>
      <c r="G2287" s="4"/>
      <c r="H2287" s="4"/>
      <c r="I2287" s="15"/>
      <c r="J2287" s="4"/>
    </row>
    <row r="2288" ht="14.25" customHeight="1">
      <c r="A2288" s="8" t="s">
        <v>16</v>
      </c>
      <c r="B2288" s="8">
        <v>5.5</v>
      </c>
      <c r="F2288" s="4"/>
      <c r="G2288" s="4"/>
      <c r="H2288" s="4"/>
      <c r="I2288" s="15"/>
      <c r="J2288" s="4"/>
    </row>
    <row r="2289" ht="14.25" customHeight="1">
      <c r="A2289" s="8" t="s">
        <v>16</v>
      </c>
      <c r="B2289" s="8">
        <v>3.6</v>
      </c>
      <c r="F2289" s="4"/>
      <c r="G2289" s="4"/>
      <c r="H2289" s="4"/>
      <c r="I2289" s="15"/>
      <c r="J2289" s="4"/>
    </row>
    <row r="2290" ht="14.25" customHeight="1">
      <c r="A2290" s="8" t="s">
        <v>16</v>
      </c>
      <c r="B2290" s="8">
        <v>7.4</v>
      </c>
      <c r="F2290" s="4"/>
      <c r="G2290" s="4"/>
      <c r="H2290" s="4"/>
      <c r="I2290" s="15"/>
      <c r="J2290" s="4"/>
    </row>
    <row r="2291" ht="14.25" customHeight="1">
      <c r="A2291" s="8" t="s">
        <v>16</v>
      </c>
      <c r="B2291" s="8">
        <v>3.0</v>
      </c>
      <c r="F2291" s="4"/>
      <c r="G2291" s="4"/>
      <c r="H2291" s="4"/>
      <c r="I2291" s="15"/>
      <c r="J2291" s="4"/>
    </row>
    <row r="2292" ht="14.25" customHeight="1">
      <c r="A2292" s="8" t="s">
        <v>16</v>
      </c>
      <c r="B2292" s="8">
        <v>7.6</v>
      </c>
      <c r="F2292" s="4"/>
      <c r="G2292" s="4"/>
      <c r="H2292" s="4"/>
      <c r="I2292" s="15"/>
      <c r="J2292" s="4"/>
    </row>
    <row r="2293" ht="14.25" customHeight="1">
      <c r="A2293" s="8" t="s">
        <v>16</v>
      </c>
      <c r="B2293" s="8">
        <v>6.4</v>
      </c>
      <c r="F2293" s="4"/>
      <c r="G2293" s="4"/>
      <c r="H2293" s="4"/>
      <c r="I2293" s="15"/>
      <c r="J2293" s="4"/>
    </row>
    <row r="2294" ht="14.25" customHeight="1">
      <c r="A2294" s="8" t="s">
        <v>16</v>
      </c>
      <c r="B2294" s="8">
        <v>6.9</v>
      </c>
      <c r="F2294" s="4"/>
      <c r="G2294" s="4"/>
      <c r="H2294" s="4"/>
      <c r="I2294" s="15"/>
      <c r="J2294" s="4"/>
    </row>
    <row r="2295" ht="14.25" customHeight="1">
      <c r="A2295" s="8" t="s">
        <v>16</v>
      </c>
      <c r="B2295" s="8">
        <v>6.6</v>
      </c>
      <c r="F2295" s="4"/>
      <c r="G2295" s="4"/>
      <c r="H2295" s="4"/>
      <c r="I2295" s="15"/>
      <c r="J2295" s="4"/>
    </row>
    <row r="2296" ht="14.25" customHeight="1">
      <c r="A2296" s="8" t="s">
        <v>16</v>
      </c>
      <c r="B2296" s="8">
        <v>5.5</v>
      </c>
      <c r="F2296" s="4"/>
      <c r="G2296" s="4"/>
      <c r="H2296" s="4"/>
      <c r="I2296" s="15"/>
      <c r="J2296" s="4"/>
    </row>
    <row r="2297" ht="14.25" customHeight="1">
      <c r="A2297" s="8" t="s">
        <v>16</v>
      </c>
      <c r="B2297" s="8">
        <v>4.1</v>
      </c>
      <c r="F2297" s="4"/>
      <c r="G2297" s="4"/>
      <c r="H2297" s="4"/>
      <c r="I2297" s="15"/>
      <c r="J2297" s="4"/>
    </row>
    <row r="2298" ht="14.25" customHeight="1">
      <c r="A2298" s="8" t="s">
        <v>16</v>
      </c>
      <c r="B2298" s="8">
        <v>6.8</v>
      </c>
      <c r="F2298" s="4"/>
      <c r="G2298" s="4"/>
      <c r="H2298" s="4"/>
      <c r="I2298" s="15"/>
      <c r="J2298" s="4"/>
    </row>
    <row r="2299" ht="14.25" customHeight="1">
      <c r="A2299" s="8" t="s">
        <v>16</v>
      </c>
      <c r="B2299" s="8">
        <v>6.5</v>
      </c>
      <c r="F2299" s="4"/>
      <c r="G2299" s="4"/>
      <c r="H2299" s="4"/>
      <c r="I2299" s="15"/>
      <c r="J2299" s="4"/>
    </row>
    <row r="2300" ht="14.25" customHeight="1">
      <c r="A2300" s="8" t="s">
        <v>16</v>
      </c>
      <c r="B2300" s="8">
        <v>7.4</v>
      </c>
      <c r="F2300" s="4"/>
      <c r="G2300" s="4"/>
      <c r="H2300" s="4"/>
      <c r="I2300" s="15"/>
      <c r="J2300" s="4"/>
    </row>
    <row r="2301" ht="14.25" customHeight="1">
      <c r="A2301" s="8" t="s">
        <v>16</v>
      </c>
      <c r="B2301" s="8">
        <v>7.7</v>
      </c>
      <c r="F2301" s="4"/>
      <c r="G2301" s="4"/>
      <c r="H2301" s="4"/>
      <c r="I2301" s="15"/>
      <c r="J2301" s="4"/>
    </row>
    <row r="2302" ht="14.25" customHeight="1">
      <c r="A2302" s="8" t="s">
        <v>16</v>
      </c>
      <c r="B2302" s="8">
        <v>7.1</v>
      </c>
      <c r="F2302" s="4"/>
      <c r="G2302" s="4"/>
      <c r="H2302" s="4"/>
      <c r="I2302" s="15"/>
      <c r="J2302" s="4"/>
    </row>
    <row r="2303" ht="14.25" customHeight="1">
      <c r="A2303" s="8" t="s">
        <v>16</v>
      </c>
      <c r="B2303" s="8">
        <v>6.3</v>
      </c>
      <c r="F2303" s="4"/>
      <c r="G2303" s="4"/>
      <c r="H2303" s="4"/>
      <c r="I2303" s="15"/>
      <c r="J2303" s="4"/>
    </row>
    <row r="2304" ht="14.25" customHeight="1">
      <c r="A2304" s="8" t="s">
        <v>16</v>
      </c>
      <c r="B2304" s="8">
        <v>7.6</v>
      </c>
      <c r="F2304" s="4"/>
      <c r="G2304" s="4"/>
      <c r="H2304" s="4"/>
      <c r="I2304" s="15"/>
      <c r="J2304" s="4"/>
    </row>
    <row r="2305" ht="14.25" customHeight="1">
      <c r="A2305" s="8" t="s">
        <v>16</v>
      </c>
      <c r="B2305" s="8">
        <v>8.0</v>
      </c>
      <c r="F2305" s="4"/>
      <c r="G2305" s="4"/>
      <c r="H2305" s="4"/>
      <c r="I2305" s="15"/>
      <c r="J2305" s="4"/>
    </row>
    <row r="2306" ht="14.25" customHeight="1">
      <c r="A2306" s="8" t="s">
        <v>16</v>
      </c>
      <c r="B2306" s="8">
        <v>7.3</v>
      </c>
      <c r="F2306" s="4"/>
      <c r="G2306" s="4"/>
      <c r="H2306" s="4"/>
      <c r="I2306" s="15"/>
      <c r="J2306" s="4"/>
    </row>
    <row r="2307" ht="14.25" customHeight="1">
      <c r="A2307" s="8" t="s">
        <v>16</v>
      </c>
      <c r="B2307" s="8">
        <v>7.6</v>
      </c>
      <c r="F2307" s="4"/>
      <c r="G2307" s="4"/>
      <c r="H2307" s="4"/>
      <c r="I2307" s="15"/>
      <c r="J2307" s="4"/>
    </row>
    <row r="2308" ht="14.25" customHeight="1">
      <c r="A2308" s="8" t="s">
        <v>16</v>
      </c>
      <c r="B2308" s="8">
        <v>7.8</v>
      </c>
      <c r="F2308" s="4"/>
      <c r="G2308" s="4"/>
      <c r="H2308" s="4"/>
      <c r="I2308" s="15"/>
      <c r="J2308" s="4"/>
    </row>
    <row r="2309" ht="14.25" customHeight="1">
      <c r="A2309" s="8" t="s">
        <v>16</v>
      </c>
      <c r="B2309" s="8">
        <v>6.5</v>
      </c>
      <c r="F2309" s="4"/>
      <c r="G2309" s="4"/>
      <c r="H2309" s="4"/>
      <c r="I2309" s="15"/>
      <c r="J2309" s="4"/>
    </row>
    <row r="2310" ht="14.25" customHeight="1">
      <c r="A2310" s="8" t="s">
        <v>16</v>
      </c>
      <c r="B2310" s="8">
        <v>6.4</v>
      </c>
      <c r="F2310" s="4"/>
      <c r="G2310" s="4"/>
      <c r="H2310" s="4"/>
      <c r="I2310" s="15"/>
      <c r="J2310" s="4"/>
    </row>
    <row r="2311" ht="14.25" customHeight="1">
      <c r="A2311" s="8" t="s">
        <v>16</v>
      </c>
      <c r="B2311" s="8">
        <v>8.0</v>
      </c>
      <c r="F2311" s="4"/>
      <c r="G2311" s="4"/>
      <c r="H2311" s="4"/>
      <c r="I2311" s="15"/>
      <c r="J2311" s="4"/>
    </row>
    <row r="2312" ht="14.25" customHeight="1">
      <c r="A2312" s="8" t="s">
        <v>16</v>
      </c>
      <c r="B2312" s="8">
        <v>4.8</v>
      </c>
      <c r="F2312" s="4"/>
      <c r="G2312" s="4"/>
      <c r="H2312" s="4"/>
      <c r="I2312" s="15"/>
      <c r="J2312" s="4"/>
    </row>
    <row r="2313" ht="14.25" customHeight="1">
      <c r="A2313" s="8" t="s">
        <v>16</v>
      </c>
      <c r="B2313" s="8">
        <v>7.8</v>
      </c>
      <c r="F2313" s="4"/>
      <c r="G2313" s="4"/>
      <c r="H2313" s="4"/>
      <c r="I2313" s="15"/>
      <c r="J2313" s="4"/>
    </row>
    <row r="2314" ht="14.25" customHeight="1">
      <c r="A2314" s="8" t="s">
        <v>16</v>
      </c>
      <c r="B2314" s="8">
        <v>5.9</v>
      </c>
      <c r="F2314" s="4"/>
      <c r="G2314" s="4"/>
      <c r="H2314" s="4"/>
      <c r="I2314" s="15"/>
      <c r="J2314" s="4"/>
    </row>
    <row r="2315" ht="14.25" customHeight="1">
      <c r="A2315" s="8" t="s">
        <v>16</v>
      </c>
      <c r="B2315" s="8">
        <v>5.4</v>
      </c>
      <c r="F2315" s="4"/>
      <c r="G2315" s="4"/>
      <c r="H2315" s="4"/>
      <c r="I2315" s="15"/>
      <c r="J2315" s="4"/>
    </row>
    <row r="2316" ht="14.25" customHeight="1">
      <c r="A2316" s="8" t="s">
        <v>16</v>
      </c>
      <c r="B2316" s="8">
        <v>3.3</v>
      </c>
      <c r="F2316" s="4"/>
      <c r="G2316" s="4"/>
      <c r="H2316" s="4"/>
      <c r="I2316" s="15"/>
      <c r="J2316" s="4"/>
    </row>
    <row r="2317" ht="14.25" customHeight="1">
      <c r="A2317" s="8" t="s">
        <v>1144</v>
      </c>
      <c r="B2317" s="8">
        <v>8.2</v>
      </c>
      <c r="F2317" s="4"/>
      <c r="G2317" s="4"/>
      <c r="H2317" s="4"/>
      <c r="I2317" s="15"/>
      <c r="J2317" s="4"/>
    </row>
    <row r="2318" ht="14.25" customHeight="1">
      <c r="A2318" s="8" t="s">
        <v>16</v>
      </c>
      <c r="B2318" s="8">
        <v>5.4</v>
      </c>
      <c r="F2318" s="4"/>
      <c r="G2318" s="4"/>
      <c r="H2318" s="4"/>
      <c r="I2318" s="15"/>
      <c r="J2318" s="4"/>
    </row>
    <row r="2319" ht="14.25" customHeight="1">
      <c r="A2319" s="8" t="s">
        <v>16</v>
      </c>
      <c r="B2319" s="8">
        <v>6.4</v>
      </c>
      <c r="F2319" s="4"/>
      <c r="G2319" s="4"/>
      <c r="H2319" s="4"/>
      <c r="I2319" s="15"/>
      <c r="J2319" s="4"/>
    </row>
    <row r="2320" ht="14.25" customHeight="1">
      <c r="A2320" s="8" t="s">
        <v>16</v>
      </c>
      <c r="B2320" s="8">
        <v>4.8</v>
      </c>
      <c r="F2320" s="4"/>
      <c r="G2320" s="4"/>
      <c r="H2320" s="4"/>
      <c r="I2320" s="15"/>
      <c r="J2320" s="4"/>
    </row>
    <row r="2321" ht="14.25" customHeight="1">
      <c r="A2321" s="8" t="s">
        <v>16</v>
      </c>
      <c r="B2321" s="8">
        <v>5.9</v>
      </c>
      <c r="F2321" s="4"/>
      <c r="G2321" s="4"/>
      <c r="H2321" s="4"/>
      <c r="I2321" s="15"/>
      <c r="J2321" s="4"/>
    </row>
    <row r="2322" ht="14.25" customHeight="1">
      <c r="A2322" s="8" t="s">
        <v>16</v>
      </c>
      <c r="B2322" s="8">
        <v>5.5</v>
      </c>
      <c r="F2322" s="4"/>
      <c r="G2322" s="4"/>
      <c r="H2322" s="4"/>
      <c r="I2322" s="15"/>
      <c r="J2322" s="4"/>
    </row>
    <row r="2323" ht="14.25" customHeight="1">
      <c r="A2323" s="8" t="s">
        <v>16</v>
      </c>
      <c r="B2323" s="8">
        <v>7.9</v>
      </c>
      <c r="F2323" s="4"/>
      <c r="G2323" s="4"/>
      <c r="H2323" s="4"/>
      <c r="I2323" s="15"/>
      <c r="J2323" s="4"/>
    </row>
    <row r="2324" ht="14.25" customHeight="1">
      <c r="A2324" s="8" t="s">
        <v>16</v>
      </c>
      <c r="B2324" s="8">
        <v>4.9</v>
      </c>
      <c r="F2324" s="4"/>
      <c r="G2324" s="4"/>
      <c r="H2324" s="4"/>
      <c r="I2324" s="15"/>
      <c r="J2324" s="4"/>
    </row>
    <row r="2325" ht="14.25" customHeight="1">
      <c r="A2325" s="8" t="s">
        <v>16</v>
      </c>
      <c r="B2325" s="8">
        <v>7.2</v>
      </c>
      <c r="F2325" s="4"/>
      <c r="G2325" s="4"/>
      <c r="H2325" s="4"/>
      <c r="I2325" s="15"/>
      <c r="J2325" s="4"/>
    </row>
    <row r="2326" ht="14.25" customHeight="1">
      <c r="A2326" s="8" t="s">
        <v>16</v>
      </c>
      <c r="B2326" s="8">
        <v>5.3</v>
      </c>
      <c r="F2326" s="4"/>
      <c r="G2326" s="4"/>
      <c r="H2326" s="4"/>
      <c r="I2326" s="15"/>
      <c r="J2326" s="4"/>
    </row>
    <row r="2327" ht="14.25" customHeight="1">
      <c r="A2327" s="8" t="s">
        <v>16</v>
      </c>
      <c r="B2327" s="8">
        <v>7.2</v>
      </c>
      <c r="F2327" s="4"/>
      <c r="G2327" s="4"/>
      <c r="H2327" s="4"/>
      <c r="I2327" s="15"/>
      <c r="J2327" s="4"/>
    </row>
    <row r="2328" ht="14.25" customHeight="1">
      <c r="A2328" s="8" t="s">
        <v>16</v>
      </c>
      <c r="B2328" s="8">
        <v>5.1</v>
      </c>
      <c r="F2328" s="4"/>
      <c r="G2328" s="4"/>
      <c r="H2328" s="4"/>
      <c r="I2328" s="15"/>
      <c r="J2328" s="4"/>
    </row>
    <row r="2329" ht="14.25" customHeight="1">
      <c r="A2329" s="8" t="s">
        <v>16</v>
      </c>
      <c r="B2329" s="8">
        <v>5.6</v>
      </c>
      <c r="F2329" s="4"/>
      <c r="G2329" s="4"/>
      <c r="H2329" s="4"/>
      <c r="I2329" s="15"/>
      <c r="J2329" s="4"/>
    </row>
    <row r="2330" ht="14.25" customHeight="1">
      <c r="A2330" s="8" t="s">
        <v>16</v>
      </c>
      <c r="B2330" s="8">
        <v>7.6</v>
      </c>
      <c r="F2330" s="4"/>
      <c r="G2330" s="4"/>
      <c r="H2330" s="4"/>
      <c r="I2330" s="15"/>
      <c r="J2330" s="4"/>
    </row>
    <row r="2331" ht="14.25" customHeight="1">
      <c r="A2331" s="8" t="s">
        <v>16</v>
      </c>
      <c r="B2331" s="8">
        <v>7.2</v>
      </c>
      <c r="F2331" s="4"/>
      <c r="G2331" s="4"/>
      <c r="H2331" s="4"/>
      <c r="I2331" s="15"/>
      <c r="J2331" s="4"/>
    </row>
    <row r="2332" ht="14.25" customHeight="1">
      <c r="A2332" s="8" t="s">
        <v>16</v>
      </c>
      <c r="B2332" s="8">
        <v>5.7</v>
      </c>
      <c r="F2332" s="4"/>
      <c r="G2332" s="4"/>
      <c r="H2332" s="4"/>
      <c r="I2332" s="15"/>
      <c r="J2332" s="4"/>
    </row>
    <row r="2333" ht="14.25" customHeight="1">
      <c r="A2333" s="8" t="s">
        <v>16</v>
      </c>
      <c r="B2333" s="8">
        <v>5.2</v>
      </c>
      <c r="F2333" s="4"/>
      <c r="G2333" s="4"/>
      <c r="H2333" s="4"/>
      <c r="I2333" s="15"/>
      <c r="J2333" s="4"/>
    </row>
    <row r="2334" ht="14.25" customHeight="1">
      <c r="A2334" s="8" t="s">
        <v>16</v>
      </c>
      <c r="B2334" s="8">
        <v>7.7</v>
      </c>
      <c r="F2334" s="4"/>
      <c r="G2334" s="4"/>
      <c r="H2334" s="4"/>
      <c r="I2334" s="15"/>
      <c r="J2334" s="4"/>
    </row>
    <row r="2335" ht="14.25" customHeight="1">
      <c r="A2335" s="8" t="s">
        <v>16</v>
      </c>
      <c r="B2335" s="8">
        <v>7.0</v>
      </c>
      <c r="F2335" s="4"/>
      <c r="G2335" s="4"/>
      <c r="H2335" s="4"/>
      <c r="I2335" s="15"/>
      <c r="J2335" s="4"/>
    </row>
    <row r="2336" ht="14.25" customHeight="1">
      <c r="A2336" s="8" t="s">
        <v>16</v>
      </c>
      <c r="B2336" s="8">
        <v>6.0</v>
      </c>
      <c r="F2336" s="4"/>
      <c r="G2336" s="4"/>
      <c r="H2336" s="4"/>
      <c r="I2336" s="15"/>
      <c r="J2336" s="4"/>
    </row>
    <row r="2337" ht="14.25" customHeight="1">
      <c r="A2337" s="8" t="s">
        <v>16</v>
      </c>
      <c r="B2337" s="8">
        <v>6.6</v>
      </c>
      <c r="F2337" s="4"/>
      <c r="G2337" s="4"/>
      <c r="H2337" s="4"/>
      <c r="I2337" s="15"/>
      <c r="J2337" s="4"/>
    </row>
    <row r="2338" ht="14.25" customHeight="1">
      <c r="A2338" s="8" t="s">
        <v>16</v>
      </c>
      <c r="B2338" s="8">
        <v>6.8</v>
      </c>
      <c r="F2338" s="4"/>
      <c r="G2338" s="4"/>
      <c r="H2338" s="4"/>
      <c r="I2338" s="15"/>
      <c r="J2338" s="4"/>
    </row>
    <row r="2339" ht="14.25" customHeight="1">
      <c r="A2339" s="8" t="s">
        <v>16</v>
      </c>
      <c r="B2339" s="8">
        <v>7.2</v>
      </c>
      <c r="F2339" s="4"/>
      <c r="G2339" s="4"/>
      <c r="H2339" s="4"/>
      <c r="I2339" s="15"/>
      <c r="J2339" s="4"/>
    </row>
    <row r="2340" ht="14.25" customHeight="1">
      <c r="A2340" s="8" t="s">
        <v>16</v>
      </c>
      <c r="B2340" s="8">
        <v>7.2</v>
      </c>
      <c r="F2340" s="4"/>
      <c r="G2340" s="4"/>
      <c r="H2340" s="4"/>
      <c r="I2340" s="15"/>
      <c r="J2340" s="4"/>
    </row>
    <row r="2341" ht="14.25" customHeight="1">
      <c r="A2341" s="8" t="s">
        <v>16</v>
      </c>
      <c r="B2341" s="8">
        <v>2.8</v>
      </c>
      <c r="F2341" s="4"/>
      <c r="G2341" s="4"/>
      <c r="H2341" s="4"/>
      <c r="I2341" s="15"/>
      <c r="J2341" s="4"/>
    </row>
    <row r="2342" ht="14.25" customHeight="1">
      <c r="A2342" s="8" t="s">
        <v>16</v>
      </c>
      <c r="B2342" s="8">
        <v>6.6</v>
      </c>
      <c r="F2342" s="4"/>
      <c r="G2342" s="4"/>
      <c r="H2342" s="4"/>
      <c r="I2342" s="15"/>
      <c r="J2342" s="4"/>
    </row>
    <row r="2343" ht="14.25" customHeight="1">
      <c r="A2343" s="8" t="s">
        <v>16</v>
      </c>
      <c r="B2343" s="8">
        <v>6.7</v>
      </c>
      <c r="F2343" s="4"/>
      <c r="G2343" s="4"/>
      <c r="H2343" s="4"/>
      <c r="I2343" s="15"/>
      <c r="J2343" s="4"/>
    </row>
    <row r="2344" ht="14.25" customHeight="1">
      <c r="A2344" s="8" t="s">
        <v>16</v>
      </c>
      <c r="B2344" s="8">
        <v>7.0</v>
      </c>
      <c r="F2344" s="4"/>
      <c r="G2344" s="4"/>
      <c r="H2344" s="4"/>
      <c r="I2344" s="15"/>
      <c r="J2344" s="4"/>
    </row>
    <row r="2345" ht="14.25" customHeight="1">
      <c r="A2345" s="8" t="s">
        <v>16</v>
      </c>
      <c r="B2345" s="8">
        <v>4.4</v>
      </c>
      <c r="F2345" s="4"/>
      <c r="G2345" s="4"/>
      <c r="H2345" s="4"/>
      <c r="I2345" s="15"/>
      <c r="J2345" s="4"/>
    </row>
    <row r="2346" ht="14.25" customHeight="1">
      <c r="A2346" s="8" t="s">
        <v>16</v>
      </c>
      <c r="B2346" s="8">
        <v>6.2</v>
      </c>
      <c r="F2346" s="4"/>
      <c r="G2346" s="4"/>
      <c r="H2346" s="4"/>
      <c r="I2346" s="15"/>
      <c r="J2346" s="4"/>
    </row>
    <row r="2347" ht="14.25" customHeight="1">
      <c r="A2347" s="8" t="s">
        <v>16</v>
      </c>
      <c r="B2347" s="8">
        <v>7.3</v>
      </c>
      <c r="F2347" s="4"/>
      <c r="G2347" s="4"/>
      <c r="H2347" s="4"/>
      <c r="I2347" s="15"/>
      <c r="J2347" s="4"/>
    </row>
    <row r="2348" ht="14.25" customHeight="1">
      <c r="A2348" s="8" t="s">
        <v>16</v>
      </c>
      <c r="B2348" s="8">
        <v>5.1</v>
      </c>
      <c r="F2348" s="4"/>
      <c r="G2348" s="4"/>
      <c r="H2348" s="4"/>
      <c r="I2348" s="15"/>
      <c r="J2348" s="4"/>
    </row>
    <row r="2349" ht="14.25" customHeight="1">
      <c r="A2349" s="8" t="s">
        <v>16</v>
      </c>
      <c r="B2349" s="8">
        <v>6.6</v>
      </c>
      <c r="F2349" s="4"/>
      <c r="G2349" s="4"/>
      <c r="H2349" s="4"/>
      <c r="I2349" s="15"/>
      <c r="J2349" s="4"/>
    </row>
    <row r="2350" ht="14.25" customHeight="1">
      <c r="A2350" s="8" t="s">
        <v>16</v>
      </c>
      <c r="B2350" s="8">
        <v>4.5</v>
      </c>
      <c r="F2350" s="4"/>
      <c r="G2350" s="4"/>
      <c r="H2350" s="4"/>
      <c r="I2350" s="15"/>
      <c r="J2350" s="4"/>
    </row>
    <row r="2351" ht="14.25" customHeight="1">
      <c r="A2351" s="8" t="s">
        <v>16</v>
      </c>
      <c r="B2351" s="8">
        <v>5.9</v>
      </c>
      <c r="F2351" s="4"/>
      <c r="G2351" s="4"/>
      <c r="H2351" s="4"/>
      <c r="I2351" s="15"/>
      <c r="J2351" s="4"/>
    </row>
    <row r="2352" ht="14.25" customHeight="1">
      <c r="A2352" s="8" t="s">
        <v>1189</v>
      </c>
      <c r="B2352" s="8">
        <v>6.6</v>
      </c>
      <c r="F2352" s="4"/>
      <c r="G2352" s="4"/>
      <c r="H2352" s="4"/>
      <c r="I2352" s="15"/>
      <c r="J2352" s="4"/>
    </row>
    <row r="2353" ht="14.25" customHeight="1">
      <c r="A2353" s="8" t="s">
        <v>16</v>
      </c>
      <c r="B2353" s="8">
        <v>6.5</v>
      </c>
      <c r="F2353" s="4"/>
      <c r="G2353" s="4"/>
      <c r="H2353" s="4"/>
      <c r="I2353" s="15"/>
      <c r="J2353" s="4"/>
    </row>
    <row r="2354" ht="14.25" customHeight="1">
      <c r="A2354" s="8" t="s">
        <v>16</v>
      </c>
      <c r="B2354" s="8">
        <v>7.3</v>
      </c>
      <c r="F2354" s="4"/>
      <c r="G2354" s="4"/>
      <c r="H2354" s="4"/>
      <c r="I2354" s="15"/>
      <c r="J2354" s="4"/>
    </row>
    <row r="2355" ht="14.25" customHeight="1">
      <c r="A2355" s="8" t="s">
        <v>16</v>
      </c>
      <c r="B2355" s="8">
        <v>7.5</v>
      </c>
      <c r="F2355" s="4"/>
      <c r="G2355" s="4"/>
      <c r="H2355" s="4"/>
      <c r="I2355" s="15"/>
      <c r="J2355" s="4"/>
    </row>
    <row r="2356" ht="14.25" customHeight="1">
      <c r="A2356" s="8" t="s">
        <v>16</v>
      </c>
      <c r="B2356" s="8">
        <v>5.9</v>
      </c>
      <c r="F2356" s="4"/>
      <c r="G2356" s="4"/>
      <c r="H2356" s="4"/>
      <c r="I2356" s="15"/>
      <c r="J2356" s="4"/>
    </row>
    <row r="2357" ht="14.25" customHeight="1">
      <c r="A2357" s="8" t="s">
        <v>16</v>
      </c>
      <c r="B2357" s="8">
        <v>7.4</v>
      </c>
      <c r="F2357" s="4"/>
      <c r="G2357" s="4"/>
      <c r="H2357" s="4"/>
      <c r="I2357" s="15"/>
      <c r="J2357" s="4"/>
    </row>
    <row r="2358" ht="14.25" customHeight="1">
      <c r="A2358" s="8" t="s">
        <v>16</v>
      </c>
      <c r="B2358" s="8">
        <v>6.9</v>
      </c>
      <c r="F2358" s="4"/>
      <c r="G2358" s="4"/>
      <c r="H2358" s="4"/>
      <c r="I2358" s="15"/>
      <c r="J2358" s="4"/>
    </row>
    <row r="2359" ht="14.25" customHeight="1">
      <c r="A2359" s="8" t="s">
        <v>816</v>
      </c>
      <c r="B2359" s="8">
        <v>7.9</v>
      </c>
      <c r="F2359" s="4"/>
      <c r="G2359" s="4"/>
      <c r="H2359" s="4"/>
      <c r="I2359" s="15"/>
      <c r="J2359" s="4"/>
    </row>
    <row r="2360" ht="14.25" customHeight="1">
      <c r="A2360" s="8" t="s">
        <v>16</v>
      </c>
      <c r="B2360" s="8">
        <v>8.4</v>
      </c>
      <c r="F2360" s="4"/>
      <c r="G2360" s="4"/>
      <c r="H2360" s="4"/>
      <c r="I2360" s="15"/>
      <c r="J2360" s="4"/>
    </row>
    <row r="2361" ht="14.25" customHeight="1">
      <c r="A2361" s="8" t="s">
        <v>16</v>
      </c>
      <c r="B2361" s="8">
        <v>8.0</v>
      </c>
      <c r="F2361" s="4"/>
      <c r="G2361" s="4"/>
      <c r="H2361" s="4"/>
      <c r="I2361" s="15"/>
      <c r="J2361" s="4"/>
    </row>
    <row r="2362" ht="14.25" customHeight="1">
      <c r="A2362" s="8" t="s">
        <v>16</v>
      </c>
      <c r="B2362" s="8">
        <v>6.0</v>
      </c>
      <c r="F2362" s="4"/>
      <c r="G2362" s="4"/>
      <c r="H2362" s="4"/>
      <c r="I2362" s="15"/>
      <c r="J2362" s="4"/>
    </row>
    <row r="2363" ht="14.25" customHeight="1">
      <c r="A2363" s="8" t="s">
        <v>16</v>
      </c>
      <c r="B2363" s="8">
        <v>6.8</v>
      </c>
      <c r="F2363" s="4"/>
      <c r="G2363" s="4"/>
      <c r="H2363" s="4"/>
      <c r="I2363" s="15"/>
      <c r="J2363" s="4"/>
    </row>
    <row r="2364" ht="14.25" customHeight="1">
      <c r="A2364" s="8" t="s">
        <v>16</v>
      </c>
      <c r="B2364" s="8">
        <v>7.8</v>
      </c>
      <c r="F2364" s="4"/>
      <c r="G2364" s="4"/>
      <c r="H2364" s="4"/>
      <c r="I2364" s="15"/>
      <c r="J2364" s="4"/>
    </row>
    <row r="2365" ht="14.25" customHeight="1">
      <c r="A2365" s="8" t="s">
        <v>16</v>
      </c>
      <c r="B2365" s="8">
        <v>8.1</v>
      </c>
      <c r="F2365" s="4"/>
      <c r="G2365" s="4"/>
      <c r="H2365" s="4"/>
      <c r="I2365" s="15"/>
      <c r="J2365" s="4"/>
    </row>
    <row r="2366" ht="14.25" customHeight="1">
      <c r="A2366" s="8" t="s">
        <v>16</v>
      </c>
      <c r="B2366" s="8">
        <v>6.1</v>
      </c>
      <c r="F2366" s="4"/>
      <c r="G2366" s="4"/>
      <c r="H2366" s="4"/>
      <c r="I2366" s="15"/>
      <c r="J2366" s="4"/>
    </row>
    <row r="2367" ht="14.25" customHeight="1">
      <c r="A2367" s="8" t="s">
        <v>16</v>
      </c>
      <c r="B2367" s="8">
        <v>6.2</v>
      </c>
      <c r="F2367" s="4"/>
      <c r="G2367" s="4"/>
      <c r="H2367" s="4"/>
      <c r="I2367" s="15"/>
      <c r="J2367" s="4"/>
    </row>
    <row r="2368" ht="14.25" customHeight="1">
      <c r="A2368" s="8" t="s">
        <v>16</v>
      </c>
      <c r="B2368" s="8">
        <v>6.2</v>
      </c>
      <c r="F2368" s="4"/>
      <c r="G2368" s="4"/>
      <c r="H2368" s="4"/>
      <c r="I2368" s="15"/>
      <c r="J2368" s="4"/>
    </row>
    <row r="2369" ht="14.25" customHeight="1">
      <c r="A2369" s="8" t="s">
        <v>16</v>
      </c>
      <c r="B2369" s="8">
        <v>7.4</v>
      </c>
      <c r="F2369" s="4"/>
      <c r="G2369" s="4"/>
      <c r="H2369" s="4"/>
      <c r="I2369" s="15"/>
      <c r="J2369" s="4"/>
    </row>
    <row r="2370" ht="14.25" customHeight="1">
      <c r="A2370" s="8" t="s">
        <v>16</v>
      </c>
      <c r="B2370" s="8">
        <v>6.6</v>
      </c>
      <c r="F2370" s="4"/>
      <c r="G2370" s="4"/>
      <c r="H2370" s="4"/>
      <c r="I2370" s="15"/>
      <c r="J2370" s="4"/>
    </row>
    <row r="2371" ht="14.25" customHeight="1">
      <c r="A2371" s="8" t="s">
        <v>16</v>
      </c>
      <c r="B2371" s="8">
        <v>7.3</v>
      </c>
      <c r="F2371" s="4"/>
      <c r="G2371" s="4"/>
      <c r="H2371" s="4"/>
      <c r="I2371" s="15"/>
      <c r="J2371" s="4"/>
    </row>
    <row r="2372" ht="14.25" customHeight="1">
      <c r="A2372" s="8" t="s">
        <v>16</v>
      </c>
      <c r="B2372" s="8">
        <v>7.5</v>
      </c>
      <c r="F2372" s="4"/>
      <c r="G2372" s="4"/>
      <c r="H2372" s="4"/>
      <c r="I2372" s="15"/>
      <c r="J2372" s="4"/>
    </row>
    <row r="2373" ht="14.25" customHeight="1">
      <c r="A2373" s="8" t="s">
        <v>16</v>
      </c>
      <c r="B2373" s="8">
        <v>5.6</v>
      </c>
      <c r="F2373" s="4"/>
      <c r="G2373" s="4"/>
      <c r="H2373" s="4"/>
      <c r="I2373" s="15"/>
      <c r="J2373" s="4"/>
    </row>
    <row r="2374" ht="14.25" customHeight="1">
      <c r="A2374" s="8" t="s">
        <v>16</v>
      </c>
      <c r="B2374" s="8">
        <v>7.3</v>
      </c>
      <c r="F2374" s="4"/>
      <c r="G2374" s="4"/>
      <c r="H2374" s="4"/>
      <c r="I2374" s="15"/>
      <c r="J2374" s="4"/>
    </row>
    <row r="2375" ht="14.25" customHeight="1">
      <c r="A2375" s="8" t="s">
        <v>16</v>
      </c>
      <c r="B2375" s="8">
        <v>6.4</v>
      </c>
      <c r="F2375" s="4"/>
      <c r="G2375" s="4"/>
      <c r="H2375" s="4"/>
      <c r="I2375" s="15"/>
      <c r="J2375" s="4"/>
    </row>
    <row r="2376" ht="14.25" customHeight="1">
      <c r="A2376" s="8" t="s">
        <v>16</v>
      </c>
      <c r="B2376" s="8">
        <v>5.0</v>
      </c>
      <c r="F2376" s="4"/>
      <c r="G2376" s="4"/>
      <c r="H2376" s="4"/>
      <c r="I2376" s="15"/>
      <c r="J2376" s="4"/>
    </row>
    <row r="2377" ht="14.25" customHeight="1">
      <c r="A2377" s="8" t="s">
        <v>16</v>
      </c>
      <c r="B2377" s="8">
        <v>5.4</v>
      </c>
      <c r="F2377" s="4"/>
      <c r="G2377" s="4"/>
      <c r="H2377" s="4"/>
      <c r="I2377" s="15"/>
      <c r="J2377" s="4"/>
    </row>
    <row r="2378" ht="14.25" customHeight="1">
      <c r="A2378" s="8" t="s">
        <v>16</v>
      </c>
      <c r="B2378" s="8">
        <v>7.1</v>
      </c>
      <c r="F2378" s="4"/>
      <c r="G2378" s="4"/>
      <c r="H2378" s="4"/>
      <c r="I2378" s="15"/>
      <c r="J2378" s="4"/>
    </row>
    <row r="2379" ht="14.25" customHeight="1">
      <c r="A2379" s="8" t="s">
        <v>16</v>
      </c>
      <c r="B2379" s="8">
        <v>5.3</v>
      </c>
      <c r="F2379" s="4"/>
      <c r="G2379" s="4"/>
      <c r="H2379" s="4"/>
      <c r="I2379" s="15"/>
      <c r="J2379" s="4"/>
    </row>
    <row r="2380" ht="14.25" customHeight="1">
      <c r="A2380" s="8" t="s">
        <v>16</v>
      </c>
      <c r="B2380" s="8">
        <v>6.5</v>
      </c>
      <c r="F2380" s="4"/>
      <c r="G2380" s="4"/>
      <c r="H2380" s="4"/>
      <c r="I2380" s="15"/>
      <c r="J2380" s="4"/>
    </row>
    <row r="2381" ht="14.25" customHeight="1">
      <c r="A2381" s="8" t="s">
        <v>16</v>
      </c>
      <c r="B2381" s="8">
        <v>6.2</v>
      </c>
      <c r="F2381" s="4"/>
      <c r="G2381" s="4"/>
      <c r="H2381" s="4"/>
      <c r="I2381" s="15"/>
      <c r="J2381" s="4"/>
    </row>
    <row r="2382" ht="14.25" customHeight="1">
      <c r="A2382" s="8" t="s">
        <v>16</v>
      </c>
      <c r="B2382" s="8">
        <v>6.4</v>
      </c>
      <c r="F2382" s="4"/>
      <c r="G2382" s="4"/>
      <c r="H2382" s="4"/>
      <c r="I2382" s="15"/>
      <c r="J2382" s="4"/>
    </row>
    <row r="2383" ht="14.25" customHeight="1">
      <c r="A2383" s="8" t="s">
        <v>16</v>
      </c>
      <c r="B2383" s="8">
        <v>6.9</v>
      </c>
      <c r="F2383" s="4"/>
      <c r="G2383" s="4"/>
      <c r="H2383" s="4"/>
      <c r="I2383" s="15"/>
      <c r="J2383" s="4"/>
    </row>
    <row r="2384" ht="14.25" customHeight="1">
      <c r="A2384" s="8" t="s">
        <v>16</v>
      </c>
      <c r="B2384" s="8">
        <v>5.7</v>
      </c>
      <c r="F2384" s="4"/>
      <c r="G2384" s="4"/>
      <c r="H2384" s="4"/>
      <c r="I2384" s="15"/>
      <c r="J2384" s="4"/>
    </row>
    <row r="2385" ht="14.25" customHeight="1">
      <c r="A2385" s="8" t="s">
        <v>16</v>
      </c>
      <c r="B2385" s="8">
        <v>7.7</v>
      </c>
      <c r="F2385" s="4"/>
      <c r="G2385" s="4"/>
      <c r="H2385" s="4"/>
      <c r="I2385" s="15"/>
      <c r="J2385" s="4"/>
    </row>
    <row r="2386" ht="14.25" customHeight="1">
      <c r="A2386" s="8" t="s">
        <v>16</v>
      </c>
      <c r="B2386" s="8">
        <v>5.4</v>
      </c>
      <c r="F2386" s="4"/>
      <c r="G2386" s="4"/>
      <c r="H2386" s="4"/>
      <c r="I2386" s="15"/>
      <c r="J2386" s="4"/>
    </row>
    <row r="2387" ht="14.25" customHeight="1">
      <c r="A2387" s="8" t="s">
        <v>16</v>
      </c>
      <c r="B2387" s="8">
        <v>5.6</v>
      </c>
      <c r="F2387" s="4"/>
      <c r="G2387" s="4"/>
      <c r="H2387" s="4"/>
      <c r="I2387" s="15"/>
      <c r="J2387" s="4"/>
    </row>
    <row r="2388" ht="14.25" customHeight="1">
      <c r="A2388" s="8" t="s">
        <v>16</v>
      </c>
      <c r="B2388" s="8">
        <v>7.7</v>
      </c>
      <c r="F2388" s="4"/>
      <c r="G2388" s="4"/>
      <c r="H2388" s="4"/>
      <c r="I2388" s="15"/>
      <c r="J2388" s="4"/>
    </row>
    <row r="2389" ht="14.25" customHeight="1">
      <c r="A2389" s="8" t="s">
        <v>16</v>
      </c>
      <c r="B2389" s="8">
        <v>5.1</v>
      </c>
      <c r="F2389" s="4"/>
      <c r="G2389" s="4"/>
      <c r="H2389" s="4"/>
      <c r="I2389" s="15"/>
      <c r="J2389" s="4"/>
    </row>
    <row r="2390" ht="14.25" customHeight="1">
      <c r="A2390" s="8" t="s">
        <v>16</v>
      </c>
      <c r="B2390" s="8">
        <v>6.8</v>
      </c>
      <c r="F2390" s="4"/>
      <c r="G2390" s="4"/>
      <c r="H2390" s="4"/>
      <c r="I2390" s="15"/>
      <c r="J2390" s="4"/>
    </row>
    <row r="2391" ht="14.25" customHeight="1">
      <c r="A2391" s="8" t="s">
        <v>16</v>
      </c>
      <c r="B2391" s="8">
        <v>8.4</v>
      </c>
      <c r="F2391" s="4"/>
      <c r="G2391" s="4"/>
      <c r="H2391" s="4"/>
      <c r="I2391" s="15"/>
      <c r="J2391" s="4"/>
    </row>
    <row r="2392" ht="14.25" customHeight="1">
      <c r="A2392" s="8" t="s">
        <v>16</v>
      </c>
      <c r="B2392" s="8">
        <v>4.9</v>
      </c>
      <c r="F2392" s="4"/>
      <c r="G2392" s="4"/>
      <c r="H2392" s="4"/>
      <c r="I2392" s="15"/>
      <c r="J2392" s="4"/>
    </row>
    <row r="2393" ht="14.25" customHeight="1">
      <c r="A2393" s="8" t="s">
        <v>16</v>
      </c>
      <c r="B2393" s="8">
        <v>7.1</v>
      </c>
      <c r="F2393" s="4"/>
      <c r="G2393" s="4"/>
      <c r="H2393" s="4"/>
      <c r="I2393" s="15"/>
      <c r="J2393" s="4"/>
    </row>
    <row r="2394" ht="14.25" customHeight="1">
      <c r="A2394" s="8" t="s">
        <v>16</v>
      </c>
      <c r="B2394" s="8">
        <v>6.6</v>
      </c>
      <c r="F2394" s="4"/>
      <c r="G2394" s="4"/>
      <c r="H2394" s="4"/>
      <c r="I2394" s="15"/>
      <c r="J2394" s="4"/>
    </row>
    <row r="2395" ht="14.25" customHeight="1">
      <c r="A2395" s="8" t="s">
        <v>16</v>
      </c>
      <c r="B2395" s="8">
        <v>6.1</v>
      </c>
      <c r="F2395" s="4"/>
      <c r="G2395" s="4"/>
      <c r="H2395" s="4"/>
      <c r="I2395" s="15"/>
      <c r="J2395" s="4"/>
    </row>
    <row r="2396" ht="14.25" customHeight="1">
      <c r="A2396" s="8" t="s">
        <v>16</v>
      </c>
      <c r="B2396" s="8">
        <v>4.1</v>
      </c>
      <c r="F2396" s="4"/>
      <c r="G2396" s="4"/>
      <c r="H2396" s="4"/>
      <c r="I2396" s="15"/>
      <c r="J2396" s="4"/>
    </row>
    <row r="2397" ht="14.25" customHeight="1">
      <c r="A2397" s="8" t="s">
        <v>16</v>
      </c>
      <c r="B2397" s="8">
        <v>5.8</v>
      </c>
      <c r="F2397" s="4"/>
      <c r="G2397" s="4"/>
      <c r="H2397" s="4"/>
      <c r="I2397" s="15"/>
      <c r="J2397" s="4"/>
    </row>
    <row r="2398" ht="14.25" customHeight="1">
      <c r="A2398" s="8" t="s">
        <v>16</v>
      </c>
      <c r="B2398" s="8">
        <v>8.1</v>
      </c>
      <c r="F2398" s="4"/>
      <c r="G2398" s="4"/>
      <c r="H2398" s="4"/>
      <c r="I2398" s="15"/>
      <c r="J2398" s="4"/>
    </row>
    <row r="2399" ht="14.25" customHeight="1">
      <c r="A2399" s="8" t="s">
        <v>16</v>
      </c>
      <c r="B2399" s="8">
        <v>7.6</v>
      </c>
      <c r="F2399" s="4"/>
      <c r="G2399" s="4"/>
      <c r="H2399" s="4"/>
      <c r="I2399" s="15"/>
      <c r="J2399" s="4"/>
    </row>
    <row r="2400" ht="14.25" customHeight="1">
      <c r="A2400" s="8" t="s">
        <v>16</v>
      </c>
      <c r="B2400" s="8">
        <v>7.8</v>
      </c>
      <c r="F2400" s="4"/>
      <c r="G2400" s="4"/>
      <c r="H2400" s="4"/>
      <c r="I2400" s="15"/>
      <c r="J2400" s="4"/>
    </row>
    <row r="2401" ht="14.25" customHeight="1">
      <c r="A2401" s="8" t="s">
        <v>16</v>
      </c>
      <c r="B2401" s="8">
        <v>4.6</v>
      </c>
      <c r="F2401" s="4"/>
      <c r="G2401" s="4"/>
      <c r="H2401" s="4"/>
      <c r="I2401" s="15"/>
      <c r="J2401" s="4"/>
    </row>
    <row r="2402" ht="14.25" customHeight="1">
      <c r="A2402" s="8" t="s">
        <v>16</v>
      </c>
      <c r="B2402" s="8">
        <v>6.0</v>
      </c>
      <c r="F2402" s="4"/>
      <c r="G2402" s="4"/>
      <c r="H2402" s="4"/>
      <c r="I2402" s="15"/>
      <c r="J2402" s="4"/>
    </row>
    <row r="2403" ht="14.25" customHeight="1">
      <c r="A2403" s="8" t="s">
        <v>16</v>
      </c>
      <c r="B2403" s="8">
        <v>7.0</v>
      </c>
      <c r="F2403" s="4"/>
      <c r="G2403" s="4"/>
      <c r="H2403" s="4"/>
      <c r="I2403" s="15"/>
      <c r="J2403" s="4"/>
    </row>
    <row r="2404" ht="14.25" customHeight="1">
      <c r="A2404" s="8" t="s">
        <v>16</v>
      </c>
      <c r="B2404" s="8">
        <v>6.7</v>
      </c>
      <c r="F2404" s="4"/>
      <c r="G2404" s="4"/>
      <c r="H2404" s="4"/>
      <c r="I2404" s="15"/>
      <c r="J2404" s="4"/>
    </row>
    <row r="2405" ht="14.25" customHeight="1">
      <c r="A2405" s="8" t="s">
        <v>16</v>
      </c>
      <c r="B2405" s="8">
        <v>6.4</v>
      </c>
      <c r="F2405" s="4"/>
      <c r="G2405" s="4"/>
      <c r="H2405" s="4"/>
      <c r="I2405" s="15"/>
      <c r="J2405" s="4"/>
    </row>
    <row r="2406" ht="14.25" customHeight="1">
      <c r="A2406" s="8" t="s">
        <v>16</v>
      </c>
      <c r="B2406" s="8">
        <v>7.2</v>
      </c>
      <c r="F2406" s="4"/>
      <c r="G2406" s="4"/>
      <c r="H2406" s="4"/>
      <c r="I2406" s="15"/>
      <c r="J2406" s="4"/>
    </row>
    <row r="2407" ht="14.25" customHeight="1">
      <c r="A2407" s="8" t="s">
        <v>16</v>
      </c>
      <c r="B2407" s="8">
        <v>7.4</v>
      </c>
      <c r="F2407" s="4"/>
      <c r="G2407" s="4"/>
      <c r="H2407" s="4"/>
      <c r="I2407" s="15"/>
      <c r="J2407" s="4"/>
    </row>
    <row r="2408" ht="14.25" customHeight="1">
      <c r="A2408" s="8" t="s">
        <v>16</v>
      </c>
      <c r="B2408" s="8">
        <v>4.8</v>
      </c>
      <c r="F2408" s="4"/>
      <c r="G2408" s="4"/>
      <c r="H2408" s="4"/>
      <c r="I2408" s="15"/>
      <c r="J2408" s="4"/>
    </row>
    <row r="2409" ht="14.25" customHeight="1">
      <c r="A2409" s="8" t="s">
        <v>16</v>
      </c>
      <c r="B2409" s="8">
        <v>4.0</v>
      </c>
      <c r="F2409" s="4"/>
      <c r="G2409" s="4"/>
      <c r="H2409" s="4"/>
      <c r="I2409" s="15"/>
      <c r="J2409" s="4"/>
    </row>
    <row r="2410" ht="14.25" customHeight="1">
      <c r="A2410" s="8" t="s">
        <v>16</v>
      </c>
      <c r="B2410" s="8">
        <v>6.2</v>
      </c>
      <c r="F2410" s="4"/>
      <c r="G2410" s="4"/>
      <c r="H2410" s="4"/>
      <c r="I2410" s="15"/>
      <c r="J2410" s="4"/>
    </row>
    <row r="2411" ht="14.25" customHeight="1">
      <c r="A2411" s="8" t="s">
        <v>16</v>
      </c>
      <c r="B2411" s="8">
        <v>7.7</v>
      </c>
      <c r="F2411" s="4"/>
      <c r="G2411" s="4"/>
      <c r="H2411" s="4"/>
      <c r="I2411" s="15"/>
      <c r="J2411" s="4"/>
    </row>
    <row r="2412" ht="14.25" customHeight="1">
      <c r="A2412" s="8" t="s">
        <v>16</v>
      </c>
      <c r="B2412" s="8">
        <v>6.7</v>
      </c>
      <c r="F2412" s="4"/>
      <c r="G2412" s="4"/>
      <c r="H2412" s="4"/>
      <c r="I2412" s="15"/>
      <c r="J2412" s="4"/>
    </row>
    <row r="2413" ht="14.25" customHeight="1">
      <c r="A2413" s="8" t="s">
        <v>16</v>
      </c>
      <c r="B2413" s="8">
        <v>7.9</v>
      </c>
      <c r="F2413" s="4"/>
      <c r="G2413" s="4"/>
      <c r="H2413" s="4"/>
      <c r="I2413" s="15"/>
      <c r="J2413" s="4"/>
    </row>
    <row r="2414" ht="14.25" customHeight="1">
      <c r="A2414" s="8" t="s">
        <v>16</v>
      </c>
      <c r="B2414" s="8">
        <v>7.9</v>
      </c>
      <c r="F2414" s="4"/>
      <c r="G2414" s="4"/>
      <c r="H2414" s="4"/>
      <c r="I2414" s="15"/>
      <c r="J2414" s="4"/>
    </row>
    <row r="2415" ht="14.25" customHeight="1">
      <c r="A2415" s="8" t="s">
        <v>16</v>
      </c>
      <c r="B2415" s="8">
        <v>5.5</v>
      </c>
      <c r="F2415" s="4"/>
      <c r="G2415" s="4"/>
      <c r="H2415" s="4"/>
      <c r="I2415" s="15"/>
      <c r="J2415" s="4"/>
    </row>
    <row r="2416" ht="14.25" customHeight="1">
      <c r="A2416" s="8" t="s">
        <v>16</v>
      </c>
      <c r="B2416" s="8">
        <v>6.2</v>
      </c>
      <c r="F2416" s="4"/>
      <c r="G2416" s="4"/>
      <c r="H2416" s="4"/>
      <c r="I2416" s="15"/>
      <c r="J2416" s="4"/>
    </row>
    <row r="2417" ht="14.25" customHeight="1">
      <c r="A2417" s="8" t="s">
        <v>16</v>
      </c>
      <c r="B2417" s="8">
        <v>5.1</v>
      </c>
      <c r="F2417" s="4"/>
      <c r="G2417" s="4"/>
      <c r="H2417" s="4"/>
      <c r="I2417" s="15"/>
      <c r="J2417" s="4"/>
    </row>
    <row r="2418" ht="14.25" customHeight="1">
      <c r="A2418" s="8" t="s">
        <v>16</v>
      </c>
      <c r="B2418" s="8">
        <v>4.1</v>
      </c>
      <c r="F2418" s="4"/>
      <c r="G2418" s="4"/>
      <c r="H2418" s="4"/>
      <c r="I2418" s="15"/>
      <c r="J2418" s="4"/>
    </row>
    <row r="2419" ht="14.25" customHeight="1">
      <c r="A2419" s="8" t="s">
        <v>16</v>
      </c>
      <c r="B2419" s="8">
        <v>6.7</v>
      </c>
      <c r="F2419" s="4"/>
      <c r="G2419" s="4"/>
      <c r="H2419" s="4"/>
      <c r="I2419" s="15"/>
      <c r="J2419" s="4"/>
    </row>
    <row r="2420" ht="14.25" customHeight="1">
      <c r="A2420" s="8" t="s">
        <v>16</v>
      </c>
      <c r="B2420" s="8">
        <v>4.7</v>
      </c>
      <c r="F2420" s="4"/>
      <c r="G2420" s="4"/>
      <c r="H2420" s="4"/>
      <c r="I2420" s="15"/>
      <c r="J2420" s="4"/>
    </row>
    <row r="2421" ht="14.25" customHeight="1">
      <c r="A2421" s="8" t="s">
        <v>16</v>
      </c>
      <c r="B2421" s="8">
        <v>6.4</v>
      </c>
      <c r="F2421" s="4"/>
      <c r="G2421" s="4"/>
      <c r="H2421" s="4"/>
      <c r="I2421" s="15"/>
      <c r="J2421" s="4"/>
    </row>
    <row r="2422" ht="14.25" customHeight="1">
      <c r="A2422" s="8" t="s">
        <v>16</v>
      </c>
      <c r="B2422" s="8">
        <v>6.3</v>
      </c>
      <c r="F2422" s="4"/>
      <c r="G2422" s="4"/>
      <c r="H2422" s="4"/>
      <c r="I2422" s="15"/>
      <c r="J2422" s="4"/>
    </row>
    <row r="2423" ht="14.25" customHeight="1">
      <c r="A2423" s="8" t="s">
        <v>16</v>
      </c>
      <c r="B2423" s="8">
        <v>5.5</v>
      </c>
      <c r="F2423" s="4"/>
      <c r="G2423" s="4"/>
      <c r="H2423" s="4"/>
      <c r="I2423" s="15"/>
      <c r="J2423" s="4"/>
    </row>
    <row r="2424" ht="14.25" customHeight="1">
      <c r="A2424" s="8" t="s">
        <v>16</v>
      </c>
      <c r="B2424" s="8">
        <v>7.3</v>
      </c>
      <c r="F2424" s="4"/>
      <c r="G2424" s="4"/>
      <c r="H2424" s="4"/>
      <c r="I2424" s="15"/>
      <c r="J2424" s="4"/>
    </row>
    <row r="2425" ht="14.25" customHeight="1">
      <c r="A2425" s="8" t="s">
        <v>16</v>
      </c>
      <c r="B2425" s="8">
        <v>6.3</v>
      </c>
      <c r="F2425" s="4"/>
      <c r="G2425" s="4"/>
      <c r="H2425" s="4"/>
      <c r="I2425" s="15"/>
      <c r="J2425" s="4"/>
    </row>
    <row r="2426" ht="14.25" customHeight="1">
      <c r="A2426" s="8" t="s">
        <v>16</v>
      </c>
      <c r="B2426" s="8">
        <v>4.9</v>
      </c>
      <c r="F2426" s="4"/>
      <c r="G2426" s="4"/>
      <c r="H2426" s="4"/>
      <c r="I2426" s="15"/>
      <c r="J2426" s="4"/>
    </row>
    <row r="2427" ht="14.25" customHeight="1">
      <c r="A2427" s="8" t="s">
        <v>16</v>
      </c>
      <c r="B2427" s="8">
        <v>7.6</v>
      </c>
      <c r="F2427" s="4"/>
      <c r="G2427" s="4"/>
      <c r="H2427" s="4"/>
      <c r="I2427" s="15"/>
      <c r="J2427" s="4"/>
    </row>
    <row r="2428" ht="14.25" customHeight="1">
      <c r="A2428" s="8" t="s">
        <v>16</v>
      </c>
      <c r="B2428" s="8">
        <v>6.0</v>
      </c>
      <c r="F2428" s="4"/>
      <c r="G2428" s="4"/>
      <c r="H2428" s="4"/>
      <c r="I2428" s="15"/>
      <c r="J2428" s="4"/>
    </row>
    <row r="2429" ht="14.25" customHeight="1">
      <c r="A2429" s="8" t="s">
        <v>16</v>
      </c>
      <c r="B2429" s="8">
        <v>6.2</v>
      </c>
      <c r="F2429" s="4"/>
      <c r="G2429" s="4"/>
      <c r="H2429" s="4"/>
      <c r="I2429" s="15"/>
      <c r="J2429" s="4"/>
    </row>
    <row r="2430" ht="14.25" customHeight="1">
      <c r="A2430" s="8" t="s">
        <v>16</v>
      </c>
      <c r="B2430" s="8">
        <v>6.8</v>
      </c>
      <c r="F2430" s="4"/>
      <c r="G2430" s="4"/>
      <c r="H2430" s="4"/>
      <c r="I2430" s="15"/>
      <c r="J2430" s="4"/>
    </row>
    <row r="2431" ht="14.25" customHeight="1">
      <c r="A2431" s="8" t="s">
        <v>16</v>
      </c>
      <c r="B2431" s="8">
        <v>4.5</v>
      </c>
      <c r="F2431" s="4"/>
      <c r="G2431" s="4"/>
      <c r="H2431" s="4"/>
      <c r="I2431" s="15"/>
      <c r="J2431" s="4"/>
    </row>
    <row r="2432" ht="14.25" customHeight="1">
      <c r="A2432" s="8" t="s">
        <v>16</v>
      </c>
      <c r="B2432" s="8">
        <v>5.7</v>
      </c>
      <c r="F2432" s="4"/>
      <c r="G2432" s="4"/>
      <c r="H2432" s="4"/>
      <c r="I2432" s="15"/>
      <c r="J2432" s="4"/>
    </row>
    <row r="2433" ht="14.25" customHeight="1">
      <c r="A2433" s="8" t="s">
        <v>16</v>
      </c>
      <c r="B2433" s="8">
        <v>4.6</v>
      </c>
      <c r="F2433" s="4"/>
      <c r="G2433" s="4"/>
      <c r="H2433" s="4"/>
      <c r="I2433" s="15"/>
      <c r="J2433" s="4"/>
    </row>
    <row r="2434" ht="14.25" customHeight="1">
      <c r="A2434" s="8" t="s">
        <v>16</v>
      </c>
      <c r="B2434" s="8">
        <v>6.2</v>
      </c>
      <c r="F2434" s="4"/>
      <c r="G2434" s="4"/>
      <c r="H2434" s="4"/>
      <c r="I2434" s="15"/>
      <c r="J2434" s="4"/>
    </row>
    <row r="2435" ht="14.25" customHeight="1">
      <c r="A2435" s="8" t="s">
        <v>16</v>
      </c>
      <c r="B2435" s="8">
        <v>7.0</v>
      </c>
      <c r="F2435" s="4"/>
      <c r="G2435" s="4"/>
      <c r="H2435" s="4"/>
      <c r="I2435" s="15"/>
      <c r="J2435" s="4"/>
    </row>
    <row r="2436" ht="14.25" customHeight="1">
      <c r="A2436" s="8" t="s">
        <v>16</v>
      </c>
      <c r="B2436" s="8">
        <v>6.9</v>
      </c>
      <c r="F2436" s="4"/>
      <c r="G2436" s="4"/>
      <c r="H2436" s="4"/>
      <c r="I2436" s="15"/>
      <c r="J2436" s="4"/>
    </row>
    <row r="2437" ht="14.25" customHeight="1">
      <c r="A2437" s="8" t="s">
        <v>16</v>
      </c>
      <c r="B2437" s="8">
        <v>6.7</v>
      </c>
      <c r="F2437" s="4"/>
      <c r="G2437" s="4"/>
      <c r="H2437" s="4"/>
      <c r="I2437" s="15"/>
      <c r="J2437" s="4"/>
    </row>
    <row r="2438" ht="14.25" customHeight="1">
      <c r="A2438" s="8" t="s">
        <v>16</v>
      </c>
      <c r="B2438" s="8">
        <v>5.6</v>
      </c>
      <c r="F2438" s="4"/>
      <c r="G2438" s="4"/>
      <c r="H2438" s="4"/>
      <c r="I2438" s="15"/>
      <c r="J2438" s="4"/>
    </row>
    <row r="2439" ht="14.25" customHeight="1">
      <c r="A2439" s="8" t="s">
        <v>16</v>
      </c>
      <c r="B2439" s="8">
        <v>6.6</v>
      </c>
      <c r="F2439" s="4"/>
      <c r="G2439" s="4"/>
      <c r="H2439" s="4"/>
      <c r="I2439" s="15"/>
      <c r="J2439" s="4"/>
    </row>
    <row r="2440" ht="14.25" customHeight="1">
      <c r="A2440" s="8" t="s">
        <v>16</v>
      </c>
      <c r="B2440" s="8">
        <v>6.4</v>
      </c>
      <c r="F2440" s="4"/>
      <c r="G2440" s="4"/>
      <c r="H2440" s="4"/>
      <c r="I2440" s="15"/>
      <c r="J2440" s="4"/>
    </row>
    <row r="2441" ht="14.25" customHeight="1">
      <c r="A2441" s="8" t="s">
        <v>16</v>
      </c>
      <c r="B2441" s="8">
        <v>2.8</v>
      </c>
      <c r="F2441" s="4"/>
      <c r="G2441" s="4"/>
      <c r="H2441" s="4"/>
      <c r="I2441" s="15"/>
      <c r="J2441" s="4"/>
    </row>
    <row r="2442" ht="14.25" customHeight="1">
      <c r="A2442" s="8" t="s">
        <v>16</v>
      </c>
      <c r="B2442" s="8">
        <v>5.4</v>
      </c>
      <c r="F2442" s="4"/>
      <c r="G2442" s="4"/>
      <c r="H2442" s="4"/>
      <c r="I2442" s="15"/>
      <c r="J2442" s="4"/>
    </row>
    <row r="2443" ht="14.25" customHeight="1">
      <c r="A2443" s="8" t="s">
        <v>16</v>
      </c>
      <c r="B2443" s="8">
        <v>5.0</v>
      </c>
      <c r="F2443" s="4"/>
      <c r="G2443" s="4"/>
      <c r="H2443" s="4"/>
      <c r="I2443" s="15"/>
      <c r="J2443" s="4"/>
    </row>
    <row r="2444" ht="14.25" customHeight="1">
      <c r="A2444" s="8" t="s">
        <v>16</v>
      </c>
      <c r="B2444" s="8">
        <v>5.1</v>
      </c>
      <c r="F2444" s="4"/>
      <c r="G2444" s="4"/>
      <c r="H2444" s="4"/>
      <c r="I2444" s="15"/>
      <c r="J2444" s="4"/>
    </row>
    <row r="2445" ht="14.25" customHeight="1">
      <c r="A2445" s="8" t="s">
        <v>16</v>
      </c>
      <c r="B2445" s="8">
        <v>8.0</v>
      </c>
      <c r="F2445" s="4"/>
      <c r="G2445" s="4"/>
      <c r="H2445" s="4"/>
      <c r="I2445" s="15"/>
      <c r="J2445" s="4"/>
    </row>
    <row r="2446" ht="14.25" customHeight="1">
      <c r="A2446" s="8" t="s">
        <v>16</v>
      </c>
      <c r="B2446" s="8">
        <v>5.9</v>
      </c>
      <c r="F2446" s="4"/>
      <c r="G2446" s="4"/>
      <c r="H2446" s="4"/>
      <c r="I2446" s="15"/>
      <c r="J2446" s="4"/>
    </row>
    <row r="2447" ht="14.25" customHeight="1">
      <c r="A2447" s="8" t="s">
        <v>16</v>
      </c>
      <c r="B2447" s="8">
        <v>8.2</v>
      </c>
      <c r="F2447" s="4"/>
      <c r="G2447" s="4"/>
      <c r="H2447" s="4"/>
      <c r="I2447" s="15"/>
      <c r="J2447" s="4"/>
    </row>
    <row r="2448" ht="14.25" customHeight="1">
      <c r="A2448" s="8" t="s">
        <v>16</v>
      </c>
      <c r="B2448" s="8">
        <v>7.0</v>
      </c>
      <c r="F2448" s="4"/>
      <c r="G2448" s="4"/>
      <c r="H2448" s="4"/>
      <c r="I2448" s="15"/>
      <c r="J2448" s="4"/>
    </row>
    <row r="2449" ht="14.25" customHeight="1">
      <c r="A2449" s="8" t="s">
        <v>16</v>
      </c>
      <c r="B2449" s="8">
        <v>6.6</v>
      </c>
      <c r="F2449" s="4"/>
      <c r="G2449" s="4"/>
      <c r="H2449" s="4"/>
      <c r="I2449" s="15"/>
      <c r="J2449" s="4"/>
    </row>
    <row r="2450" ht="14.25" customHeight="1">
      <c r="A2450" s="8" t="s">
        <v>16</v>
      </c>
      <c r="B2450" s="8">
        <v>6.7</v>
      </c>
      <c r="F2450" s="4"/>
      <c r="G2450" s="4"/>
      <c r="H2450" s="4"/>
      <c r="I2450" s="15"/>
      <c r="J2450" s="4"/>
    </row>
    <row r="2451" ht="14.25" customHeight="1">
      <c r="A2451" s="8" t="s">
        <v>16</v>
      </c>
      <c r="B2451" s="8">
        <v>5.5</v>
      </c>
      <c r="F2451" s="4"/>
      <c r="G2451" s="4"/>
      <c r="H2451" s="4"/>
      <c r="I2451" s="15"/>
      <c r="J2451" s="4"/>
    </row>
    <row r="2452" ht="14.25" customHeight="1">
      <c r="A2452" s="8" t="s">
        <v>16</v>
      </c>
      <c r="B2452" s="8">
        <v>4.9</v>
      </c>
      <c r="F2452" s="4"/>
      <c r="G2452" s="4"/>
      <c r="H2452" s="4"/>
      <c r="I2452" s="15"/>
      <c r="J2452" s="4"/>
    </row>
    <row r="2453" ht="14.25" customHeight="1">
      <c r="A2453" s="8" t="s">
        <v>16</v>
      </c>
      <c r="B2453" s="8">
        <v>6.9</v>
      </c>
      <c r="F2453" s="4"/>
      <c r="G2453" s="4"/>
      <c r="H2453" s="4"/>
      <c r="I2453" s="15"/>
      <c r="J2453" s="4"/>
    </row>
    <row r="2454" ht="14.25" customHeight="1">
      <c r="A2454" s="8" t="s">
        <v>16</v>
      </c>
      <c r="B2454" s="8">
        <v>5.6</v>
      </c>
      <c r="F2454" s="4"/>
      <c r="G2454" s="4"/>
      <c r="H2454" s="4"/>
      <c r="I2454" s="15"/>
      <c r="J2454" s="4"/>
    </row>
    <row r="2455" ht="14.25" customHeight="1">
      <c r="A2455" s="8" t="s">
        <v>16</v>
      </c>
      <c r="B2455" s="8">
        <v>8.0</v>
      </c>
      <c r="F2455" s="4"/>
      <c r="G2455" s="4"/>
      <c r="H2455" s="4"/>
      <c r="I2455" s="15"/>
      <c r="J2455" s="4"/>
    </row>
    <row r="2456" ht="14.25" customHeight="1">
      <c r="A2456" s="8" t="s">
        <v>16</v>
      </c>
      <c r="B2456" s="8">
        <v>5.3</v>
      </c>
      <c r="F2456" s="4"/>
      <c r="G2456" s="4"/>
      <c r="H2456" s="4"/>
      <c r="I2456" s="15"/>
      <c r="J2456" s="4"/>
    </row>
    <row r="2457" ht="14.25" customHeight="1">
      <c r="A2457" s="8" t="s">
        <v>16</v>
      </c>
      <c r="B2457" s="8">
        <v>6.2</v>
      </c>
      <c r="F2457" s="4"/>
      <c r="G2457" s="4"/>
      <c r="H2457" s="4"/>
      <c r="I2457" s="15"/>
      <c r="J2457" s="4"/>
    </row>
    <row r="2458" ht="14.25" customHeight="1">
      <c r="A2458" s="8" t="s">
        <v>16</v>
      </c>
      <c r="B2458" s="8">
        <v>5.3</v>
      </c>
      <c r="F2458" s="4"/>
      <c r="G2458" s="4"/>
      <c r="H2458" s="4"/>
      <c r="I2458" s="15"/>
      <c r="J2458" s="4"/>
    </row>
    <row r="2459" ht="14.25" customHeight="1">
      <c r="A2459" s="8" t="s">
        <v>16</v>
      </c>
      <c r="B2459" s="8">
        <v>6.6</v>
      </c>
      <c r="F2459" s="4"/>
      <c r="G2459" s="4"/>
      <c r="H2459" s="4"/>
      <c r="I2459" s="15"/>
      <c r="J2459" s="4"/>
    </row>
    <row r="2460" ht="14.25" customHeight="1">
      <c r="A2460" s="8" t="s">
        <v>16</v>
      </c>
      <c r="B2460" s="8">
        <v>7.2</v>
      </c>
      <c r="F2460" s="4"/>
      <c r="G2460" s="4"/>
      <c r="H2460" s="4"/>
      <c r="I2460" s="15"/>
      <c r="J2460" s="4"/>
    </row>
    <row r="2461" ht="14.25" customHeight="1">
      <c r="A2461" s="8" t="s">
        <v>16</v>
      </c>
      <c r="B2461" s="8">
        <v>4.6</v>
      </c>
      <c r="F2461" s="4"/>
      <c r="G2461" s="4"/>
      <c r="H2461" s="4"/>
      <c r="I2461" s="15"/>
      <c r="J2461" s="4"/>
    </row>
    <row r="2462" ht="14.25" customHeight="1">
      <c r="A2462" s="8" t="s">
        <v>16</v>
      </c>
      <c r="B2462" s="8">
        <v>7.5</v>
      </c>
      <c r="F2462" s="4"/>
      <c r="G2462" s="4"/>
      <c r="H2462" s="4"/>
      <c r="I2462" s="15"/>
      <c r="J2462" s="4"/>
    </row>
    <row r="2463" ht="14.25" customHeight="1">
      <c r="A2463" s="8" t="s">
        <v>16</v>
      </c>
      <c r="B2463" s="8">
        <v>6.5</v>
      </c>
      <c r="F2463" s="4"/>
      <c r="G2463" s="4"/>
      <c r="H2463" s="4"/>
      <c r="I2463" s="15"/>
      <c r="J2463" s="4"/>
    </row>
    <row r="2464" ht="14.25" customHeight="1">
      <c r="A2464" s="8" t="s">
        <v>16</v>
      </c>
      <c r="B2464" s="8">
        <v>7.6</v>
      </c>
      <c r="F2464" s="4"/>
      <c r="G2464" s="4"/>
      <c r="H2464" s="4"/>
      <c r="I2464" s="15"/>
      <c r="J2464" s="4"/>
    </row>
    <row r="2465" ht="14.25" customHeight="1">
      <c r="A2465" s="8" t="s">
        <v>16</v>
      </c>
      <c r="B2465" s="8">
        <v>6.2</v>
      </c>
      <c r="F2465" s="4"/>
      <c r="G2465" s="4"/>
      <c r="H2465" s="4"/>
      <c r="I2465" s="15"/>
      <c r="J2465" s="4"/>
    </row>
    <row r="2466" ht="14.25" customHeight="1">
      <c r="A2466" s="8" t="s">
        <v>16</v>
      </c>
      <c r="B2466" s="8">
        <v>8.0</v>
      </c>
      <c r="F2466" s="4"/>
      <c r="G2466" s="4"/>
      <c r="H2466" s="4"/>
      <c r="I2466" s="15"/>
      <c r="J2466" s="4"/>
    </row>
    <row r="2467" ht="14.25" customHeight="1">
      <c r="A2467" s="8" t="s">
        <v>16</v>
      </c>
      <c r="B2467" s="8">
        <v>6.3</v>
      </c>
      <c r="F2467" s="4"/>
      <c r="G2467" s="4"/>
      <c r="H2467" s="4"/>
      <c r="I2467" s="15"/>
      <c r="J2467" s="4"/>
    </row>
    <row r="2468" ht="14.25" customHeight="1">
      <c r="A2468" s="8" t="s">
        <v>16</v>
      </c>
      <c r="B2468" s="8">
        <v>7.2</v>
      </c>
      <c r="F2468" s="4"/>
      <c r="G2468" s="4"/>
      <c r="H2468" s="4"/>
      <c r="I2468" s="15"/>
      <c r="J2468" s="4"/>
    </row>
    <row r="2469" ht="14.25" customHeight="1">
      <c r="A2469" s="8" t="s">
        <v>16</v>
      </c>
      <c r="B2469" s="8">
        <v>6.7</v>
      </c>
      <c r="F2469" s="4"/>
      <c r="G2469" s="4"/>
      <c r="H2469" s="4"/>
      <c r="I2469" s="15"/>
      <c r="J2469" s="4"/>
    </row>
    <row r="2470" ht="14.25" customHeight="1">
      <c r="A2470" s="8" t="s">
        <v>16</v>
      </c>
      <c r="B2470" s="8">
        <v>5.3</v>
      </c>
      <c r="F2470" s="4"/>
      <c r="G2470" s="4"/>
      <c r="H2470" s="4"/>
      <c r="I2470" s="15"/>
      <c r="J2470" s="4"/>
    </row>
    <row r="2471" ht="14.25" customHeight="1">
      <c r="A2471" s="8" t="s">
        <v>16</v>
      </c>
      <c r="B2471" s="8">
        <v>6.3</v>
      </c>
      <c r="F2471" s="4"/>
      <c r="G2471" s="4"/>
      <c r="H2471" s="4"/>
      <c r="I2471" s="15"/>
      <c r="J2471" s="4"/>
    </row>
    <row r="2472" ht="14.25" customHeight="1">
      <c r="A2472" s="8" t="s">
        <v>16</v>
      </c>
      <c r="B2472" s="8">
        <v>6.5</v>
      </c>
      <c r="F2472" s="4"/>
      <c r="G2472" s="4"/>
      <c r="H2472" s="4"/>
      <c r="I2472" s="15"/>
      <c r="J2472" s="4"/>
    </row>
    <row r="2473" ht="14.25" customHeight="1">
      <c r="A2473" s="8" t="s">
        <v>4449</v>
      </c>
      <c r="B2473" s="8">
        <v>8.3</v>
      </c>
      <c r="F2473" s="4"/>
      <c r="G2473" s="4"/>
      <c r="H2473" s="4"/>
      <c r="I2473" s="15"/>
      <c r="J2473" s="4"/>
    </row>
    <row r="2474" ht="14.25" customHeight="1">
      <c r="A2474" s="8" t="s">
        <v>1189</v>
      </c>
      <c r="B2474" s="8">
        <v>7.2</v>
      </c>
      <c r="F2474" s="4"/>
      <c r="G2474" s="4"/>
      <c r="H2474" s="4"/>
      <c r="I2474" s="15"/>
      <c r="J2474" s="4"/>
    </row>
    <row r="2475" ht="14.25" customHeight="1">
      <c r="A2475" s="8" t="s">
        <v>16</v>
      </c>
      <c r="B2475" s="8">
        <v>6.8</v>
      </c>
      <c r="F2475" s="4"/>
      <c r="G2475" s="4"/>
      <c r="H2475" s="4"/>
      <c r="I2475" s="15"/>
      <c r="J2475" s="4"/>
    </row>
    <row r="2476" ht="14.25" customHeight="1">
      <c r="A2476" s="8" t="s">
        <v>816</v>
      </c>
      <c r="B2476" s="8">
        <v>6.4</v>
      </c>
      <c r="F2476" s="4"/>
      <c r="G2476" s="4"/>
      <c r="H2476" s="4"/>
      <c r="I2476" s="15"/>
      <c r="J2476" s="4"/>
    </row>
    <row r="2477" ht="14.25" customHeight="1">
      <c r="A2477" s="8" t="s">
        <v>16</v>
      </c>
      <c r="B2477" s="8">
        <v>6.9</v>
      </c>
      <c r="F2477" s="4"/>
      <c r="G2477" s="4"/>
      <c r="H2477" s="4"/>
      <c r="I2477" s="15"/>
      <c r="J2477" s="4"/>
    </row>
    <row r="2478" ht="14.25" customHeight="1">
      <c r="A2478" s="8" t="s">
        <v>5059</v>
      </c>
      <c r="B2478" s="8">
        <v>6.2</v>
      </c>
      <c r="F2478" s="4"/>
      <c r="G2478" s="4"/>
      <c r="H2478" s="4"/>
      <c r="I2478" s="15"/>
      <c r="J2478" s="4"/>
    </row>
    <row r="2479" ht="14.25" customHeight="1">
      <c r="A2479" s="8" t="s">
        <v>16</v>
      </c>
      <c r="B2479" s="8">
        <v>6.1</v>
      </c>
      <c r="F2479" s="4"/>
      <c r="G2479" s="4"/>
      <c r="H2479" s="4"/>
      <c r="I2479" s="15"/>
      <c r="J2479" s="4"/>
    </row>
    <row r="2480" ht="14.25" customHeight="1">
      <c r="A2480" s="8" t="s">
        <v>16</v>
      </c>
      <c r="B2480" s="8">
        <v>5.1</v>
      </c>
      <c r="F2480" s="4"/>
      <c r="G2480" s="4"/>
      <c r="H2480" s="4"/>
      <c r="I2480" s="15"/>
      <c r="J2480" s="4"/>
    </row>
    <row r="2481" ht="14.25" customHeight="1">
      <c r="A2481" s="8" t="s">
        <v>16</v>
      </c>
      <c r="B2481" s="8">
        <v>4.5</v>
      </c>
      <c r="F2481" s="4"/>
      <c r="G2481" s="4"/>
      <c r="H2481" s="4"/>
      <c r="I2481" s="15"/>
      <c r="J2481" s="4"/>
    </row>
    <row r="2482" ht="14.25" customHeight="1">
      <c r="A2482" s="8" t="s">
        <v>16</v>
      </c>
      <c r="B2482" s="8">
        <v>5.9</v>
      </c>
      <c r="F2482" s="4"/>
      <c r="G2482" s="4"/>
      <c r="H2482" s="4"/>
      <c r="I2482" s="15"/>
      <c r="J2482" s="4"/>
    </row>
    <row r="2483" ht="14.25" customHeight="1">
      <c r="A2483" s="8" t="s">
        <v>16</v>
      </c>
      <c r="B2483" s="8">
        <v>8.1</v>
      </c>
      <c r="F2483" s="4"/>
      <c r="G2483" s="4"/>
      <c r="H2483" s="4"/>
      <c r="I2483" s="15"/>
      <c r="J2483" s="4"/>
    </row>
    <row r="2484" ht="14.25" customHeight="1">
      <c r="A2484" s="8" t="s">
        <v>16</v>
      </c>
      <c r="B2484" s="8">
        <v>5.7</v>
      </c>
      <c r="F2484" s="4"/>
      <c r="G2484" s="4"/>
      <c r="H2484" s="4"/>
      <c r="I2484" s="15"/>
      <c r="J2484" s="4"/>
    </row>
    <row r="2485" ht="14.25" customHeight="1">
      <c r="A2485" s="8" t="s">
        <v>16</v>
      </c>
      <c r="B2485" s="8">
        <v>6.8</v>
      </c>
      <c r="F2485" s="4"/>
      <c r="G2485" s="4"/>
      <c r="H2485" s="4"/>
      <c r="I2485" s="15"/>
      <c r="J2485" s="4"/>
    </row>
    <row r="2486" ht="14.25" customHeight="1">
      <c r="A2486" s="8" t="s">
        <v>1189</v>
      </c>
      <c r="B2486" s="8">
        <v>7.5</v>
      </c>
      <c r="F2486" s="4"/>
      <c r="G2486" s="4"/>
      <c r="H2486" s="4"/>
      <c r="I2486" s="15"/>
      <c r="J2486" s="4"/>
    </row>
    <row r="2487" ht="14.25" customHeight="1">
      <c r="A2487" s="8" t="s">
        <v>16</v>
      </c>
      <c r="B2487" s="8">
        <v>8.3</v>
      </c>
      <c r="F2487" s="4"/>
      <c r="G2487" s="4"/>
      <c r="H2487" s="4"/>
      <c r="I2487" s="15"/>
      <c r="J2487" s="4"/>
    </row>
    <row r="2488" ht="14.25" customHeight="1">
      <c r="A2488" s="8" t="s">
        <v>16</v>
      </c>
      <c r="B2488" s="8">
        <v>7.4</v>
      </c>
      <c r="F2488" s="4"/>
      <c r="G2488" s="4"/>
      <c r="H2488" s="4"/>
      <c r="I2488" s="15"/>
      <c r="J2488" s="4"/>
    </row>
    <row r="2489" ht="14.25" customHeight="1">
      <c r="A2489" s="8" t="s">
        <v>16</v>
      </c>
      <c r="B2489" s="8">
        <v>8.0</v>
      </c>
      <c r="F2489" s="4"/>
      <c r="G2489" s="4"/>
      <c r="H2489" s="4"/>
      <c r="I2489" s="15"/>
      <c r="J2489" s="4"/>
    </row>
    <row r="2490" ht="14.25" customHeight="1">
      <c r="A2490" s="8" t="s">
        <v>16</v>
      </c>
      <c r="B2490" s="8">
        <v>6.9</v>
      </c>
      <c r="F2490" s="4"/>
      <c r="G2490" s="4"/>
      <c r="H2490" s="4"/>
      <c r="I2490" s="15"/>
      <c r="J2490" s="4"/>
    </row>
    <row r="2491" ht="14.25" customHeight="1">
      <c r="A2491" s="8" t="s">
        <v>16</v>
      </c>
      <c r="B2491" s="8">
        <v>6.9</v>
      </c>
      <c r="F2491" s="4"/>
      <c r="G2491" s="4"/>
      <c r="H2491" s="4"/>
      <c r="I2491" s="15"/>
      <c r="J2491" s="4"/>
    </row>
    <row r="2492" ht="14.25" customHeight="1">
      <c r="A2492" s="8" t="s">
        <v>16</v>
      </c>
      <c r="B2492" s="8">
        <v>5.5</v>
      </c>
      <c r="F2492" s="4"/>
      <c r="G2492" s="4"/>
      <c r="H2492" s="4"/>
      <c r="I2492" s="15"/>
      <c r="J2492" s="4"/>
    </row>
    <row r="2493" ht="14.25" customHeight="1">
      <c r="A2493" s="8" t="s">
        <v>16</v>
      </c>
      <c r="B2493" s="8">
        <v>7.2</v>
      </c>
      <c r="F2493" s="4"/>
      <c r="G2493" s="4"/>
      <c r="H2493" s="4"/>
      <c r="I2493" s="15"/>
      <c r="J2493" s="4"/>
    </row>
    <row r="2494" ht="14.25" customHeight="1">
      <c r="A2494" s="8" t="s">
        <v>16</v>
      </c>
      <c r="B2494" s="8">
        <v>6.9</v>
      </c>
      <c r="F2494" s="4"/>
      <c r="G2494" s="4"/>
      <c r="H2494" s="4"/>
      <c r="I2494" s="15"/>
      <c r="J2494" s="4"/>
    </row>
    <row r="2495" ht="14.25" customHeight="1">
      <c r="A2495" s="8" t="s">
        <v>16</v>
      </c>
      <c r="B2495" s="8">
        <v>5.5</v>
      </c>
      <c r="F2495" s="4"/>
      <c r="G2495" s="4"/>
      <c r="H2495" s="4"/>
      <c r="I2495" s="15"/>
      <c r="J2495" s="4"/>
    </row>
    <row r="2496" ht="14.25" customHeight="1">
      <c r="A2496" s="8" t="s">
        <v>16</v>
      </c>
      <c r="B2496" s="8">
        <v>5.2</v>
      </c>
      <c r="F2496" s="4"/>
      <c r="G2496" s="4"/>
      <c r="H2496" s="4"/>
      <c r="I2496" s="15"/>
      <c r="J2496" s="4"/>
    </row>
    <row r="2497" ht="14.25" customHeight="1">
      <c r="A2497" s="8" t="s">
        <v>16</v>
      </c>
      <c r="B2497" s="8">
        <v>7.1</v>
      </c>
      <c r="F2497" s="4"/>
      <c r="G2497" s="4"/>
      <c r="H2497" s="4"/>
      <c r="I2497" s="15"/>
      <c r="J2497" s="4"/>
    </row>
    <row r="2498" ht="14.25" customHeight="1">
      <c r="A2498" s="8" t="s">
        <v>16</v>
      </c>
      <c r="B2498" s="8">
        <v>5.5</v>
      </c>
      <c r="F2498" s="4"/>
      <c r="G2498" s="4"/>
      <c r="H2498" s="4"/>
      <c r="I2498" s="15"/>
      <c r="J2498" s="4"/>
    </row>
    <row r="2499" ht="14.25" customHeight="1">
      <c r="A2499" s="8" t="s">
        <v>16</v>
      </c>
      <c r="B2499" s="8">
        <v>6.7</v>
      </c>
      <c r="F2499" s="4"/>
      <c r="G2499" s="4"/>
      <c r="H2499" s="4"/>
      <c r="I2499" s="15"/>
      <c r="J2499" s="4"/>
    </row>
    <row r="2500" ht="14.25" customHeight="1">
      <c r="A2500" s="8" t="s">
        <v>16</v>
      </c>
      <c r="B2500" s="8">
        <v>5.0</v>
      </c>
      <c r="F2500" s="4"/>
      <c r="G2500" s="4"/>
      <c r="H2500" s="4"/>
      <c r="I2500" s="15"/>
      <c r="J2500" s="4"/>
    </row>
    <row r="2501" ht="14.25" customHeight="1">
      <c r="A2501" s="8" t="s">
        <v>16</v>
      </c>
      <c r="B2501" s="8">
        <v>6.4</v>
      </c>
      <c r="F2501" s="4"/>
      <c r="G2501" s="4"/>
      <c r="H2501" s="4"/>
      <c r="I2501" s="15"/>
      <c r="J2501" s="4"/>
    </row>
    <row r="2502" ht="14.25" customHeight="1">
      <c r="A2502" s="8" t="s">
        <v>16</v>
      </c>
      <c r="B2502" s="8">
        <v>6.6</v>
      </c>
      <c r="F2502" s="4"/>
      <c r="G2502" s="4"/>
      <c r="H2502" s="4"/>
      <c r="I2502" s="15"/>
      <c r="J2502" s="4"/>
    </row>
    <row r="2503" ht="14.25" customHeight="1">
      <c r="A2503" s="8" t="s">
        <v>16</v>
      </c>
      <c r="B2503" s="8">
        <v>5.9</v>
      </c>
      <c r="F2503" s="4"/>
      <c r="G2503" s="4"/>
      <c r="H2503" s="4"/>
      <c r="I2503" s="15"/>
      <c r="J2503" s="4"/>
    </row>
    <row r="2504" ht="14.25" customHeight="1">
      <c r="A2504" s="8" t="s">
        <v>16</v>
      </c>
      <c r="B2504" s="8">
        <v>5.7</v>
      </c>
      <c r="F2504" s="4"/>
      <c r="G2504" s="4"/>
      <c r="H2504" s="4"/>
      <c r="I2504" s="15"/>
      <c r="J2504" s="4"/>
    </row>
    <row r="2505" ht="14.25" customHeight="1">
      <c r="A2505" s="8" t="s">
        <v>16</v>
      </c>
      <c r="B2505" s="8">
        <v>4.5</v>
      </c>
      <c r="F2505" s="4"/>
      <c r="G2505" s="4"/>
      <c r="H2505" s="4"/>
      <c r="I2505" s="15"/>
      <c r="J2505" s="4"/>
    </row>
    <row r="2506" ht="14.25" customHeight="1">
      <c r="A2506" s="8" t="s">
        <v>16</v>
      </c>
      <c r="B2506" s="8">
        <v>5.0</v>
      </c>
      <c r="F2506" s="4"/>
      <c r="G2506" s="4"/>
      <c r="H2506" s="4"/>
      <c r="I2506" s="15"/>
      <c r="J2506" s="4"/>
    </row>
    <row r="2507" ht="14.25" customHeight="1">
      <c r="A2507" s="8" t="s">
        <v>16</v>
      </c>
      <c r="B2507" s="8">
        <v>4.6</v>
      </c>
      <c r="F2507" s="4"/>
      <c r="G2507" s="4"/>
      <c r="H2507" s="4"/>
      <c r="I2507" s="15"/>
      <c r="J2507" s="4"/>
    </row>
    <row r="2508" ht="14.25" customHeight="1">
      <c r="A2508" s="8" t="s">
        <v>16</v>
      </c>
      <c r="B2508" s="8">
        <v>6.5</v>
      </c>
      <c r="F2508" s="4"/>
      <c r="G2508" s="4"/>
      <c r="H2508" s="4"/>
      <c r="I2508" s="15"/>
      <c r="J2508" s="4"/>
    </row>
    <row r="2509" ht="14.25" customHeight="1">
      <c r="A2509" s="8" t="s">
        <v>16</v>
      </c>
      <c r="B2509" s="8">
        <v>4.9</v>
      </c>
      <c r="F2509" s="4"/>
      <c r="G2509" s="4"/>
      <c r="H2509" s="4"/>
      <c r="I2509" s="15"/>
      <c r="J2509" s="4"/>
    </row>
    <row r="2510" ht="14.25" customHeight="1">
      <c r="A2510" s="8" t="s">
        <v>16</v>
      </c>
      <c r="B2510" s="8">
        <v>6.0</v>
      </c>
      <c r="F2510" s="4"/>
      <c r="G2510" s="4"/>
      <c r="H2510" s="4"/>
      <c r="I2510" s="15"/>
      <c r="J2510" s="4"/>
    </row>
    <row r="2511" ht="14.25" customHeight="1">
      <c r="A2511" s="8" t="s">
        <v>16</v>
      </c>
      <c r="B2511" s="8">
        <v>6.9</v>
      </c>
      <c r="F2511" s="4"/>
      <c r="G2511" s="4"/>
      <c r="H2511" s="4"/>
      <c r="I2511" s="15"/>
      <c r="J2511" s="4"/>
    </row>
    <row r="2512" ht="14.25" customHeight="1">
      <c r="A2512" s="8" t="s">
        <v>16</v>
      </c>
      <c r="B2512" s="8">
        <v>5.7</v>
      </c>
      <c r="F2512" s="4"/>
      <c r="G2512" s="4"/>
      <c r="H2512" s="4"/>
      <c r="I2512" s="15"/>
      <c r="J2512" s="4"/>
    </row>
    <row r="2513" ht="14.25" customHeight="1">
      <c r="A2513" s="8" t="s">
        <v>16</v>
      </c>
      <c r="B2513" s="8">
        <v>6.9</v>
      </c>
      <c r="F2513" s="4"/>
      <c r="G2513" s="4"/>
      <c r="H2513" s="4"/>
      <c r="I2513" s="15"/>
      <c r="J2513" s="4"/>
    </row>
    <row r="2514" ht="14.25" customHeight="1">
      <c r="A2514" s="8" t="s">
        <v>16</v>
      </c>
      <c r="B2514" s="8">
        <v>4.4</v>
      </c>
      <c r="F2514" s="4"/>
      <c r="G2514" s="4"/>
      <c r="H2514" s="4"/>
      <c r="I2514" s="15"/>
      <c r="J2514" s="4"/>
    </row>
    <row r="2515" ht="14.25" customHeight="1">
      <c r="A2515" s="8" t="s">
        <v>16</v>
      </c>
      <c r="B2515" s="8">
        <v>7.0</v>
      </c>
      <c r="F2515" s="4"/>
      <c r="G2515" s="4"/>
      <c r="H2515" s="4"/>
      <c r="I2515" s="15"/>
      <c r="J2515" s="4"/>
    </row>
    <row r="2516" ht="14.25" customHeight="1">
      <c r="A2516" s="8" t="s">
        <v>16</v>
      </c>
      <c r="B2516" s="8">
        <v>5.4</v>
      </c>
      <c r="F2516" s="4"/>
      <c r="G2516" s="4"/>
      <c r="H2516" s="4"/>
      <c r="I2516" s="15"/>
      <c r="J2516" s="4"/>
    </row>
    <row r="2517" ht="14.25" customHeight="1">
      <c r="A2517" s="8" t="s">
        <v>16</v>
      </c>
      <c r="B2517" s="8">
        <v>5.4</v>
      </c>
      <c r="F2517" s="4"/>
      <c r="G2517" s="4"/>
      <c r="H2517" s="4"/>
      <c r="I2517" s="15"/>
      <c r="J2517" s="4"/>
    </row>
    <row r="2518" ht="14.25" customHeight="1">
      <c r="A2518" s="8" t="s">
        <v>16</v>
      </c>
      <c r="B2518" s="8">
        <v>7.6</v>
      </c>
      <c r="F2518" s="4"/>
      <c r="G2518" s="4"/>
      <c r="H2518" s="4"/>
      <c r="I2518" s="15"/>
      <c r="J2518" s="4"/>
    </row>
    <row r="2519" ht="14.25" customHeight="1">
      <c r="A2519" s="8" t="s">
        <v>16</v>
      </c>
      <c r="B2519" s="8">
        <v>5.9</v>
      </c>
      <c r="F2519" s="4"/>
      <c r="G2519" s="4"/>
      <c r="H2519" s="4"/>
      <c r="I2519" s="15"/>
      <c r="J2519" s="4"/>
    </row>
    <row r="2520" ht="14.25" customHeight="1">
      <c r="A2520" s="8" t="s">
        <v>16</v>
      </c>
      <c r="B2520" s="8">
        <v>6.6</v>
      </c>
      <c r="F2520" s="4"/>
      <c r="G2520" s="4"/>
      <c r="H2520" s="4"/>
      <c r="I2520" s="15"/>
      <c r="J2520" s="4"/>
    </row>
    <row r="2521" ht="14.25" customHeight="1">
      <c r="A2521" s="8" t="s">
        <v>16</v>
      </c>
      <c r="B2521" s="8">
        <v>6.7</v>
      </c>
      <c r="F2521" s="4"/>
      <c r="G2521" s="4"/>
      <c r="H2521" s="4"/>
      <c r="I2521" s="15"/>
      <c r="J2521" s="4"/>
    </row>
    <row r="2522" ht="14.25" customHeight="1">
      <c r="A2522" s="8" t="s">
        <v>16</v>
      </c>
      <c r="B2522" s="8">
        <v>3.9</v>
      </c>
      <c r="F2522" s="4"/>
      <c r="G2522" s="4"/>
      <c r="H2522" s="4"/>
      <c r="I2522" s="15"/>
      <c r="J2522" s="4"/>
    </row>
    <row r="2523" ht="14.25" customHeight="1">
      <c r="A2523" s="8" t="s">
        <v>16</v>
      </c>
      <c r="B2523" s="8">
        <v>5.7</v>
      </c>
      <c r="F2523" s="4"/>
      <c r="G2523" s="4"/>
      <c r="H2523" s="4"/>
      <c r="I2523" s="15"/>
      <c r="J2523" s="4"/>
    </row>
    <row r="2524" ht="14.25" customHeight="1">
      <c r="A2524" s="8" t="s">
        <v>16</v>
      </c>
      <c r="B2524" s="8">
        <v>6.5</v>
      </c>
      <c r="F2524" s="4"/>
      <c r="G2524" s="4"/>
      <c r="H2524" s="4"/>
      <c r="I2524" s="15"/>
      <c r="J2524" s="4"/>
    </row>
    <row r="2525" ht="14.25" customHeight="1">
      <c r="A2525" s="8" t="s">
        <v>16</v>
      </c>
      <c r="B2525" s="8">
        <v>6.8</v>
      </c>
      <c r="F2525" s="4"/>
      <c r="G2525" s="4"/>
      <c r="H2525" s="4"/>
      <c r="I2525" s="15"/>
      <c r="J2525" s="4"/>
    </row>
    <row r="2526" ht="14.25" customHeight="1">
      <c r="A2526" s="8" t="s">
        <v>16</v>
      </c>
      <c r="B2526" s="8">
        <v>7.3</v>
      </c>
      <c r="F2526" s="4"/>
      <c r="G2526" s="4"/>
      <c r="H2526" s="4"/>
      <c r="I2526" s="15"/>
      <c r="J2526" s="4"/>
    </row>
    <row r="2527" ht="14.25" customHeight="1">
      <c r="A2527" s="8" t="s">
        <v>16</v>
      </c>
      <c r="B2527" s="8">
        <v>7.0</v>
      </c>
      <c r="F2527" s="4"/>
      <c r="G2527" s="4"/>
      <c r="H2527" s="4"/>
      <c r="I2527" s="15"/>
      <c r="J2527" s="4"/>
    </row>
    <row r="2528" ht="14.25" customHeight="1">
      <c r="A2528" s="8" t="s">
        <v>16</v>
      </c>
      <c r="B2528" s="8">
        <v>6.5</v>
      </c>
      <c r="F2528" s="4"/>
      <c r="G2528" s="4"/>
      <c r="H2528" s="4"/>
      <c r="I2528" s="15"/>
      <c r="J2528" s="4"/>
    </row>
    <row r="2529" ht="14.25" customHeight="1">
      <c r="A2529" s="8" t="s">
        <v>16</v>
      </c>
      <c r="B2529" s="8">
        <v>7.7</v>
      </c>
      <c r="F2529" s="4"/>
      <c r="G2529" s="4"/>
      <c r="H2529" s="4"/>
      <c r="I2529" s="15"/>
      <c r="J2529" s="4"/>
    </row>
    <row r="2530" ht="14.25" customHeight="1">
      <c r="A2530" s="8" t="s">
        <v>16</v>
      </c>
      <c r="B2530" s="8">
        <v>7.7</v>
      </c>
      <c r="F2530" s="4"/>
      <c r="G2530" s="4"/>
      <c r="H2530" s="4"/>
      <c r="I2530" s="15"/>
      <c r="J2530" s="4"/>
    </row>
    <row r="2531" ht="14.25" customHeight="1">
      <c r="A2531" s="8" t="s">
        <v>16</v>
      </c>
      <c r="B2531" s="8">
        <v>5.9</v>
      </c>
      <c r="F2531" s="4"/>
      <c r="G2531" s="4"/>
      <c r="H2531" s="4"/>
      <c r="I2531" s="15"/>
      <c r="J2531" s="4"/>
    </row>
    <row r="2532" ht="14.25" customHeight="1">
      <c r="A2532" s="8" t="s">
        <v>16</v>
      </c>
      <c r="B2532" s="8">
        <v>6.8</v>
      </c>
      <c r="F2532" s="4"/>
      <c r="G2532" s="4"/>
      <c r="H2532" s="4"/>
      <c r="I2532" s="15"/>
      <c r="J2532" s="4"/>
    </row>
    <row r="2533" ht="14.25" customHeight="1">
      <c r="A2533" s="8" t="s">
        <v>16</v>
      </c>
      <c r="B2533" s="8">
        <v>7.4</v>
      </c>
      <c r="F2533" s="4"/>
      <c r="G2533" s="4"/>
      <c r="H2533" s="4"/>
      <c r="I2533" s="15"/>
      <c r="J2533" s="4"/>
    </row>
    <row r="2534" ht="14.25" customHeight="1">
      <c r="A2534" s="8" t="s">
        <v>16</v>
      </c>
      <c r="B2534" s="8">
        <v>5.1</v>
      </c>
      <c r="F2534" s="4"/>
      <c r="G2534" s="4"/>
      <c r="H2534" s="4"/>
      <c r="I2534" s="15"/>
      <c r="J2534" s="4"/>
    </row>
    <row r="2535" ht="14.25" customHeight="1">
      <c r="A2535" s="8" t="s">
        <v>16</v>
      </c>
      <c r="B2535" s="8">
        <v>7.4</v>
      </c>
      <c r="F2535" s="4"/>
      <c r="G2535" s="4"/>
      <c r="H2535" s="4"/>
      <c r="I2535" s="15"/>
      <c r="J2535" s="4"/>
    </row>
    <row r="2536" ht="14.25" customHeight="1">
      <c r="A2536" s="8" t="s">
        <v>16</v>
      </c>
      <c r="B2536" s="8">
        <v>7.2</v>
      </c>
      <c r="F2536" s="4"/>
      <c r="G2536" s="4"/>
      <c r="H2536" s="4"/>
      <c r="I2536" s="15"/>
      <c r="J2536" s="4"/>
    </row>
    <row r="2537" ht="14.25" customHeight="1">
      <c r="A2537" s="8" t="s">
        <v>4449</v>
      </c>
      <c r="B2537" s="8">
        <v>8.3</v>
      </c>
      <c r="F2537" s="4"/>
      <c r="G2537" s="4"/>
      <c r="H2537" s="4"/>
      <c r="I2537" s="15"/>
      <c r="J2537" s="4"/>
    </row>
    <row r="2538" ht="14.25" customHeight="1">
      <c r="A2538" s="8" t="s">
        <v>1144</v>
      </c>
      <c r="B2538" s="8">
        <v>8.1</v>
      </c>
      <c r="F2538" s="4"/>
      <c r="G2538" s="4"/>
      <c r="H2538" s="4"/>
      <c r="I2538" s="15"/>
      <c r="J2538" s="4"/>
    </row>
    <row r="2539" ht="14.25" customHeight="1">
      <c r="A2539" s="8" t="s">
        <v>16</v>
      </c>
      <c r="B2539" s="8">
        <v>7.3</v>
      </c>
      <c r="F2539" s="4"/>
      <c r="G2539" s="4"/>
      <c r="H2539" s="4"/>
      <c r="I2539" s="15"/>
      <c r="J2539" s="4"/>
    </row>
    <row r="2540" ht="14.25" customHeight="1">
      <c r="A2540" s="8" t="s">
        <v>16</v>
      </c>
      <c r="B2540" s="8">
        <v>3.6</v>
      </c>
      <c r="F2540" s="4"/>
      <c r="G2540" s="4"/>
      <c r="H2540" s="4"/>
      <c r="I2540" s="15"/>
      <c r="J2540" s="4"/>
    </row>
    <row r="2541" ht="14.25" customHeight="1">
      <c r="A2541" s="8" t="s">
        <v>16</v>
      </c>
      <c r="B2541" s="8">
        <v>1.6</v>
      </c>
      <c r="F2541" s="4"/>
      <c r="G2541" s="4"/>
      <c r="H2541" s="4"/>
      <c r="I2541" s="15"/>
      <c r="J2541" s="4"/>
    </row>
    <row r="2542" ht="14.25" customHeight="1">
      <c r="A2542" s="8" t="s">
        <v>16</v>
      </c>
      <c r="B2542" s="8">
        <v>8.0</v>
      </c>
      <c r="F2542" s="4"/>
      <c r="G2542" s="4"/>
      <c r="H2542" s="4"/>
      <c r="I2542" s="15"/>
      <c r="J2542" s="4"/>
    </row>
    <row r="2543" ht="14.25" customHeight="1">
      <c r="A2543" s="8" t="s">
        <v>16</v>
      </c>
      <c r="B2543" s="8">
        <v>6.2</v>
      </c>
      <c r="F2543" s="4"/>
      <c r="G2543" s="4"/>
      <c r="H2543" s="4"/>
      <c r="I2543" s="15"/>
      <c r="J2543" s="4"/>
    </row>
    <row r="2544" ht="14.25" customHeight="1">
      <c r="A2544" s="8" t="s">
        <v>16</v>
      </c>
      <c r="B2544" s="8">
        <v>9.0</v>
      </c>
      <c r="F2544" s="4"/>
      <c r="G2544" s="4"/>
      <c r="H2544" s="4"/>
      <c r="I2544" s="15"/>
      <c r="J2544" s="4"/>
    </row>
    <row r="2545" ht="14.25" customHeight="1">
      <c r="A2545" s="8" t="s">
        <v>16</v>
      </c>
      <c r="B2545" s="8">
        <v>6.1</v>
      </c>
      <c r="F2545" s="4"/>
      <c r="G2545" s="4"/>
      <c r="H2545" s="4"/>
      <c r="I2545" s="15"/>
      <c r="J2545" s="4"/>
    </row>
    <row r="2546" ht="14.25" customHeight="1">
      <c r="A2546" s="8" t="s">
        <v>16</v>
      </c>
      <c r="B2546" s="8">
        <v>5.7</v>
      </c>
      <c r="F2546" s="4"/>
      <c r="G2546" s="4"/>
      <c r="H2546" s="4"/>
      <c r="I2546" s="15"/>
      <c r="J2546" s="4"/>
    </row>
    <row r="2547" ht="14.25" customHeight="1">
      <c r="A2547" s="8" t="s">
        <v>16</v>
      </c>
      <c r="B2547" s="8">
        <v>6.8</v>
      </c>
      <c r="F2547" s="4"/>
      <c r="G2547" s="4"/>
      <c r="H2547" s="4"/>
      <c r="I2547" s="15"/>
      <c r="J2547" s="4"/>
    </row>
    <row r="2548" ht="14.25" customHeight="1">
      <c r="A2548" s="8" t="s">
        <v>16</v>
      </c>
      <c r="B2548" s="8">
        <v>5.5</v>
      </c>
      <c r="F2548" s="4"/>
      <c r="G2548" s="4"/>
      <c r="H2548" s="4"/>
      <c r="I2548" s="15"/>
      <c r="J2548" s="4"/>
    </row>
    <row r="2549" ht="14.25" customHeight="1">
      <c r="A2549" s="8" t="s">
        <v>16</v>
      </c>
      <c r="B2549" s="8">
        <v>6.8</v>
      </c>
      <c r="F2549" s="4"/>
      <c r="G2549" s="4"/>
      <c r="H2549" s="4"/>
      <c r="I2549" s="15"/>
      <c r="J2549" s="4"/>
    </row>
    <row r="2550" ht="14.25" customHeight="1">
      <c r="A2550" s="8" t="s">
        <v>16</v>
      </c>
      <c r="B2550" s="8">
        <v>7.3</v>
      </c>
      <c r="F2550" s="4"/>
      <c r="G2550" s="4"/>
      <c r="H2550" s="4"/>
      <c r="I2550" s="15"/>
      <c r="J2550" s="4"/>
    </row>
    <row r="2551" ht="14.25" customHeight="1">
      <c r="A2551" s="8" t="s">
        <v>16</v>
      </c>
      <c r="B2551" s="8">
        <v>6.1</v>
      </c>
      <c r="F2551" s="4"/>
      <c r="G2551" s="4"/>
      <c r="H2551" s="4"/>
      <c r="I2551" s="15"/>
      <c r="J2551" s="4"/>
    </row>
    <row r="2552" ht="14.25" customHeight="1">
      <c r="A2552" s="8" t="s">
        <v>16</v>
      </c>
      <c r="B2552" s="8">
        <v>7.2</v>
      </c>
      <c r="F2552" s="4"/>
      <c r="G2552" s="4"/>
      <c r="H2552" s="4"/>
      <c r="I2552" s="15"/>
      <c r="J2552" s="4"/>
    </row>
    <row r="2553" ht="14.25" customHeight="1">
      <c r="A2553" s="8" t="s">
        <v>16</v>
      </c>
      <c r="B2553" s="8">
        <v>5.9</v>
      </c>
      <c r="F2553" s="4"/>
      <c r="G2553" s="4"/>
      <c r="H2553" s="4"/>
      <c r="I2553" s="15"/>
      <c r="J2553" s="4"/>
    </row>
    <row r="2554" ht="14.25" customHeight="1">
      <c r="A2554" s="8" t="s">
        <v>16</v>
      </c>
      <c r="B2554" s="8">
        <v>6.1</v>
      </c>
      <c r="F2554" s="4"/>
      <c r="G2554" s="4"/>
      <c r="H2554" s="4"/>
      <c r="I2554" s="15"/>
      <c r="J2554" s="4"/>
    </row>
    <row r="2555" ht="14.25" customHeight="1">
      <c r="A2555" s="8" t="s">
        <v>16</v>
      </c>
      <c r="B2555" s="8">
        <v>6.8</v>
      </c>
      <c r="F2555" s="4"/>
      <c r="G2555" s="4"/>
      <c r="H2555" s="4"/>
      <c r="I2555" s="15"/>
      <c r="J2555" s="4"/>
    </row>
    <row r="2556" ht="14.25" customHeight="1">
      <c r="A2556" s="8" t="s">
        <v>16</v>
      </c>
      <c r="B2556" s="8">
        <v>7.7</v>
      </c>
      <c r="F2556" s="4"/>
      <c r="G2556" s="4"/>
      <c r="H2556" s="4"/>
      <c r="I2556" s="15"/>
      <c r="J2556" s="4"/>
    </row>
    <row r="2557" ht="14.25" customHeight="1">
      <c r="A2557" s="8" t="s">
        <v>16</v>
      </c>
      <c r="B2557" s="8">
        <v>4.9</v>
      </c>
      <c r="F2557" s="4"/>
      <c r="G2557" s="4"/>
      <c r="H2557" s="4"/>
      <c r="I2557" s="15"/>
      <c r="J2557" s="4"/>
    </row>
    <row r="2558" ht="14.25" customHeight="1">
      <c r="A2558" s="8" t="s">
        <v>16</v>
      </c>
      <c r="B2558" s="8">
        <v>6.1</v>
      </c>
      <c r="F2558" s="4"/>
      <c r="G2558" s="4"/>
      <c r="H2558" s="4"/>
      <c r="I2558" s="15"/>
      <c r="J2558" s="4"/>
    </row>
    <row r="2559" ht="14.25" customHeight="1">
      <c r="A2559" s="8" t="s">
        <v>16</v>
      </c>
      <c r="B2559" s="8">
        <v>2.5</v>
      </c>
      <c r="F2559" s="4"/>
      <c r="G2559" s="4"/>
      <c r="H2559" s="4"/>
      <c r="I2559" s="15"/>
      <c r="J2559" s="4"/>
    </row>
    <row r="2560" ht="14.25" customHeight="1">
      <c r="A2560" s="8" t="s">
        <v>16</v>
      </c>
      <c r="B2560" s="8">
        <v>6.1</v>
      </c>
      <c r="F2560" s="4"/>
      <c r="G2560" s="4"/>
      <c r="H2560" s="4"/>
      <c r="I2560" s="15"/>
      <c r="J2560" s="4"/>
    </row>
    <row r="2561" ht="14.25" customHeight="1">
      <c r="A2561" s="8" t="s">
        <v>16</v>
      </c>
      <c r="B2561" s="8">
        <v>5.9</v>
      </c>
      <c r="F2561" s="4"/>
      <c r="G2561" s="4"/>
      <c r="H2561" s="4"/>
      <c r="I2561" s="15"/>
      <c r="J2561" s="4"/>
    </row>
    <row r="2562" ht="14.25" customHeight="1">
      <c r="A2562" s="8" t="s">
        <v>16</v>
      </c>
      <c r="B2562" s="8">
        <v>5.7</v>
      </c>
      <c r="F2562" s="4"/>
      <c r="G2562" s="4"/>
      <c r="H2562" s="4"/>
      <c r="I2562" s="15"/>
      <c r="J2562" s="4"/>
    </row>
    <row r="2563" ht="14.25" customHeight="1">
      <c r="A2563" s="8" t="s">
        <v>16</v>
      </c>
      <c r="B2563" s="8">
        <v>5.6</v>
      </c>
      <c r="F2563" s="4"/>
      <c r="G2563" s="4"/>
      <c r="H2563" s="4"/>
      <c r="I2563" s="15"/>
      <c r="J2563" s="4"/>
    </row>
    <row r="2564" ht="14.25" customHeight="1">
      <c r="A2564" s="8" t="s">
        <v>16</v>
      </c>
      <c r="B2564" s="8">
        <v>7.2</v>
      </c>
      <c r="F2564" s="4"/>
      <c r="G2564" s="4"/>
      <c r="H2564" s="4"/>
      <c r="I2564" s="15"/>
      <c r="J2564" s="4"/>
    </row>
    <row r="2565" ht="14.25" customHeight="1">
      <c r="A2565" s="8" t="s">
        <v>16</v>
      </c>
      <c r="B2565" s="8">
        <v>7.7</v>
      </c>
      <c r="F2565" s="4"/>
      <c r="G2565" s="4"/>
      <c r="H2565" s="4"/>
      <c r="I2565" s="15"/>
      <c r="J2565" s="4"/>
    </row>
    <row r="2566" ht="14.25" customHeight="1">
      <c r="A2566" s="8" t="s">
        <v>16</v>
      </c>
      <c r="B2566" s="8">
        <v>7.8</v>
      </c>
      <c r="F2566" s="4"/>
      <c r="G2566" s="4"/>
      <c r="H2566" s="4"/>
      <c r="I2566" s="15"/>
      <c r="J2566" s="4"/>
    </row>
    <row r="2567" ht="14.25" customHeight="1">
      <c r="A2567" s="8" t="s">
        <v>16</v>
      </c>
      <c r="B2567" s="8">
        <v>6.1</v>
      </c>
      <c r="F2567" s="4"/>
      <c r="G2567" s="4"/>
      <c r="H2567" s="4"/>
      <c r="I2567" s="15"/>
      <c r="J2567" s="4"/>
    </row>
    <row r="2568" ht="14.25" customHeight="1">
      <c r="A2568" s="8" t="s">
        <v>16</v>
      </c>
      <c r="B2568" s="8">
        <v>5.8</v>
      </c>
      <c r="F2568" s="4"/>
      <c r="G2568" s="4"/>
      <c r="H2568" s="4"/>
      <c r="I2568" s="15"/>
      <c r="J2568" s="4"/>
    </row>
    <row r="2569" ht="14.25" customHeight="1">
      <c r="A2569" s="8" t="s">
        <v>16</v>
      </c>
      <c r="B2569" s="8">
        <v>6.5</v>
      </c>
      <c r="F2569" s="4"/>
      <c r="G2569" s="4"/>
      <c r="H2569" s="4"/>
      <c r="I2569" s="15"/>
      <c r="J2569" s="4"/>
    </row>
    <row r="2570" ht="14.25" customHeight="1">
      <c r="A2570" s="8" t="s">
        <v>3076</v>
      </c>
      <c r="B2570" s="8">
        <v>7.9</v>
      </c>
      <c r="F2570" s="4"/>
      <c r="G2570" s="4"/>
      <c r="H2570" s="4"/>
      <c r="I2570" s="15"/>
      <c r="J2570" s="4"/>
    </row>
    <row r="2571" ht="14.25" customHeight="1">
      <c r="A2571" s="8" t="s">
        <v>16</v>
      </c>
      <c r="B2571" s="8">
        <v>6.3</v>
      </c>
      <c r="F2571" s="4"/>
      <c r="G2571" s="4"/>
      <c r="H2571" s="4"/>
      <c r="I2571" s="15"/>
      <c r="J2571" s="4"/>
    </row>
    <row r="2572" ht="14.25" customHeight="1">
      <c r="A2572" s="8" t="s">
        <v>16</v>
      </c>
      <c r="B2572" s="8">
        <v>3.8</v>
      </c>
      <c r="F2572" s="4"/>
      <c r="G2572" s="4"/>
      <c r="H2572" s="4"/>
      <c r="I2572" s="15"/>
      <c r="J2572" s="4"/>
    </row>
    <row r="2573" ht="14.25" customHeight="1">
      <c r="A2573" s="8" t="s">
        <v>16</v>
      </c>
      <c r="B2573" s="8">
        <v>8.3</v>
      </c>
      <c r="F2573" s="4"/>
      <c r="G2573" s="4"/>
      <c r="H2573" s="4"/>
      <c r="I2573" s="15"/>
      <c r="J2573" s="4"/>
    </row>
    <row r="2574" ht="14.25" customHeight="1">
      <c r="A2574" s="8" t="s">
        <v>16</v>
      </c>
      <c r="B2574" s="8">
        <v>6.4</v>
      </c>
      <c r="F2574" s="4"/>
      <c r="G2574" s="4"/>
      <c r="H2574" s="4"/>
      <c r="I2574" s="15"/>
      <c r="J2574" s="4"/>
    </row>
    <row r="2575" ht="14.25" customHeight="1">
      <c r="A2575" s="8" t="s">
        <v>16</v>
      </c>
      <c r="B2575" s="8">
        <v>6.7</v>
      </c>
      <c r="F2575" s="4"/>
      <c r="G2575" s="4"/>
      <c r="H2575" s="4"/>
      <c r="I2575" s="15"/>
      <c r="J2575" s="4"/>
    </row>
    <row r="2576" ht="14.25" customHeight="1">
      <c r="A2576" s="8" t="s">
        <v>16</v>
      </c>
      <c r="B2576" s="8">
        <v>6.1</v>
      </c>
      <c r="F2576" s="4"/>
      <c r="G2576" s="4"/>
      <c r="H2576" s="4"/>
      <c r="I2576" s="15"/>
      <c r="J2576" s="4"/>
    </row>
    <row r="2577" ht="14.25" customHeight="1">
      <c r="A2577" s="8" t="s">
        <v>16</v>
      </c>
      <c r="B2577" s="8">
        <v>6.0</v>
      </c>
      <c r="F2577" s="4"/>
      <c r="G2577" s="4"/>
      <c r="H2577" s="4"/>
      <c r="I2577" s="15"/>
      <c r="J2577" s="4"/>
    </row>
    <row r="2578" ht="14.25" customHeight="1">
      <c r="A2578" s="8" t="s">
        <v>16</v>
      </c>
      <c r="B2578" s="8">
        <v>5.8</v>
      </c>
      <c r="F2578" s="4"/>
      <c r="G2578" s="4"/>
      <c r="H2578" s="4"/>
      <c r="I2578" s="15"/>
      <c r="J2578" s="4"/>
    </row>
    <row r="2579" ht="14.25" customHeight="1">
      <c r="A2579" s="8" t="s">
        <v>16</v>
      </c>
      <c r="B2579" s="8">
        <v>5.6</v>
      </c>
      <c r="F2579" s="4"/>
      <c r="G2579" s="4"/>
      <c r="H2579" s="4"/>
      <c r="I2579" s="15"/>
      <c r="J2579" s="4"/>
    </row>
    <row r="2580" ht="14.25" customHeight="1">
      <c r="A2580" s="8" t="s">
        <v>16</v>
      </c>
      <c r="B2580" s="8">
        <v>6.1</v>
      </c>
      <c r="F2580" s="4"/>
      <c r="G2580" s="4"/>
      <c r="H2580" s="4"/>
      <c r="I2580" s="15"/>
      <c r="J2580" s="4"/>
    </row>
    <row r="2581" ht="14.25" customHeight="1">
      <c r="A2581" s="8" t="s">
        <v>16</v>
      </c>
      <c r="B2581" s="8">
        <v>5.9</v>
      </c>
      <c r="F2581" s="4"/>
      <c r="G2581" s="4"/>
      <c r="H2581" s="4"/>
      <c r="I2581" s="15"/>
      <c r="J2581" s="4"/>
    </row>
    <row r="2582" ht="14.25" customHeight="1">
      <c r="A2582" s="8" t="s">
        <v>1189</v>
      </c>
      <c r="B2582" s="8">
        <v>7.3</v>
      </c>
      <c r="F2582" s="4"/>
      <c r="G2582" s="4"/>
      <c r="H2582" s="4"/>
      <c r="I2582" s="15"/>
      <c r="J2582" s="4"/>
    </row>
    <row r="2583" ht="14.25" customHeight="1">
      <c r="A2583" s="8" t="s">
        <v>16</v>
      </c>
      <c r="B2583" s="8">
        <v>6.8</v>
      </c>
      <c r="F2583" s="4"/>
      <c r="G2583" s="4"/>
      <c r="H2583" s="4"/>
      <c r="I2583" s="15"/>
      <c r="J2583" s="4"/>
    </row>
    <row r="2584" ht="14.25" customHeight="1">
      <c r="A2584" s="8" t="s">
        <v>16</v>
      </c>
      <c r="B2584" s="8">
        <v>5.7</v>
      </c>
      <c r="F2584" s="4"/>
      <c r="G2584" s="4"/>
      <c r="H2584" s="4"/>
      <c r="I2584" s="15"/>
      <c r="J2584" s="4"/>
    </row>
    <row r="2585" ht="14.25" customHeight="1">
      <c r="A2585" s="8" t="s">
        <v>1189</v>
      </c>
      <c r="B2585" s="8">
        <v>7.3</v>
      </c>
      <c r="F2585" s="4"/>
      <c r="G2585" s="4"/>
      <c r="H2585" s="4"/>
      <c r="I2585" s="15"/>
      <c r="J2585" s="4"/>
    </row>
    <row r="2586" ht="14.25" customHeight="1">
      <c r="A2586" s="8" t="s">
        <v>16</v>
      </c>
      <c r="B2586" s="8">
        <v>6.3</v>
      </c>
      <c r="F2586" s="4"/>
      <c r="G2586" s="4"/>
      <c r="H2586" s="4"/>
      <c r="I2586" s="15"/>
      <c r="J2586" s="4"/>
    </row>
    <row r="2587" ht="14.25" customHeight="1">
      <c r="A2587" s="8" t="s">
        <v>16</v>
      </c>
      <c r="B2587" s="8">
        <v>5.9</v>
      </c>
      <c r="F2587" s="4"/>
      <c r="G2587" s="4"/>
      <c r="H2587" s="4"/>
      <c r="I2587" s="15"/>
      <c r="J2587" s="4"/>
    </row>
    <row r="2588" ht="14.25" customHeight="1">
      <c r="A2588" s="8" t="s">
        <v>16</v>
      </c>
      <c r="B2588" s="8">
        <v>7.1</v>
      </c>
      <c r="F2588" s="4"/>
      <c r="G2588" s="4"/>
      <c r="H2588" s="4"/>
      <c r="I2588" s="15"/>
      <c r="J2588" s="4"/>
    </row>
    <row r="2589" ht="14.25" customHeight="1">
      <c r="A2589" s="8" t="s">
        <v>16</v>
      </c>
      <c r="B2589" s="8">
        <v>7.1</v>
      </c>
      <c r="F2589" s="4"/>
      <c r="G2589" s="4"/>
      <c r="H2589" s="4"/>
      <c r="I2589" s="15"/>
      <c r="J2589" s="4"/>
    </row>
    <row r="2590" ht="14.25" customHeight="1">
      <c r="A2590" s="8" t="s">
        <v>16</v>
      </c>
      <c r="B2590" s="8">
        <v>8.0</v>
      </c>
      <c r="F2590" s="4"/>
      <c r="G2590" s="4"/>
      <c r="H2590" s="4"/>
      <c r="I2590" s="15"/>
      <c r="J2590" s="4"/>
    </row>
    <row r="2591" ht="14.25" customHeight="1">
      <c r="A2591" s="8" t="s">
        <v>16</v>
      </c>
      <c r="B2591" s="8">
        <v>5.1</v>
      </c>
      <c r="F2591" s="4"/>
      <c r="G2591" s="4"/>
      <c r="H2591" s="4"/>
      <c r="I2591" s="15"/>
      <c r="J2591" s="4"/>
    </row>
    <row r="2592" ht="14.25" customHeight="1">
      <c r="A2592" s="8" t="s">
        <v>16</v>
      </c>
      <c r="B2592" s="8">
        <v>7.1</v>
      </c>
      <c r="F2592" s="4"/>
      <c r="G2592" s="4"/>
      <c r="H2592" s="4"/>
      <c r="I2592" s="15"/>
      <c r="J2592" s="4"/>
    </row>
    <row r="2593" ht="14.25" customHeight="1">
      <c r="A2593" s="8" t="s">
        <v>16</v>
      </c>
      <c r="B2593" s="8">
        <v>6.5</v>
      </c>
      <c r="F2593" s="4"/>
      <c r="G2593" s="4"/>
      <c r="H2593" s="4"/>
      <c r="I2593" s="15"/>
      <c r="J2593" s="4"/>
    </row>
    <row r="2594" ht="14.25" customHeight="1">
      <c r="A2594" s="8" t="s">
        <v>16</v>
      </c>
      <c r="B2594" s="8">
        <v>4.5</v>
      </c>
      <c r="F2594" s="4"/>
      <c r="G2594" s="4"/>
      <c r="H2594" s="4"/>
      <c r="I2594" s="15"/>
      <c r="J2594" s="4"/>
    </row>
    <row r="2595" ht="14.25" customHeight="1">
      <c r="A2595" s="8" t="s">
        <v>16</v>
      </c>
      <c r="B2595" s="8">
        <v>6.6</v>
      </c>
      <c r="F2595" s="4"/>
      <c r="G2595" s="4"/>
      <c r="H2595" s="4"/>
      <c r="I2595" s="15"/>
      <c r="J2595" s="4"/>
    </row>
    <row r="2596" ht="14.25" customHeight="1">
      <c r="A2596" s="8" t="s">
        <v>5276</v>
      </c>
      <c r="B2596" s="8">
        <v>4.3</v>
      </c>
      <c r="F2596" s="4"/>
      <c r="G2596" s="4"/>
      <c r="H2596" s="4"/>
      <c r="I2596" s="15"/>
      <c r="J2596" s="4"/>
    </row>
    <row r="2597" ht="14.25" customHeight="1">
      <c r="A2597" s="8" t="s">
        <v>16</v>
      </c>
      <c r="B2597" s="8">
        <v>6.7</v>
      </c>
      <c r="F2597" s="4"/>
      <c r="G2597" s="4"/>
      <c r="H2597" s="4"/>
      <c r="I2597" s="15"/>
      <c r="J2597" s="4"/>
    </row>
    <row r="2598" ht="14.25" customHeight="1">
      <c r="A2598" s="8" t="s">
        <v>16</v>
      </c>
      <c r="B2598" s="8">
        <v>6.8</v>
      </c>
      <c r="F2598" s="4"/>
      <c r="G2598" s="4"/>
      <c r="H2598" s="4"/>
      <c r="I2598" s="15"/>
      <c r="J2598" s="4"/>
    </row>
    <row r="2599" ht="14.25" customHeight="1">
      <c r="A2599" s="8" t="s">
        <v>16</v>
      </c>
      <c r="B2599" s="8">
        <v>5.4</v>
      </c>
      <c r="F2599" s="4"/>
      <c r="G2599" s="4"/>
      <c r="H2599" s="4"/>
      <c r="I2599" s="15"/>
      <c r="J2599" s="4"/>
    </row>
    <row r="2600" ht="14.25" customHeight="1">
      <c r="A2600" s="8" t="s">
        <v>16</v>
      </c>
      <c r="B2600" s="8">
        <v>6.6</v>
      </c>
      <c r="F2600" s="4"/>
      <c r="G2600" s="4"/>
      <c r="H2600" s="4"/>
      <c r="I2600" s="15"/>
      <c r="J2600" s="4"/>
    </row>
    <row r="2601" ht="14.25" customHeight="1">
      <c r="A2601" s="8" t="s">
        <v>16</v>
      </c>
      <c r="B2601" s="8">
        <v>7.3</v>
      </c>
      <c r="F2601" s="4"/>
      <c r="G2601" s="4"/>
      <c r="H2601" s="4"/>
      <c r="I2601" s="15"/>
      <c r="J2601" s="4"/>
    </row>
    <row r="2602" ht="14.25" customHeight="1">
      <c r="A2602" s="8" t="s">
        <v>16</v>
      </c>
      <c r="B2602" s="8">
        <v>6.9</v>
      </c>
      <c r="F2602" s="4"/>
      <c r="G2602" s="4"/>
      <c r="H2602" s="4"/>
      <c r="I2602" s="15"/>
      <c r="J2602" s="4"/>
    </row>
    <row r="2603" ht="14.25" customHeight="1">
      <c r="A2603" s="8" t="s">
        <v>16</v>
      </c>
      <c r="B2603" s="8">
        <v>8.0</v>
      </c>
      <c r="F2603" s="4"/>
      <c r="G2603" s="4"/>
      <c r="H2603" s="4"/>
      <c r="I2603" s="15"/>
      <c r="J2603" s="4"/>
    </row>
    <row r="2604" ht="14.25" customHeight="1">
      <c r="A2604" s="8" t="s">
        <v>16</v>
      </c>
      <c r="B2604" s="8">
        <v>7.8</v>
      </c>
      <c r="F2604" s="4"/>
      <c r="G2604" s="4"/>
      <c r="H2604" s="4"/>
      <c r="I2604" s="15"/>
      <c r="J2604" s="4"/>
    </row>
    <row r="2605" ht="14.25" customHeight="1">
      <c r="A2605" s="8" t="s">
        <v>16</v>
      </c>
      <c r="B2605" s="8">
        <v>6.1</v>
      </c>
      <c r="F2605" s="4"/>
      <c r="G2605" s="4"/>
      <c r="H2605" s="4"/>
      <c r="I2605" s="15"/>
      <c r="J2605" s="4"/>
    </row>
    <row r="2606" ht="14.25" customHeight="1">
      <c r="A2606" s="8" t="s">
        <v>16</v>
      </c>
      <c r="B2606" s="8">
        <v>5.1</v>
      </c>
      <c r="F2606" s="4"/>
      <c r="G2606" s="4"/>
      <c r="H2606" s="4"/>
      <c r="I2606" s="15"/>
      <c r="J2606" s="4"/>
    </row>
    <row r="2607" ht="14.25" customHeight="1">
      <c r="A2607" s="8" t="s">
        <v>16</v>
      </c>
      <c r="B2607" s="8">
        <v>7.4</v>
      </c>
      <c r="F2607" s="4"/>
      <c r="G2607" s="4"/>
      <c r="H2607" s="4"/>
      <c r="I2607" s="15"/>
      <c r="J2607" s="4"/>
    </row>
    <row r="2608" ht="14.25" customHeight="1">
      <c r="A2608" s="8" t="s">
        <v>16</v>
      </c>
      <c r="B2608" s="8">
        <v>7.8</v>
      </c>
      <c r="F2608" s="4"/>
      <c r="G2608" s="4"/>
      <c r="H2608" s="4"/>
      <c r="I2608" s="15"/>
      <c r="J2608" s="4"/>
    </row>
    <row r="2609" ht="14.25" customHeight="1">
      <c r="A2609" s="8" t="s">
        <v>16</v>
      </c>
      <c r="B2609" s="8">
        <v>8.0</v>
      </c>
      <c r="F2609" s="4"/>
      <c r="G2609" s="4"/>
      <c r="H2609" s="4"/>
      <c r="I2609" s="15"/>
      <c r="J2609" s="4"/>
    </row>
    <row r="2610" ht="14.25" customHeight="1">
      <c r="A2610" s="8" t="s">
        <v>16</v>
      </c>
      <c r="B2610" s="8">
        <v>6.7</v>
      </c>
      <c r="F2610" s="4"/>
      <c r="G2610" s="4"/>
      <c r="H2610" s="4"/>
      <c r="I2610" s="15"/>
      <c r="J2610" s="4"/>
    </row>
    <row r="2611" ht="14.25" customHeight="1">
      <c r="A2611" s="8" t="s">
        <v>16</v>
      </c>
      <c r="B2611" s="8">
        <v>6.6</v>
      </c>
      <c r="F2611" s="4"/>
      <c r="G2611" s="4"/>
      <c r="H2611" s="4"/>
      <c r="I2611" s="15"/>
      <c r="J2611" s="4"/>
    </row>
    <row r="2612" ht="14.25" customHeight="1">
      <c r="A2612" s="8" t="s">
        <v>16</v>
      </c>
      <c r="B2612" s="8">
        <v>6.4</v>
      </c>
      <c r="F2612" s="4"/>
      <c r="G2612" s="4"/>
      <c r="H2612" s="4"/>
      <c r="I2612" s="15"/>
      <c r="J2612" s="4"/>
    </row>
    <row r="2613" ht="14.25" customHeight="1">
      <c r="A2613" s="8" t="s">
        <v>16</v>
      </c>
      <c r="B2613" s="8">
        <v>6.7</v>
      </c>
      <c r="F2613" s="4"/>
      <c r="G2613" s="4"/>
      <c r="H2613" s="4"/>
      <c r="I2613" s="15"/>
      <c r="J2613" s="4"/>
    </row>
    <row r="2614" ht="14.25" customHeight="1">
      <c r="A2614" s="8" t="s">
        <v>16</v>
      </c>
      <c r="B2614" s="8">
        <v>6.2</v>
      </c>
      <c r="F2614" s="4"/>
      <c r="G2614" s="4"/>
      <c r="H2614" s="4"/>
      <c r="I2614" s="15"/>
      <c r="J2614" s="4"/>
    </row>
    <row r="2615" ht="14.25" customHeight="1">
      <c r="A2615" s="8" t="s">
        <v>16</v>
      </c>
      <c r="B2615" s="8">
        <v>7.3</v>
      </c>
      <c r="F2615" s="4"/>
      <c r="G2615" s="4"/>
      <c r="H2615" s="4"/>
      <c r="I2615" s="15"/>
      <c r="J2615" s="4"/>
    </row>
    <row r="2616" ht="14.25" customHeight="1">
      <c r="A2616" s="8" t="s">
        <v>5316</v>
      </c>
      <c r="B2616" s="8">
        <v>8.1</v>
      </c>
      <c r="F2616" s="4"/>
      <c r="G2616" s="4"/>
      <c r="H2616" s="4"/>
      <c r="I2616" s="15"/>
      <c r="J2616" s="4"/>
    </row>
    <row r="2617" ht="14.25" customHeight="1">
      <c r="A2617" s="8" t="s">
        <v>16</v>
      </c>
      <c r="B2617" s="8">
        <v>7.0</v>
      </c>
      <c r="F2617" s="4"/>
      <c r="G2617" s="4"/>
      <c r="H2617" s="4"/>
      <c r="I2617" s="15"/>
      <c r="J2617" s="4"/>
    </row>
    <row r="2618" ht="14.25" customHeight="1">
      <c r="A2618" s="8" t="s">
        <v>16</v>
      </c>
      <c r="B2618" s="8">
        <v>8.0</v>
      </c>
      <c r="F2618" s="4"/>
      <c r="G2618" s="4"/>
      <c r="H2618" s="4"/>
      <c r="I2618" s="15"/>
      <c r="J2618" s="4"/>
    </row>
    <row r="2619" ht="14.25" customHeight="1">
      <c r="A2619" s="8" t="s">
        <v>16</v>
      </c>
      <c r="B2619" s="8">
        <v>8.0</v>
      </c>
      <c r="F2619" s="4"/>
      <c r="G2619" s="4"/>
      <c r="H2619" s="4"/>
      <c r="I2619" s="15"/>
      <c r="J2619" s="4"/>
    </row>
    <row r="2620" ht="14.25" customHeight="1">
      <c r="A2620" s="8" t="s">
        <v>16</v>
      </c>
      <c r="B2620" s="8">
        <v>7.0</v>
      </c>
      <c r="F2620" s="4"/>
      <c r="G2620" s="4"/>
      <c r="H2620" s="4"/>
      <c r="I2620" s="15"/>
      <c r="J2620" s="4"/>
    </row>
    <row r="2621" ht="14.25" customHeight="1">
      <c r="A2621" s="8" t="s">
        <v>1189</v>
      </c>
      <c r="B2621" s="8">
        <v>7.9</v>
      </c>
      <c r="F2621" s="4"/>
      <c r="G2621" s="4"/>
      <c r="H2621" s="4"/>
      <c r="I2621" s="15"/>
      <c r="J2621" s="4"/>
    </row>
    <row r="2622" ht="14.25" customHeight="1">
      <c r="A2622" s="8" t="s">
        <v>16</v>
      </c>
      <c r="B2622" s="8">
        <v>5.9</v>
      </c>
      <c r="F2622" s="4"/>
      <c r="G2622" s="4"/>
      <c r="H2622" s="4"/>
      <c r="I2622" s="15"/>
      <c r="J2622" s="4"/>
    </row>
    <row r="2623" ht="14.25" customHeight="1">
      <c r="A2623" s="8" t="s">
        <v>16</v>
      </c>
      <c r="B2623" s="8">
        <v>6.6</v>
      </c>
      <c r="F2623" s="4"/>
      <c r="G2623" s="4"/>
      <c r="H2623" s="4"/>
      <c r="I2623" s="15"/>
      <c r="J2623" s="4"/>
    </row>
    <row r="2624" ht="14.25" customHeight="1">
      <c r="A2624" s="8" t="s">
        <v>16</v>
      </c>
      <c r="B2624" s="8">
        <v>6.3</v>
      </c>
      <c r="F2624" s="4"/>
      <c r="G2624" s="4"/>
      <c r="H2624" s="4"/>
      <c r="I2624" s="15"/>
      <c r="J2624" s="4"/>
    </row>
    <row r="2625" ht="14.25" customHeight="1">
      <c r="A2625" s="8" t="s">
        <v>16</v>
      </c>
      <c r="B2625" s="8">
        <v>7.7</v>
      </c>
      <c r="F2625" s="4"/>
      <c r="G2625" s="4"/>
      <c r="H2625" s="4"/>
      <c r="I2625" s="15"/>
      <c r="J2625" s="4"/>
    </row>
    <row r="2626" ht="14.25" customHeight="1">
      <c r="A2626" s="8" t="s">
        <v>16</v>
      </c>
      <c r="B2626" s="8">
        <v>6.9</v>
      </c>
      <c r="F2626" s="4"/>
      <c r="G2626" s="4"/>
      <c r="H2626" s="4"/>
      <c r="I2626" s="15"/>
      <c r="J2626" s="4"/>
    </row>
    <row r="2627" ht="14.25" customHeight="1">
      <c r="A2627" s="8" t="s">
        <v>16</v>
      </c>
      <c r="B2627" s="8">
        <v>7.1</v>
      </c>
      <c r="F2627" s="4"/>
      <c r="G2627" s="4"/>
      <c r="H2627" s="4"/>
      <c r="I2627" s="15"/>
      <c r="J2627" s="4"/>
    </row>
    <row r="2628" ht="14.25" customHeight="1">
      <c r="A2628" s="8" t="s">
        <v>16</v>
      </c>
      <c r="B2628" s="8">
        <v>7.4</v>
      </c>
      <c r="F2628" s="4"/>
      <c r="G2628" s="4"/>
      <c r="H2628" s="4"/>
      <c r="I2628" s="15"/>
      <c r="J2628" s="4"/>
    </row>
    <row r="2629" ht="14.25" customHeight="1">
      <c r="A2629" s="8" t="s">
        <v>16</v>
      </c>
      <c r="B2629" s="8">
        <v>6.5</v>
      </c>
      <c r="F2629" s="4"/>
      <c r="G2629" s="4"/>
      <c r="H2629" s="4"/>
      <c r="I2629" s="15"/>
      <c r="J2629" s="4"/>
    </row>
    <row r="2630" ht="14.25" customHeight="1">
      <c r="A2630" s="8" t="s">
        <v>16</v>
      </c>
      <c r="B2630" s="8">
        <v>6.5</v>
      </c>
      <c r="F2630" s="4"/>
      <c r="G2630" s="4"/>
      <c r="H2630" s="4"/>
      <c r="I2630" s="15"/>
      <c r="J2630" s="4"/>
    </row>
    <row r="2631" ht="14.25" customHeight="1">
      <c r="A2631" s="8" t="s">
        <v>16</v>
      </c>
      <c r="B2631" s="8">
        <v>6.8</v>
      </c>
      <c r="F2631" s="4"/>
      <c r="G2631" s="4"/>
      <c r="H2631" s="4"/>
      <c r="I2631" s="15"/>
      <c r="J2631" s="4"/>
    </row>
    <row r="2632" ht="14.25" customHeight="1">
      <c r="A2632" s="8" t="s">
        <v>16</v>
      </c>
      <c r="B2632" s="8">
        <v>7.5</v>
      </c>
      <c r="F2632" s="4"/>
      <c r="G2632" s="4"/>
      <c r="H2632" s="4"/>
      <c r="I2632" s="15"/>
      <c r="J2632" s="4"/>
    </row>
    <row r="2633" ht="14.25" customHeight="1">
      <c r="A2633" s="8" t="s">
        <v>16</v>
      </c>
      <c r="B2633" s="8">
        <v>6.6</v>
      </c>
      <c r="F2633" s="4"/>
      <c r="G2633" s="4"/>
      <c r="H2633" s="4"/>
      <c r="I2633" s="15"/>
      <c r="J2633" s="4"/>
    </row>
    <row r="2634" ht="14.25" customHeight="1">
      <c r="A2634" s="8" t="s">
        <v>16</v>
      </c>
      <c r="B2634" s="8">
        <v>7.1</v>
      </c>
      <c r="F2634" s="4"/>
      <c r="G2634" s="4"/>
      <c r="H2634" s="4"/>
      <c r="I2634" s="15"/>
      <c r="J2634" s="4"/>
    </row>
    <row r="2635" ht="14.25" customHeight="1">
      <c r="A2635" s="8" t="s">
        <v>16</v>
      </c>
      <c r="B2635" s="8">
        <v>6.6</v>
      </c>
      <c r="F2635" s="4"/>
      <c r="G2635" s="4"/>
      <c r="H2635" s="4"/>
      <c r="I2635" s="15"/>
      <c r="J2635" s="4"/>
    </row>
    <row r="2636" ht="14.25" customHeight="1">
      <c r="A2636" s="8" t="s">
        <v>16</v>
      </c>
      <c r="B2636" s="8">
        <v>7.0</v>
      </c>
      <c r="F2636" s="4"/>
      <c r="G2636" s="4"/>
      <c r="H2636" s="4"/>
      <c r="I2636" s="15"/>
      <c r="J2636" s="4"/>
    </row>
    <row r="2637" ht="14.25" customHeight="1">
      <c r="A2637" s="8" t="s">
        <v>16</v>
      </c>
      <c r="B2637" s="8">
        <v>3.3</v>
      </c>
      <c r="F2637" s="4"/>
      <c r="G2637" s="4"/>
      <c r="H2637" s="4"/>
      <c r="I2637" s="15"/>
      <c r="J2637" s="4"/>
    </row>
    <row r="2638" ht="14.25" customHeight="1">
      <c r="A2638" s="8" t="s">
        <v>16</v>
      </c>
      <c r="B2638" s="8">
        <v>6.7</v>
      </c>
      <c r="F2638" s="4"/>
      <c r="G2638" s="4"/>
      <c r="H2638" s="4"/>
      <c r="I2638" s="15"/>
      <c r="J2638" s="4"/>
    </row>
    <row r="2639" ht="14.25" customHeight="1">
      <c r="A2639" s="8" t="s">
        <v>16</v>
      </c>
      <c r="B2639" s="8">
        <v>6.8</v>
      </c>
      <c r="F2639" s="4"/>
      <c r="G2639" s="4"/>
      <c r="H2639" s="4"/>
      <c r="I2639" s="15"/>
      <c r="J2639" s="4"/>
    </row>
    <row r="2640" ht="14.25" customHeight="1">
      <c r="A2640" s="8" t="s">
        <v>16</v>
      </c>
      <c r="B2640" s="8">
        <v>6.0</v>
      </c>
      <c r="F2640" s="4"/>
      <c r="G2640" s="4"/>
      <c r="H2640" s="4"/>
      <c r="I2640" s="15"/>
      <c r="J2640" s="4"/>
    </row>
    <row r="2641" ht="14.25" customHeight="1">
      <c r="A2641" s="8" t="s">
        <v>16</v>
      </c>
      <c r="B2641" s="8">
        <v>5.4</v>
      </c>
      <c r="F2641" s="4"/>
      <c r="G2641" s="4"/>
      <c r="H2641" s="4"/>
      <c r="I2641" s="15"/>
      <c r="J2641" s="4"/>
    </row>
    <row r="2642" ht="14.25" customHeight="1">
      <c r="A2642" s="8" t="s">
        <v>16</v>
      </c>
      <c r="B2642" s="8">
        <v>4.3</v>
      </c>
      <c r="F2642" s="4"/>
      <c r="G2642" s="4"/>
      <c r="H2642" s="4"/>
      <c r="I2642" s="15"/>
      <c r="J2642" s="4"/>
    </row>
    <row r="2643" ht="14.25" customHeight="1">
      <c r="A2643" s="8" t="s">
        <v>16</v>
      </c>
      <c r="B2643" s="8">
        <v>6.2</v>
      </c>
      <c r="F2643" s="4"/>
      <c r="G2643" s="4"/>
      <c r="H2643" s="4"/>
      <c r="I2643" s="15"/>
      <c r="J2643" s="4"/>
    </row>
    <row r="2644" ht="14.25" customHeight="1">
      <c r="A2644" s="8" t="s">
        <v>16</v>
      </c>
      <c r="B2644" s="8">
        <v>7.7</v>
      </c>
      <c r="F2644" s="4"/>
      <c r="G2644" s="4"/>
      <c r="H2644" s="4"/>
      <c r="I2644" s="15"/>
      <c r="J2644" s="4"/>
    </row>
    <row r="2645" ht="14.25" customHeight="1">
      <c r="A2645" s="8" t="s">
        <v>16</v>
      </c>
      <c r="B2645" s="8">
        <v>8.0</v>
      </c>
      <c r="F2645" s="4"/>
      <c r="G2645" s="4"/>
      <c r="H2645" s="4"/>
      <c r="I2645" s="15"/>
      <c r="J2645" s="4"/>
    </row>
    <row r="2646" ht="14.25" customHeight="1">
      <c r="A2646" s="8" t="s">
        <v>16</v>
      </c>
      <c r="B2646" s="8">
        <v>7.4</v>
      </c>
      <c r="F2646" s="4"/>
      <c r="G2646" s="4"/>
      <c r="H2646" s="4"/>
      <c r="I2646" s="15"/>
      <c r="J2646" s="4"/>
    </row>
    <row r="2647" ht="14.25" customHeight="1">
      <c r="A2647" s="8" t="s">
        <v>16</v>
      </c>
      <c r="B2647" s="8">
        <v>5.9</v>
      </c>
      <c r="F2647" s="4"/>
      <c r="G2647" s="4"/>
      <c r="H2647" s="4"/>
      <c r="I2647" s="15"/>
      <c r="J2647" s="4"/>
    </row>
    <row r="2648" ht="14.25" customHeight="1">
      <c r="A2648" s="8" t="s">
        <v>16</v>
      </c>
      <c r="B2648" s="8">
        <v>7.8</v>
      </c>
      <c r="F2648" s="4"/>
      <c r="G2648" s="4"/>
      <c r="H2648" s="4"/>
      <c r="I2648" s="15"/>
      <c r="J2648" s="4"/>
    </row>
    <row r="2649" ht="14.25" customHeight="1">
      <c r="A2649" s="8" t="s">
        <v>16</v>
      </c>
      <c r="B2649" s="8">
        <v>7.4</v>
      </c>
      <c r="F2649" s="4"/>
      <c r="G2649" s="4"/>
      <c r="H2649" s="4"/>
      <c r="I2649" s="15"/>
      <c r="J2649" s="4"/>
    </row>
    <row r="2650" ht="14.25" customHeight="1">
      <c r="A2650" s="8" t="s">
        <v>16</v>
      </c>
      <c r="B2650" s="8">
        <v>6.5</v>
      </c>
      <c r="F2650" s="4"/>
      <c r="G2650" s="4"/>
      <c r="H2650" s="4"/>
      <c r="I2650" s="15"/>
      <c r="J2650" s="4"/>
    </row>
    <row r="2651" ht="14.25" customHeight="1">
      <c r="A2651" s="8" t="s">
        <v>16</v>
      </c>
      <c r="B2651" s="8">
        <v>7.0</v>
      </c>
      <c r="F2651" s="4"/>
      <c r="G2651" s="4"/>
      <c r="H2651" s="4"/>
      <c r="I2651" s="15"/>
      <c r="J2651" s="4"/>
    </row>
    <row r="2652" ht="14.25" customHeight="1">
      <c r="A2652" s="8" t="s">
        <v>16</v>
      </c>
      <c r="B2652" s="8">
        <v>7.6</v>
      </c>
      <c r="F2652" s="4"/>
      <c r="G2652" s="4"/>
      <c r="H2652" s="4"/>
      <c r="I2652" s="15"/>
      <c r="J2652" s="4"/>
    </row>
    <row r="2653" ht="14.25" customHeight="1">
      <c r="A2653" s="8" t="s">
        <v>16</v>
      </c>
      <c r="B2653" s="8">
        <v>6.9</v>
      </c>
      <c r="F2653" s="4"/>
      <c r="G2653" s="4"/>
      <c r="H2653" s="4"/>
      <c r="I2653" s="15"/>
      <c r="J2653" s="4"/>
    </row>
    <row r="2654" ht="14.25" customHeight="1">
      <c r="A2654" s="8" t="s">
        <v>16</v>
      </c>
      <c r="B2654" s="8">
        <v>5.3</v>
      </c>
      <c r="F2654" s="4"/>
      <c r="G2654" s="4"/>
      <c r="H2654" s="4"/>
      <c r="I2654" s="15"/>
      <c r="J2654" s="4"/>
    </row>
    <row r="2655" ht="14.25" customHeight="1">
      <c r="A2655" s="8" t="s">
        <v>16</v>
      </c>
      <c r="B2655" s="8">
        <v>6.4</v>
      </c>
      <c r="F2655" s="4"/>
      <c r="G2655" s="4"/>
      <c r="H2655" s="4"/>
      <c r="I2655" s="15"/>
      <c r="J2655" s="4"/>
    </row>
    <row r="2656" ht="14.25" customHeight="1">
      <c r="A2656" s="8" t="s">
        <v>16</v>
      </c>
      <c r="B2656" s="8">
        <v>7.8</v>
      </c>
      <c r="F2656" s="4"/>
      <c r="G2656" s="4"/>
      <c r="H2656" s="4"/>
      <c r="I2656" s="15"/>
      <c r="J2656" s="4"/>
    </row>
    <row r="2657" ht="14.25" customHeight="1">
      <c r="A2657" s="8" t="s">
        <v>16</v>
      </c>
      <c r="B2657" s="8">
        <v>6.7</v>
      </c>
      <c r="F2657" s="4"/>
      <c r="G2657" s="4"/>
      <c r="H2657" s="4"/>
      <c r="I2657" s="15"/>
      <c r="J2657" s="4"/>
    </row>
    <row r="2658" ht="14.25" customHeight="1">
      <c r="A2658" s="8" t="s">
        <v>16</v>
      </c>
      <c r="B2658" s="8">
        <v>5.3</v>
      </c>
      <c r="F2658" s="4"/>
      <c r="G2658" s="4"/>
      <c r="H2658" s="4"/>
      <c r="I2658" s="15"/>
      <c r="J2658" s="4"/>
    </row>
    <row r="2659" ht="14.25" customHeight="1">
      <c r="A2659" s="8" t="s">
        <v>16</v>
      </c>
      <c r="B2659" s="8">
        <v>6.3</v>
      </c>
      <c r="F2659" s="4"/>
      <c r="G2659" s="4"/>
      <c r="H2659" s="4"/>
      <c r="I2659" s="15"/>
      <c r="J2659" s="4"/>
    </row>
    <row r="2660" ht="14.25" customHeight="1">
      <c r="A2660" s="8" t="s">
        <v>16</v>
      </c>
      <c r="B2660" s="8">
        <v>7.0</v>
      </c>
      <c r="F2660" s="4"/>
      <c r="G2660" s="4"/>
      <c r="H2660" s="4"/>
      <c r="I2660" s="15"/>
      <c r="J2660" s="4"/>
    </row>
    <row r="2661" ht="14.25" customHeight="1">
      <c r="A2661" s="8" t="s">
        <v>16</v>
      </c>
      <c r="B2661" s="8">
        <v>6.6</v>
      </c>
      <c r="F2661" s="4"/>
      <c r="G2661" s="4"/>
      <c r="H2661" s="4"/>
      <c r="I2661" s="15"/>
      <c r="J2661" s="4"/>
    </row>
    <row r="2662" ht="14.25" customHeight="1">
      <c r="A2662" s="8" t="s">
        <v>4449</v>
      </c>
      <c r="B2662" s="8">
        <v>8.4</v>
      </c>
      <c r="F2662" s="4"/>
      <c r="G2662" s="4"/>
      <c r="H2662" s="4"/>
      <c r="I2662" s="15"/>
      <c r="J2662" s="4"/>
    </row>
    <row r="2663" ht="14.25" customHeight="1">
      <c r="A2663" s="8" t="s">
        <v>16</v>
      </c>
      <c r="B2663" s="8">
        <v>5.4</v>
      </c>
      <c r="F2663" s="4"/>
      <c r="G2663" s="4"/>
      <c r="H2663" s="4"/>
      <c r="I2663" s="15"/>
      <c r="J2663" s="4"/>
    </row>
    <row r="2664" ht="14.25" customHeight="1">
      <c r="A2664" s="8" t="s">
        <v>16</v>
      </c>
      <c r="B2664" s="8">
        <v>7.8</v>
      </c>
      <c r="F2664" s="4"/>
      <c r="G2664" s="4"/>
      <c r="H2664" s="4"/>
      <c r="I2664" s="15"/>
      <c r="J2664" s="4"/>
    </row>
    <row r="2665" ht="14.25" customHeight="1">
      <c r="A2665" s="8" t="s">
        <v>816</v>
      </c>
      <c r="B2665" s="8">
        <v>7.6</v>
      </c>
      <c r="F2665" s="4"/>
      <c r="G2665" s="4"/>
      <c r="H2665" s="4"/>
      <c r="I2665" s="15"/>
      <c r="J2665" s="4"/>
    </row>
    <row r="2666" ht="14.25" customHeight="1">
      <c r="A2666" s="8" t="s">
        <v>16</v>
      </c>
      <c r="B2666" s="8">
        <v>6.6</v>
      </c>
      <c r="F2666" s="4"/>
      <c r="G2666" s="4"/>
      <c r="H2666" s="4"/>
      <c r="I2666" s="15"/>
      <c r="J2666" s="4"/>
    </row>
    <row r="2667" ht="14.25" customHeight="1">
      <c r="A2667" s="8" t="s">
        <v>16</v>
      </c>
      <c r="B2667" s="8">
        <v>6.4</v>
      </c>
      <c r="F2667" s="4"/>
      <c r="G2667" s="4"/>
      <c r="H2667" s="4"/>
      <c r="I2667" s="15"/>
      <c r="J2667" s="4"/>
    </row>
    <row r="2668" ht="14.25" customHeight="1">
      <c r="A2668" s="8" t="s">
        <v>16</v>
      </c>
      <c r="B2668" s="8">
        <v>7.0</v>
      </c>
      <c r="F2668" s="4"/>
      <c r="G2668" s="4"/>
      <c r="H2668" s="4"/>
      <c r="I2668" s="15"/>
      <c r="J2668" s="4"/>
    </row>
    <row r="2669" ht="14.25" customHeight="1">
      <c r="A2669" s="8" t="s">
        <v>16</v>
      </c>
      <c r="B2669" s="8">
        <v>5.7</v>
      </c>
      <c r="F2669" s="4"/>
      <c r="G2669" s="4"/>
      <c r="H2669" s="4"/>
      <c r="I2669" s="15"/>
      <c r="J2669" s="4"/>
    </row>
    <row r="2670" ht="14.25" customHeight="1">
      <c r="A2670" s="8" t="s">
        <v>16</v>
      </c>
      <c r="B2670" s="8">
        <v>5.9</v>
      </c>
      <c r="F2670" s="4"/>
      <c r="G2670" s="4"/>
      <c r="H2670" s="4"/>
      <c r="I2670" s="15"/>
      <c r="J2670" s="4"/>
    </row>
    <row r="2671" ht="14.25" customHeight="1">
      <c r="A2671" s="8" t="s">
        <v>16</v>
      </c>
      <c r="B2671" s="8">
        <v>6.3</v>
      </c>
      <c r="F2671" s="4"/>
      <c r="G2671" s="4"/>
      <c r="H2671" s="4"/>
      <c r="I2671" s="15"/>
      <c r="J2671" s="4"/>
    </row>
    <row r="2672" ht="14.25" customHeight="1">
      <c r="A2672" s="8" t="s">
        <v>16</v>
      </c>
      <c r="B2672" s="8">
        <v>6.3</v>
      </c>
      <c r="F2672" s="4"/>
      <c r="G2672" s="4"/>
      <c r="H2672" s="4"/>
      <c r="I2672" s="15"/>
      <c r="J2672" s="4"/>
    </row>
    <row r="2673" ht="14.25" customHeight="1">
      <c r="A2673" s="8" t="s">
        <v>16</v>
      </c>
      <c r="B2673" s="8">
        <v>6.2</v>
      </c>
      <c r="F2673" s="4"/>
      <c r="G2673" s="4"/>
      <c r="H2673" s="4"/>
      <c r="I2673" s="15"/>
      <c r="J2673" s="4"/>
    </row>
    <row r="2674" ht="14.25" customHeight="1">
      <c r="A2674" s="8" t="s">
        <v>16</v>
      </c>
      <c r="B2674" s="8">
        <v>2.1</v>
      </c>
      <c r="F2674" s="4"/>
      <c r="G2674" s="4"/>
      <c r="H2674" s="4"/>
      <c r="I2674" s="15"/>
      <c r="J2674" s="4"/>
    </row>
    <row r="2675" ht="14.25" customHeight="1">
      <c r="A2675" s="8" t="s">
        <v>16</v>
      </c>
      <c r="B2675" s="8">
        <v>5.0</v>
      </c>
      <c r="F2675" s="4"/>
      <c r="G2675" s="4"/>
      <c r="H2675" s="4"/>
      <c r="I2675" s="15"/>
      <c r="J2675" s="4"/>
    </row>
    <row r="2676" ht="14.25" customHeight="1">
      <c r="A2676" s="8" t="s">
        <v>16</v>
      </c>
      <c r="B2676" s="8">
        <v>5.3</v>
      </c>
      <c r="F2676" s="4"/>
      <c r="G2676" s="4"/>
      <c r="H2676" s="4"/>
      <c r="I2676" s="15"/>
      <c r="J2676" s="4"/>
    </row>
    <row r="2677" ht="14.25" customHeight="1">
      <c r="A2677" s="8" t="s">
        <v>16</v>
      </c>
      <c r="B2677" s="8">
        <v>7.1</v>
      </c>
      <c r="F2677" s="4"/>
      <c r="G2677" s="4"/>
      <c r="H2677" s="4"/>
      <c r="I2677" s="15"/>
      <c r="J2677" s="4"/>
    </row>
    <row r="2678" ht="14.25" customHeight="1">
      <c r="A2678" s="8" t="s">
        <v>16</v>
      </c>
      <c r="B2678" s="8">
        <v>7.0</v>
      </c>
      <c r="F2678" s="4"/>
      <c r="G2678" s="4"/>
      <c r="H2678" s="4"/>
      <c r="I2678" s="15"/>
      <c r="J2678" s="4"/>
    </row>
    <row r="2679" ht="14.25" customHeight="1">
      <c r="A2679" s="8" t="s">
        <v>5316</v>
      </c>
      <c r="B2679" s="8">
        <v>7.0</v>
      </c>
      <c r="F2679" s="4"/>
      <c r="G2679" s="4"/>
      <c r="H2679" s="4"/>
      <c r="I2679" s="15"/>
      <c r="J2679" s="4"/>
    </row>
    <row r="2680" ht="14.25" customHeight="1">
      <c r="A2680" s="8" t="s">
        <v>16</v>
      </c>
      <c r="B2680" s="8">
        <v>7.1</v>
      </c>
      <c r="F2680" s="4"/>
      <c r="G2680" s="4"/>
      <c r="H2680" s="4"/>
      <c r="I2680" s="15"/>
      <c r="J2680" s="4"/>
    </row>
    <row r="2681" ht="14.25" customHeight="1">
      <c r="A2681" s="8" t="s">
        <v>16</v>
      </c>
      <c r="B2681" s="8">
        <v>7.0</v>
      </c>
      <c r="F2681" s="4"/>
      <c r="G2681" s="4"/>
      <c r="H2681" s="4"/>
      <c r="I2681" s="15"/>
      <c r="J2681" s="4"/>
    </row>
    <row r="2682" ht="14.25" customHeight="1">
      <c r="A2682" s="8" t="s">
        <v>3818</v>
      </c>
      <c r="B2682" s="8">
        <v>7.7</v>
      </c>
      <c r="F2682" s="4"/>
      <c r="G2682" s="4"/>
      <c r="H2682" s="4"/>
      <c r="I2682" s="15"/>
      <c r="J2682" s="4"/>
    </row>
    <row r="2683" ht="14.25" customHeight="1">
      <c r="A2683" s="8" t="s">
        <v>16</v>
      </c>
      <c r="B2683" s="8">
        <v>7.1</v>
      </c>
      <c r="F2683" s="4"/>
      <c r="G2683" s="4"/>
      <c r="H2683" s="4"/>
      <c r="I2683" s="15"/>
      <c r="J2683" s="4"/>
    </row>
    <row r="2684" ht="14.25" customHeight="1">
      <c r="A2684" s="8" t="s">
        <v>16</v>
      </c>
      <c r="B2684" s="8">
        <v>6.8</v>
      </c>
      <c r="F2684" s="4"/>
      <c r="G2684" s="4"/>
      <c r="H2684" s="4"/>
      <c r="I2684" s="15"/>
      <c r="J2684" s="4"/>
    </row>
    <row r="2685" ht="14.25" customHeight="1">
      <c r="A2685" s="8" t="s">
        <v>2884</v>
      </c>
      <c r="B2685" s="8">
        <v>7.5</v>
      </c>
      <c r="F2685" s="4"/>
      <c r="G2685" s="4"/>
      <c r="H2685" s="4"/>
      <c r="I2685" s="15"/>
      <c r="J2685" s="4"/>
    </row>
    <row r="2686" ht="14.25" customHeight="1">
      <c r="A2686" s="8" t="s">
        <v>16</v>
      </c>
      <c r="B2686" s="8">
        <v>6.3</v>
      </c>
      <c r="F2686" s="4"/>
      <c r="G2686" s="4"/>
      <c r="H2686" s="4"/>
      <c r="I2686" s="15"/>
      <c r="J2686" s="4"/>
    </row>
    <row r="2687" ht="14.25" customHeight="1">
      <c r="A2687" s="8" t="s">
        <v>16</v>
      </c>
      <c r="B2687" s="8">
        <v>7.3</v>
      </c>
      <c r="F2687" s="4"/>
      <c r="G2687" s="4"/>
      <c r="H2687" s="4"/>
      <c r="I2687" s="15"/>
      <c r="J2687" s="4"/>
    </row>
    <row r="2688" ht="14.25" customHeight="1">
      <c r="A2688" s="8" t="s">
        <v>16</v>
      </c>
      <c r="B2688" s="8">
        <v>6.8</v>
      </c>
      <c r="F2688" s="4"/>
      <c r="G2688" s="4"/>
      <c r="H2688" s="4"/>
      <c r="I2688" s="15"/>
      <c r="J2688" s="4"/>
    </row>
    <row r="2689" ht="14.25" customHeight="1">
      <c r="A2689" s="8" t="s">
        <v>16</v>
      </c>
      <c r="B2689" s="8">
        <v>7.2</v>
      </c>
      <c r="F2689" s="4"/>
      <c r="G2689" s="4"/>
      <c r="H2689" s="4"/>
      <c r="I2689" s="15"/>
      <c r="J2689" s="4"/>
    </row>
    <row r="2690" ht="14.25" customHeight="1">
      <c r="A2690" s="8" t="s">
        <v>16</v>
      </c>
      <c r="B2690" s="8">
        <v>6.4</v>
      </c>
      <c r="F2690" s="4"/>
      <c r="G2690" s="4"/>
      <c r="H2690" s="4"/>
      <c r="I2690" s="15"/>
      <c r="J2690" s="4"/>
    </row>
    <row r="2691" ht="14.25" customHeight="1">
      <c r="A2691" s="8" t="s">
        <v>16</v>
      </c>
      <c r="B2691" s="8">
        <v>6.0</v>
      </c>
      <c r="F2691" s="4"/>
      <c r="G2691" s="4"/>
      <c r="H2691" s="4"/>
      <c r="I2691" s="15"/>
      <c r="J2691" s="4"/>
    </row>
    <row r="2692" ht="14.25" customHeight="1">
      <c r="A2692" s="8" t="s">
        <v>16</v>
      </c>
      <c r="B2692" s="8">
        <v>6.4</v>
      </c>
      <c r="F2692" s="4"/>
      <c r="G2692" s="4"/>
      <c r="H2692" s="4"/>
      <c r="I2692" s="15"/>
      <c r="J2692" s="4"/>
    </row>
    <row r="2693" ht="14.25" customHeight="1">
      <c r="A2693" s="8" t="s">
        <v>16</v>
      </c>
      <c r="B2693" s="8">
        <v>7.5</v>
      </c>
      <c r="F2693" s="4"/>
      <c r="G2693" s="4"/>
      <c r="H2693" s="4"/>
      <c r="I2693" s="15"/>
      <c r="J2693" s="4"/>
    </row>
    <row r="2694" ht="14.25" customHeight="1">
      <c r="A2694" s="8" t="s">
        <v>5465</v>
      </c>
      <c r="B2694" s="8">
        <v>7.1</v>
      </c>
      <c r="F2694" s="4"/>
      <c r="G2694" s="4"/>
      <c r="H2694" s="4"/>
      <c r="I2694" s="15"/>
      <c r="J2694" s="4"/>
    </row>
    <row r="2695" ht="14.25" customHeight="1">
      <c r="A2695" s="8" t="s">
        <v>16</v>
      </c>
      <c r="B2695" s="8">
        <v>4.6</v>
      </c>
      <c r="F2695" s="4"/>
      <c r="G2695" s="4"/>
      <c r="H2695" s="4"/>
      <c r="I2695" s="15"/>
      <c r="J2695" s="4"/>
    </row>
    <row r="2696" ht="14.25" customHeight="1">
      <c r="A2696" s="8" t="s">
        <v>816</v>
      </c>
      <c r="B2696" s="8">
        <v>7.7</v>
      </c>
      <c r="F2696" s="4"/>
      <c r="G2696" s="4"/>
      <c r="H2696" s="4"/>
      <c r="I2696" s="15"/>
      <c r="J2696" s="4"/>
    </row>
    <row r="2697" ht="14.25" customHeight="1">
      <c r="A2697" s="8" t="s">
        <v>16</v>
      </c>
      <c r="B2697" s="8">
        <v>6.7</v>
      </c>
      <c r="F2697" s="4"/>
      <c r="G2697" s="4"/>
      <c r="H2697" s="4"/>
      <c r="I2697" s="15"/>
      <c r="J2697" s="4"/>
    </row>
    <row r="2698" ht="14.25" customHeight="1">
      <c r="A2698" s="8" t="s">
        <v>16</v>
      </c>
      <c r="B2698" s="8">
        <v>5.6</v>
      </c>
      <c r="F2698" s="4"/>
      <c r="G2698" s="4"/>
      <c r="H2698" s="4"/>
      <c r="I2698" s="15"/>
      <c r="J2698" s="4"/>
    </row>
    <row r="2699" ht="14.25" customHeight="1">
      <c r="A2699" s="8" t="s">
        <v>16</v>
      </c>
      <c r="B2699" s="8">
        <v>7.5</v>
      </c>
      <c r="F2699" s="4"/>
      <c r="G2699" s="4"/>
      <c r="H2699" s="4"/>
      <c r="I2699" s="15"/>
      <c r="J2699" s="4"/>
    </row>
    <row r="2700" ht="14.25" customHeight="1">
      <c r="A2700" s="8" t="s">
        <v>16</v>
      </c>
      <c r="B2700" s="8">
        <v>5.8</v>
      </c>
      <c r="F2700" s="4"/>
      <c r="G2700" s="4"/>
      <c r="H2700" s="4"/>
      <c r="I2700" s="15"/>
      <c r="J2700" s="4"/>
    </row>
    <row r="2701" ht="14.25" customHeight="1">
      <c r="A2701" s="8" t="s">
        <v>16</v>
      </c>
      <c r="B2701" s="8">
        <v>8.3</v>
      </c>
      <c r="F2701" s="4"/>
      <c r="G2701" s="4"/>
      <c r="H2701" s="4"/>
      <c r="I2701" s="15"/>
      <c r="J2701" s="4"/>
    </row>
    <row r="2702" ht="14.25" customHeight="1">
      <c r="A2702" s="8" t="s">
        <v>16</v>
      </c>
      <c r="B2702" s="8">
        <v>6.6</v>
      </c>
      <c r="F2702" s="4"/>
      <c r="G2702" s="4"/>
      <c r="H2702" s="4"/>
      <c r="I2702" s="15"/>
      <c r="J2702" s="4"/>
    </row>
    <row r="2703" ht="14.25" customHeight="1">
      <c r="A2703" s="8" t="s">
        <v>3076</v>
      </c>
      <c r="B2703" s="8">
        <v>7.5</v>
      </c>
      <c r="F2703" s="4"/>
      <c r="G2703" s="4"/>
      <c r="H2703" s="4"/>
      <c r="I2703" s="15"/>
      <c r="J2703" s="4"/>
    </row>
    <row r="2704" ht="14.25" customHeight="1">
      <c r="A2704" s="8" t="s">
        <v>16</v>
      </c>
      <c r="B2704" s="8">
        <v>7.2</v>
      </c>
      <c r="F2704" s="4"/>
      <c r="G2704" s="4"/>
      <c r="H2704" s="4"/>
      <c r="I2704" s="15"/>
      <c r="J2704" s="4"/>
    </row>
    <row r="2705" ht="14.25" customHeight="1">
      <c r="A2705" s="8" t="s">
        <v>16</v>
      </c>
      <c r="B2705" s="8">
        <v>8.7</v>
      </c>
      <c r="F2705" s="4"/>
      <c r="G2705" s="4"/>
      <c r="H2705" s="4"/>
      <c r="I2705" s="15"/>
      <c r="J2705" s="4"/>
    </row>
    <row r="2706" ht="14.25" customHeight="1">
      <c r="A2706" s="8" t="s">
        <v>16</v>
      </c>
      <c r="B2706" s="8">
        <v>6.0</v>
      </c>
      <c r="F2706" s="4"/>
      <c r="G2706" s="4"/>
      <c r="H2706" s="4"/>
      <c r="I2706" s="15"/>
      <c r="J2706" s="4"/>
    </row>
    <row r="2707" ht="14.25" customHeight="1">
      <c r="A2707" s="8" t="s">
        <v>16</v>
      </c>
      <c r="B2707" s="8">
        <v>8.0</v>
      </c>
      <c r="F2707" s="4"/>
      <c r="G2707" s="4"/>
      <c r="H2707" s="4"/>
      <c r="I2707" s="15"/>
      <c r="J2707" s="4"/>
    </row>
    <row r="2708" ht="14.25" customHeight="1">
      <c r="A2708" s="8" t="s">
        <v>16</v>
      </c>
      <c r="B2708" s="8">
        <v>4.5</v>
      </c>
      <c r="F2708" s="4"/>
      <c r="G2708" s="4"/>
      <c r="H2708" s="4"/>
      <c r="I2708" s="15"/>
      <c r="J2708" s="4"/>
    </row>
    <row r="2709" ht="14.25" customHeight="1">
      <c r="A2709" s="8" t="s">
        <v>16</v>
      </c>
      <c r="B2709" s="8">
        <v>7.9</v>
      </c>
      <c r="F2709" s="4"/>
      <c r="G2709" s="4"/>
      <c r="H2709" s="4"/>
      <c r="I2709" s="15"/>
      <c r="J2709" s="4"/>
    </row>
    <row r="2710" ht="14.25" customHeight="1">
      <c r="A2710" s="8" t="s">
        <v>16</v>
      </c>
      <c r="B2710" s="8">
        <v>7.5</v>
      </c>
      <c r="F2710" s="4"/>
      <c r="G2710" s="4"/>
      <c r="H2710" s="4"/>
      <c r="I2710" s="15"/>
      <c r="J2710" s="4"/>
    </row>
    <row r="2711" ht="14.25" customHeight="1">
      <c r="A2711" s="8" t="s">
        <v>16</v>
      </c>
      <c r="B2711" s="8">
        <v>6.8</v>
      </c>
      <c r="F2711" s="4"/>
      <c r="G2711" s="4"/>
      <c r="H2711" s="4"/>
      <c r="I2711" s="15"/>
      <c r="J2711" s="4"/>
    </row>
    <row r="2712" ht="14.25" customHeight="1">
      <c r="A2712" s="8" t="s">
        <v>16</v>
      </c>
      <c r="B2712" s="8">
        <v>7.2</v>
      </c>
      <c r="F2712" s="4"/>
      <c r="G2712" s="4"/>
      <c r="H2712" s="4"/>
      <c r="I2712" s="15"/>
      <c r="J2712" s="4"/>
    </row>
    <row r="2713" ht="14.25" customHeight="1">
      <c r="A2713" s="8" t="s">
        <v>16</v>
      </c>
      <c r="B2713" s="8">
        <v>7.1</v>
      </c>
      <c r="F2713" s="4"/>
      <c r="G2713" s="4"/>
      <c r="H2713" s="4"/>
      <c r="I2713" s="15"/>
      <c r="J2713" s="4"/>
    </row>
    <row r="2714" ht="14.25" customHeight="1">
      <c r="A2714" s="8" t="s">
        <v>16</v>
      </c>
      <c r="B2714" s="8">
        <v>7.4</v>
      </c>
      <c r="F2714" s="4"/>
      <c r="G2714" s="4"/>
      <c r="H2714" s="4"/>
      <c r="I2714" s="15"/>
      <c r="J2714" s="4"/>
    </row>
    <row r="2715" ht="14.25" customHeight="1">
      <c r="A2715" s="8" t="s">
        <v>16</v>
      </c>
      <c r="B2715" s="8">
        <v>7.6</v>
      </c>
      <c r="F2715" s="4"/>
      <c r="G2715" s="4"/>
      <c r="H2715" s="4"/>
      <c r="I2715" s="15"/>
      <c r="J2715" s="4"/>
    </row>
    <row r="2716" ht="14.25" customHeight="1">
      <c r="A2716" s="8" t="s">
        <v>16</v>
      </c>
      <c r="B2716" s="8">
        <v>6.9</v>
      </c>
      <c r="F2716" s="4"/>
      <c r="G2716" s="4"/>
      <c r="H2716" s="4"/>
      <c r="I2716" s="15"/>
      <c r="J2716" s="4"/>
    </row>
    <row r="2717" ht="14.25" customHeight="1">
      <c r="A2717" s="8" t="s">
        <v>16</v>
      </c>
      <c r="B2717" s="8">
        <v>6.0</v>
      </c>
      <c r="F2717" s="4"/>
      <c r="G2717" s="4"/>
      <c r="H2717" s="4"/>
      <c r="I2717" s="15"/>
      <c r="J2717" s="4"/>
    </row>
    <row r="2718" ht="14.25" customHeight="1">
      <c r="A2718" s="8" t="s">
        <v>16</v>
      </c>
      <c r="B2718" s="8">
        <v>7.3</v>
      </c>
      <c r="F2718" s="4"/>
      <c r="G2718" s="4"/>
      <c r="H2718" s="4"/>
      <c r="I2718" s="15"/>
      <c r="J2718" s="4"/>
    </row>
    <row r="2719" ht="14.25" customHeight="1">
      <c r="A2719" s="8" t="s">
        <v>16</v>
      </c>
      <c r="B2719" s="8">
        <v>4.6</v>
      </c>
      <c r="F2719" s="4"/>
      <c r="G2719" s="4"/>
      <c r="H2719" s="4"/>
      <c r="I2719" s="15"/>
      <c r="J2719" s="4"/>
    </row>
    <row r="2720" ht="14.25" customHeight="1">
      <c r="A2720" s="8" t="s">
        <v>16</v>
      </c>
      <c r="B2720" s="8">
        <v>6.0</v>
      </c>
      <c r="F2720" s="4"/>
      <c r="G2720" s="4"/>
      <c r="H2720" s="4"/>
      <c r="I2720" s="15"/>
      <c r="J2720" s="4"/>
    </row>
    <row r="2721" ht="14.25" customHeight="1">
      <c r="A2721" s="8" t="s">
        <v>16</v>
      </c>
      <c r="B2721" s="8">
        <v>5.5</v>
      </c>
      <c r="F2721" s="4"/>
      <c r="G2721" s="4"/>
      <c r="H2721" s="4"/>
      <c r="I2721" s="15"/>
      <c r="J2721" s="4"/>
    </row>
    <row r="2722" ht="14.25" customHeight="1">
      <c r="A2722" s="8" t="s">
        <v>16</v>
      </c>
      <c r="B2722" s="8">
        <v>7.5</v>
      </c>
      <c r="F2722" s="4"/>
      <c r="G2722" s="4"/>
      <c r="H2722" s="4"/>
      <c r="I2722" s="15"/>
      <c r="J2722" s="4"/>
    </row>
    <row r="2723" ht="14.25" customHeight="1">
      <c r="A2723" s="8" t="s">
        <v>16</v>
      </c>
      <c r="B2723" s="8">
        <v>6.3</v>
      </c>
      <c r="F2723" s="4"/>
      <c r="G2723" s="4"/>
      <c r="H2723" s="4"/>
      <c r="I2723" s="15"/>
      <c r="J2723" s="4"/>
    </row>
    <row r="2724" ht="14.25" customHeight="1">
      <c r="A2724" s="8" t="s">
        <v>16</v>
      </c>
      <c r="B2724" s="8">
        <v>5.1</v>
      </c>
      <c r="F2724" s="4"/>
      <c r="G2724" s="4"/>
      <c r="H2724" s="4"/>
      <c r="I2724" s="15"/>
      <c r="J2724" s="4"/>
    </row>
    <row r="2725" ht="14.25" customHeight="1">
      <c r="A2725" s="8" t="s">
        <v>16</v>
      </c>
      <c r="B2725" s="8">
        <v>6.8</v>
      </c>
      <c r="F2725" s="4"/>
      <c r="G2725" s="4"/>
      <c r="H2725" s="4"/>
      <c r="I2725" s="15"/>
      <c r="J2725" s="4"/>
    </row>
    <row r="2726" ht="14.25" customHeight="1">
      <c r="A2726" s="8" t="s">
        <v>16</v>
      </c>
      <c r="B2726" s="8">
        <v>5.3</v>
      </c>
      <c r="F2726" s="4"/>
      <c r="G2726" s="4"/>
      <c r="H2726" s="4"/>
      <c r="I2726" s="15"/>
      <c r="J2726" s="4"/>
    </row>
    <row r="2727" ht="14.25" customHeight="1">
      <c r="A2727" s="8" t="s">
        <v>16</v>
      </c>
      <c r="B2727" s="8">
        <v>7.3</v>
      </c>
      <c r="F2727" s="4"/>
      <c r="G2727" s="4"/>
      <c r="H2727" s="4"/>
      <c r="I2727" s="15"/>
      <c r="J2727" s="4"/>
    </row>
    <row r="2728" ht="14.25" customHeight="1">
      <c r="A2728" s="8" t="s">
        <v>16</v>
      </c>
      <c r="B2728" s="8">
        <v>7.3</v>
      </c>
      <c r="F2728" s="4"/>
      <c r="G2728" s="4"/>
      <c r="H2728" s="4"/>
      <c r="I2728" s="15"/>
      <c r="J2728" s="4"/>
    </row>
    <row r="2729" ht="14.25" customHeight="1">
      <c r="A2729" s="8" t="s">
        <v>16</v>
      </c>
      <c r="B2729" s="8">
        <v>7.1</v>
      </c>
      <c r="F2729" s="4"/>
      <c r="G2729" s="4"/>
      <c r="H2729" s="4"/>
      <c r="I2729" s="15"/>
      <c r="J2729" s="4"/>
    </row>
    <row r="2730" ht="14.25" customHeight="1">
      <c r="A2730" s="8" t="s">
        <v>16</v>
      </c>
      <c r="B2730" s="8">
        <v>7.6</v>
      </c>
      <c r="F2730" s="4"/>
      <c r="G2730" s="4"/>
      <c r="H2730" s="4"/>
      <c r="I2730" s="15"/>
      <c r="J2730" s="4"/>
    </row>
    <row r="2731" ht="14.25" customHeight="1">
      <c r="A2731" s="8" t="s">
        <v>16</v>
      </c>
      <c r="B2731" s="8">
        <v>5.3</v>
      </c>
      <c r="F2731" s="4"/>
      <c r="G2731" s="4"/>
      <c r="H2731" s="4"/>
      <c r="I2731" s="15"/>
      <c r="J2731" s="4"/>
    </row>
    <row r="2732" ht="14.25" customHeight="1">
      <c r="A2732" s="8" t="s">
        <v>16</v>
      </c>
      <c r="B2732" s="8">
        <v>7.8</v>
      </c>
      <c r="F2732" s="4"/>
      <c r="G2732" s="4"/>
      <c r="H2732" s="4"/>
      <c r="I2732" s="15"/>
      <c r="J2732" s="4"/>
    </row>
    <row r="2733" ht="14.25" customHeight="1">
      <c r="A2733" s="8" t="s">
        <v>16</v>
      </c>
      <c r="B2733" s="8">
        <v>7.7</v>
      </c>
      <c r="F2733" s="4"/>
      <c r="G2733" s="4"/>
      <c r="H2733" s="4"/>
      <c r="I2733" s="15"/>
      <c r="J2733" s="4"/>
    </row>
    <row r="2734" ht="14.25" customHeight="1">
      <c r="A2734" s="8" t="s">
        <v>16</v>
      </c>
      <c r="B2734" s="8">
        <v>7.7</v>
      </c>
      <c r="F2734" s="4"/>
      <c r="G2734" s="4"/>
      <c r="H2734" s="4"/>
      <c r="I2734" s="15"/>
      <c r="J2734" s="4"/>
    </row>
    <row r="2735" ht="14.25" customHeight="1">
      <c r="A2735" s="8" t="s">
        <v>16</v>
      </c>
      <c r="B2735" s="8">
        <v>5.4</v>
      </c>
      <c r="F2735" s="4"/>
      <c r="G2735" s="4"/>
      <c r="H2735" s="4"/>
      <c r="I2735" s="15"/>
      <c r="J2735" s="4"/>
    </row>
    <row r="2736" ht="14.25" customHeight="1">
      <c r="A2736" s="8" t="s">
        <v>16</v>
      </c>
      <c r="B2736" s="8">
        <v>6.2</v>
      </c>
      <c r="F2736" s="4"/>
      <c r="G2736" s="4"/>
      <c r="H2736" s="4"/>
      <c r="I2736" s="15"/>
      <c r="J2736" s="4"/>
    </row>
    <row r="2737" ht="14.25" customHeight="1">
      <c r="A2737" s="8" t="s">
        <v>16</v>
      </c>
      <c r="B2737" s="8">
        <v>7.4</v>
      </c>
      <c r="F2737" s="4"/>
      <c r="G2737" s="4"/>
      <c r="H2737" s="4"/>
      <c r="I2737" s="15"/>
      <c r="J2737" s="4"/>
    </row>
    <row r="2738" ht="14.25" customHeight="1">
      <c r="A2738" s="8" t="s">
        <v>16</v>
      </c>
      <c r="B2738" s="8">
        <v>6.2</v>
      </c>
      <c r="F2738" s="4"/>
      <c r="G2738" s="4"/>
      <c r="H2738" s="4"/>
      <c r="I2738" s="15"/>
      <c r="J2738" s="4"/>
    </row>
    <row r="2739" ht="14.25" customHeight="1">
      <c r="A2739" s="8" t="s">
        <v>16</v>
      </c>
      <c r="B2739" s="8">
        <v>5.1</v>
      </c>
      <c r="F2739" s="4"/>
      <c r="G2739" s="4"/>
      <c r="H2739" s="4"/>
      <c r="I2739" s="15"/>
      <c r="J2739" s="4"/>
    </row>
    <row r="2740" ht="14.25" customHeight="1">
      <c r="A2740" s="8" t="s">
        <v>16</v>
      </c>
      <c r="B2740" s="8">
        <v>6.8</v>
      </c>
      <c r="F2740" s="4"/>
      <c r="G2740" s="4"/>
      <c r="H2740" s="4"/>
      <c r="I2740" s="15"/>
      <c r="J2740" s="4"/>
    </row>
    <row r="2741" ht="14.25" customHeight="1">
      <c r="A2741" s="8" t="s">
        <v>16</v>
      </c>
      <c r="B2741" s="8">
        <v>7.4</v>
      </c>
      <c r="F2741" s="4"/>
      <c r="G2741" s="4"/>
      <c r="H2741" s="4"/>
      <c r="I2741" s="15"/>
      <c r="J2741" s="4"/>
    </row>
    <row r="2742" ht="14.25" customHeight="1">
      <c r="A2742" s="8" t="s">
        <v>16</v>
      </c>
      <c r="B2742" s="8">
        <v>5.8</v>
      </c>
      <c r="F2742" s="4"/>
      <c r="G2742" s="4"/>
      <c r="H2742" s="4"/>
      <c r="I2742" s="15"/>
      <c r="J2742" s="4"/>
    </row>
    <row r="2743" ht="14.25" customHeight="1">
      <c r="A2743" s="8" t="s">
        <v>16</v>
      </c>
      <c r="B2743" s="8">
        <v>6.4</v>
      </c>
      <c r="F2743" s="4"/>
      <c r="G2743" s="4"/>
      <c r="H2743" s="4"/>
      <c r="I2743" s="15"/>
      <c r="J2743" s="4"/>
    </row>
    <row r="2744" ht="14.25" customHeight="1">
      <c r="A2744" s="8" t="s">
        <v>5555</v>
      </c>
      <c r="B2744" s="8">
        <v>6.0</v>
      </c>
      <c r="F2744" s="4"/>
      <c r="G2744" s="4"/>
      <c r="H2744" s="4"/>
      <c r="I2744" s="15"/>
      <c r="J2744" s="4"/>
    </row>
    <row r="2745" ht="14.25" customHeight="1">
      <c r="A2745" s="8" t="s">
        <v>16</v>
      </c>
      <c r="B2745" s="8">
        <v>6.9</v>
      </c>
      <c r="F2745" s="4"/>
      <c r="G2745" s="4"/>
      <c r="H2745" s="4"/>
      <c r="I2745" s="15"/>
      <c r="J2745" s="4"/>
    </row>
    <row r="2746" ht="14.25" customHeight="1">
      <c r="A2746" s="8" t="s">
        <v>16</v>
      </c>
      <c r="B2746" s="8">
        <v>5.5</v>
      </c>
      <c r="F2746" s="4"/>
      <c r="G2746" s="4"/>
      <c r="H2746" s="4"/>
      <c r="I2746" s="15"/>
      <c r="J2746" s="4"/>
    </row>
    <row r="2747" ht="14.25" customHeight="1">
      <c r="A2747" s="8" t="s">
        <v>16</v>
      </c>
      <c r="B2747" s="8">
        <v>5.4</v>
      </c>
      <c r="F2747" s="4"/>
      <c r="G2747" s="4"/>
      <c r="H2747" s="4"/>
      <c r="I2747" s="15"/>
      <c r="J2747" s="4"/>
    </row>
    <row r="2748" ht="14.25" customHeight="1">
      <c r="A2748" s="8" t="s">
        <v>16</v>
      </c>
      <c r="B2748" s="8">
        <v>8.3</v>
      </c>
      <c r="F2748" s="4"/>
      <c r="G2748" s="4"/>
      <c r="H2748" s="4"/>
      <c r="I2748" s="15"/>
      <c r="J2748" s="4"/>
    </row>
    <row r="2749" ht="14.25" customHeight="1">
      <c r="A2749" s="8" t="s">
        <v>16</v>
      </c>
      <c r="B2749" s="8">
        <v>7.9</v>
      </c>
      <c r="F2749" s="4"/>
      <c r="G2749" s="4"/>
      <c r="H2749" s="4"/>
      <c r="I2749" s="15"/>
      <c r="J2749" s="4"/>
    </row>
    <row r="2750" ht="14.25" customHeight="1">
      <c r="A2750" s="8" t="s">
        <v>16</v>
      </c>
      <c r="B2750" s="8">
        <v>6.5</v>
      </c>
      <c r="F2750" s="4"/>
      <c r="G2750" s="4"/>
      <c r="H2750" s="4"/>
      <c r="I2750" s="15"/>
      <c r="J2750" s="4"/>
    </row>
    <row r="2751" ht="14.25" customHeight="1">
      <c r="A2751" s="8" t="s">
        <v>16</v>
      </c>
      <c r="B2751" s="8">
        <v>6.4</v>
      </c>
      <c r="F2751" s="4"/>
      <c r="G2751" s="4"/>
      <c r="H2751" s="4"/>
      <c r="I2751" s="15"/>
      <c r="J2751" s="4"/>
    </row>
    <row r="2752" ht="14.25" customHeight="1">
      <c r="A2752" s="8" t="s">
        <v>1144</v>
      </c>
      <c r="B2752" s="8">
        <v>6.6</v>
      </c>
      <c r="F2752" s="4"/>
      <c r="G2752" s="4"/>
      <c r="H2752" s="4"/>
      <c r="I2752" s="15"/>
      <c r="J2752" s="4"/>
    </row>
    <row r="2753" ht="14.25" customHeight="1">
      <c r="A2753" s="8" t="s">
        <v>16</v>
      </c>
      <c r="B2753" s="8">
        <v>8.3</v>
      </c>
      <c r="F2753" s="4"/>
      <c r="G2753" s="4"/>
      <c r="H2753" s="4"/>
      <c r="I2753" s="15"/>
      <c r="J2753" s="4"/>
    </row>
    <row r="2754" ht="14.25" customHeight="1">
      <c r="A2754" s="8" t="s">
        <v>16</v>
      </c>
      <c r="B2754" s="8">
        <v>6.2</v>
      </c>
      <c r="F2754" s="4"/>
      <c r="G2754" s="4"/>
      <c r="H2754" s="4"/>
      <c r="I2754" s="15"/>
      <c r="J2754" s="4"/>
    </row>
    <row r="2755" ht="14.25" customHeight="1">
      <c r="A2755" s="8" t="s">
        <v>16</v>
      </c>
      <c r="B2755" s="8">
        <v>6.9</v>
      </c>
      <c r="F2755" s="4"/>
      <c r="G2755" s="4"/>
      <c r="H2755" s="4"/>
      <c r="I2755" s="15"/>
      <c r="J2755" s="4"/>
    </row>
    <row r="2756" ht="14.25" customHeight="1">
      <c r="A2756" s="8" t="s">
        <v>16</v>
      </c>
      <c r="B2756" s="8">
        <v>5.9</v>
      </c>
      <c r="F2756" s="4"/>
      <c r="G2756" s="4"/>
      <c r="H2756" s="4"/>
      <c r="I2756" s="15"/>
      <c r="J2756" s="4"/>
    </row>
    <row r="2757" ht="14.25" customHeight="1">
      <c r="A2757" s="8" t="s">
        <v>16</v>
      </c>
      <c r="B2757" s="8">
        <v>6.1</v>
      </c>
      <c r="F2757" s="4"/>
      <c r="G2757" s="4"/>
      <c r="H2757" s="4"/>
      <c r="I2757" s="15"/>
      <c r="J2757" s="4"/>
    </row>
    <row r="2758" ht="14.25" customHeight="1">
      <c r="A2758" s="8" t="s">
        <v>16</v>
      </c>
      <c r="B2758" s="8">
        <v>5.8</v>
      </c>
      <c r="F2758" s="4"/>
      <c r="G2758" s="4"/>
      <c r="H2758" s="4"/>
      <c r="I2758" s="15"/>
      <c r="J2758" s="4"/>
    </row>
    <row r="2759" ht="14.25" customHeight="1">
      <c r="A2759" s="8" t="s">
        <v>16</v>
      </c>
      <c r="B2759" s="8">
        <v>7.3</v>
      </c>
      <c r="F2759" s="4"/>
      <c r="G2759" s="4"/>
      <c r="H2759" s="4"/>
      <c r="I2759" s="15"/>
      <c r="J2759" s="4"/>
    </row>
    <row r="2760" ht="14.25" customHeight="1">
      <c r="A2760" s="8" t="s">
        <v>16</v>
      </c>
      <c r="B2760" s="8">
        <v>5.9</v>
      </c>
      <c r="F2760" s="4"/>
      <c r="G2760" s="4"/>
      <c r="H2760" s="4"/>
      <c r="I2760" s="15"/>
      <c r="J2760" s="4"/>
    </row>
    <row r="2761" ht="14.25" customHeight="1">
      <c r="A2761" s="8" t="s">
        <v>16</v>
      </c>
      <c r="B2761" s="8">
        <v>5.5</v>
      </c>
      <c r="F2761" s="4"/>
      <c r="G2761" s="4"/>
      <c r="H2761" s="4"/>
      <c r="I2761" s="15"/>
      <c r="J2761" s="4"/>
    </row>
    <row r="2762" ht="14.25" customHeight="1">
      <c r="A2762" s="8" t="s">
        <v>16</v>
      </c>
      <c r="B2762" s="8">
        <v>5.0</v>
      </c>
      <c r="F2762" s="4"/>
      <c r="G2762" s="4"/>
      <c r="H2762" s="4"/>
      <c r="I2762" s="15"/>
      <c r="J2762" s="4"/>
    </row>
    <row r="2763" ht="14.25" customHeight="1">
      <c r="A2763" s="8" t="s">
        <v>16</v>
      </c>
      <c r="B2763" s="8">
        <v>7.0</v>
      </c>
      <c r="F2763" s="4"/>
      <c r="G2763" s="4"/>
      <c r="H2763" s="4"/>
      <c r="I2763" s="15"/>
      <c r="J2763" s="4"/>
    </row>
    <row r="2764" ht="14.25" customHeight="1">
      <c r="A2764" s="8" t="s">
        <v>16</v>
      </c>
      <c r="B2764" s="8">
        <v>6.4</v>
      </c>
      <c r="F2764" s="4"/>
      <c r="G2764" s="4"/>
      <c r="H2764" s="4"/>
      <c r="I2764" s="15"/>
      <c r="J2764" s="4"/>
    </row>
    <row r="2765" ht="14.25" customHeight="1">
      <c r="A2765" s="8" t="s">
        <v>16</v>
      </c>
      <c r="B2765" s="8">
        <v>5.9</v>
      </c>
      <c r="F2765" s="4"/>
      <c r="G2765" s="4"/>
      <c r="H2765" s="4"/>
      <c r="I2765" s="15"/>
      <c r="J2765" s="4"/>
    </row>
    <row r="2766" ht="14.25" customHeight="1">
      <c r="A2766" s="8" t="s">
        <v>16</v>
      </c>
      <c r="B2766" s="8">
        <v>7.0</v>
      </c>
      <c r="F2766" s="4"/>
      <c r="G2766" s="4"/>
      <c r="H2766" s="4"/>
      <c r="I2766" s="15"/>
      <c r="J2766" s="4"/>
    </row>
    <row r="2767" ht="14.25" customHeight="1">
      <c r="A2767" s="8" t="s">
        <v>16</v>
      </c>
      <c r="B2767" s="8">
        <v>6.1</v>
      </c>
      <c r="F2767" s="4"/>
      <c r="G2767" s="4"/>
      <c r="H2767" s="4"/>
      <c r="I2767" s="15"/>
      <c r="J2767" s="4"/>
    </row>
    <row r="2768" ht="14.25" customHeight="1">
      <c r="A2768" s="8" t="s">
        <v>16</v>
      </c>
      <c r="B2768" s="8">
        <v>6.9</v>
      </c>
      <c r="F2768" s="4"/>
      <c r="G2768" s="4"/>
      <c r="H2768" s="4"/>
      <c r="I2768" s="15"/>
      <c r="J2768" s="4"/>
    </row>
    <row r="2769" ht="14.25" customHeight="1">
      <c r="A2769" s="8" t="s">
        <v>16</v>
      </c>
      <c r="B2769" s="8">
        <v>7.5</v>
      </c>
      <c r="F2769" s="4"/>
      <c r="G2769" s="4"/>
      <c r="H2769" s="4"/>
      <c r="I2769" s="15"/>
      <c r="J2769" s="4"/>
    </row>
    <row r="2770" ht="14.25" customHeight="1">
      <c r="A2770" s="8" t="s">
        <v>16</v>
      </c>
      <c r="B2770" s="8">
        <v>7.3</v>
      </c>
      <c r="F2770" s="4"/>
      <c r="G2770" s="4"/>
      <c r="H2770" s="4"/>
      <c r="I2770" s="15"/>
      <c r="J2770" s="4"/>
    </row>
    <row r="2771" ht="14.25" customHeight="1">
      <c r="A2771" s="8" t="s">
        <v>16</v>
      </c>
      <c r="B2771" s="8">
        <v>6.5</v>
      </c>
      <c r="F2771" s="4"/>
      <c r="G2771" s="4"/>
      <c r="H2771" s="4"/>
      <c r="I2771" s="15"/>
      <c r="J2771" s="4"/>
    </row>
    <row r="2772" ht="14.25" customHeight="1">
      <c r="A2772" s="8" t="s">
        <v>16</v>
      </c>
      <c r="B2772" s="8">
        <v>6.2</v>
      </c>
      <c r="F2772" s="4"/>
      <c r="G2772" s="4"/>
      <c r="H2772" s="4"/>
      <c r="I2772" s="15"/>
      <c r="J2772" s="4"/>
    </row>
    <row r="2773" ht="14.25" customHeight="1">
      <c r="A2773" s="8" t="s">
        <v>16</v>
      </c>
      <c r="B2773" s="8">
        <v>6.0</v>
      </c>
      <c r="F2773" s="4"/>
      <c r="G2773" s="4"/>
      <c r="H2773" s="4"/>
      <c r="I2773" s="15"/>
      <c r="J2773" s="4"/>
    </row>
    <row r="2774" ht="14.25" customHeight="1">
      <c r="A2774" s="8" t="s">
        <v>16</v>
      </c>
      <c r="B2774" s="8">
        <v>6.3</v>
      </c>
      <c r="F2774" s="4"/>
      <c r="G2774" s="4"/>
      <c r="H2774" s="4"/>
      <c r="I2774" s="15"/>
      <c r="J2774" s="4"/>
    </row>
    <row r="2775" ht="14.25" customHeight="1">
      <c r="A2775" s="8" t="s">
        <v>16</v>
      </c>
      <c r="B2775" s="8">
        <v>5.8</v>
      </c>
      <c r="F2775" s="4"/>
      <c r="G2775" s="4"/>
      <c r="H2775" s="4"/>
      <c r="I2775" s="15"/>
      <c r="J2775" s="4"/>
    </row>
    <row r="2776" ht="14.25" customHeight="1">
      <c r="A2776" s="8" t="s">
        <v>16</v>
      </c>
      <c r="B2776" s="8">
        <v>6.1</v>
      </c>
      <c r="F2776" s="4"/>
      <c r="G2776" s="4"/>
      <c r="H2776" s="4"/>
      <c r="I2776" s="15"/>
      <c r="J2776" s="4"/>
    </row>
    <row r="2777" ht="14.25" customHeight="1">
      <c r="A2777" s="8" t="s">
        <v>16</v>
      </c>
      <c r="B2777" s="8">
        <v>6.9</v>
      </c>
      <c r="F2777" s="4"/>
      <c r="G2777" s="4"/>
      <c r="H2777" s="4"/>
      <c r="I2777" s="15"/>
      <c r="J2777" s="4"/>
    </row>
    <row r="2778" ht="14.25" customHeight="1">
      <c r="A2778" s="8" t="s">
        <v>16</v>
      </c>
      <c r="B2778" s="8">
        <v>5.4</v>
      </c>
      <c r="F2778" s="4"/>
      <c r="G2778" s="4"/>
      <c r="H2778" s="4"/>
      <c r="I2778" s="15"/>
      <c r="J2778" s="4"/>
    </row>
    <row r="2779" ht="14.25" customHeight="1">
      <c r="A2779" s="8" t="s">
        <v>16</v>
      </c>
      <c r="B2779" s="8">
        <v>6.7</v>
      </c>
      <c r="F2779" s="4"/>
      <c r="G2779" s="4"/>
      <c r="H2779" s="4"/>
      <c r="I2779" s="15"/>
      <c r="J2779" s="4"/>
    </row>
    <row r="2780" ht="14.25" customHeight="1">
      <c r="A2780" s="8" t="s">
        <v>16</v>
      </c>
      <c r="B2780" s="8">
        <v>7.4</v>
      </c>
      <c r="F2780" s="4"/>
      <c r="G2780" s="4"/>
      <c r="H2780" s="4"/>
      <c r="I2780" s="15"/>
      <c r="J2780" s="4"/>
    </row>
    <row r="2781" ht="14.25" customHeight="1">
      <c r="A2781" s="8" t="s">
        <v>16</v>
      </c>
      <c r="B2781" s="8">
        <v>5.6</v>
      </c>
      <c r="F2781" s="4"/>
      <c r="G2781" s="4"/>
      <c r="H2781" s="4"/>
      <c r="I2781" s="15"/>
      <c r="J2781" s="4"/>
    </row>
    <row r="2782" ht="14.25" customHeight="1">
      <c r="A2782" s="8" t="s">
        <v>16</v>
      </c>
      <c r="B2782" s="8">
        <v>6.5</v>
      </c>
      <c r="F2782" s="4"/>
      <c r="G2782" s="4"/>
      <c r="H2782" s="4"/>
      <c r="I2782" s="15"/>
      <c r="J2782" s="4"/>
    </row>
    <row r="2783" ht="14.25" customHeight="1">
      <c r="A2783" s="8" t="s">
        <v>16</v>
      </c>
      <c r="B2783" s="8">
        <v>6.5</v>
      </c>
      <c r="F2783" s="4"/>
      <c r="G2783" s="4"/>
      <c r="H2783" s="4"/>
      <c r="I2783" s="15"/>
      <c r="J2783" s="4"/>
    </row>
    <row r="2784" ht="14.25" customHeight="1">
      <c r="A2784" s="8" t="s">
        <v>16</v>
      </c>
      <c r="B2784" s="8">
        <v>5.8</v>
      </c>
      <c r="F2784" s="4"/>
      <c r="G2784" s="4"/>
      <c r="H2784" s="4"/>
      <c r="I2784" s="15"/>
      <c r="J2784" s="4"/>
    </row>
    <row r="2785" ht="14.25" customHeight="1">
      <c r="A2785" s="8" t="s">
        <v>16</v>
      </c>
      <c r="B2785" s="8">
        <v>5.0</v>
      </c>
      <c r="F2785" s="4"/>
      <c r="G2785" s="4"/>
      <c r="H2785" s="4"/>
      <c r="I2785" s="15"/>
      <c r="J2785" s="4"/>
    </row>
    <row r="2786" ht="14.25" customHeight="1">
      <c r="A2786" s="8" t="s">
        <v>16</v>
      </c>
      <c r="B2786" s="8">
        <v>5.5</v>
      </c>
      <c r="F2786" s="4"/>
      <c r="G2786" s="4"/>
      <c r="H2786" s="4"/>
      <c r="I2786" s="15"/>
      <c r="J2786" s="4"/>
    </row>
    <row r="2787" ht="14.25" customHeight="1">
      <c r="A2787" s="8" t="s">
        <v>16</v>
      </c>
      <c r="B2787" s="8">
        <v>6.5</v>
      </c>
      <c r="F2787" s="4"/>
      <c r="G2787" s="4"/>
      <c r="H2787" s="4"/>
      <c r="I2787" s="15"/>
      <c r="J2787" s="4"/>
    </row>
    <row r="2788" ht="14.25" customHeight="1">
      <c r="A2788" s="8" t="s">
        <v>16</v>
      </c>
      <c r="B2788" s="8">
        <v>7.2</v>
      </c>
      <c r="F2788" s="4"/>
      <c r="G2788" s="4"/>
      <c r="H2788" s="4"/>
      <c r="I2788" s="15"/>
      <c r="J2788" s="4"/>
    </row>
    <row r="2789" ht="14.25" customHeight="1">
      <c r="A2789" s="8" t="s">
        <v>16</v>
      </c>
      <c r="B2789" s="8">
        <v>5.2</v>
      </c>
      <c r="F2789" s="4"/>
      <c r="G2789" s="4"/>
      <c r="H2789" s="4"/>
      <c r="I2789" s="15"/>
      <c r="J2789" s="4"/>
    </row>
    <row r="2790" ht="14.25" customHeight="1">
      <c r="A2790" s="8" t="s">
        <v>16</v>
      </c>
      <c r="B2790" s="8">
        <v>5.7</v>
      </c>
      <c r="F2790" s="4"/>
      <c r="G2790" s="4"/>
      <c r="H2790" s="4"/>
      <c r="I2790" s="15"/>
      <c r="J2790" s="4"/>
    </row>
    <row r="2791" ht="14.25" customHeight="1">
      <c r="A2791" s="8" t="s">
        <v>16</v>
      </c>
      <c r="B2791" s="8">
        <v>4.7</v>
      </c>
      <c r="F2791" s="4"/>
      <c r="G2791" s="4"/>
      <c r="H2791" s="4"/>
      <c r="I2791" s="15"/>
      <c r="J2791" s="4"/>
    </row>
    <row r="2792" ht="14.25" customHeight="1">
      <c r="A2792" s="8" t="s">
        <v>16</v>
      </c>
      <c r="B2792" s="8">
        <v>5.9</v>
      </c>
      <c r="F2792" s="4"/>
      <c r="G2792" s="4"/>
      <c r="H2792" s="4"/>
      <c r="I2792" s="15"/>
      <c r="J2792" s="4"/>
    </row>
    <row r="2793" ht="14.25" customHeight="1">
      <c r="A2793" s="8" t="s">
        <v>16</v>
      </c>
      <c r="B2793" s="8">
        <v>6.8</v>
      </c>
      <c r="F2793" s="4"/>
      <c r="G2793" s="4"/>
      <c r="H2793" s="4"/>
      <c r="I2793" s="15"/>
      <c r="J2793" s="4"/>
    </row>
    <row r="2794" ht="14.25" customHeight="1">
      <c r="A2794" s="8" t="s">
        <v>16</v>
      </c>
      <c r="B2794" s="8">
        <v>5.9</v>
      </c>
      <c r="F2794" s="4"/>
      <c r="G2794" s="4"/>
      <c r="H2794" s="4"/>
      <c r="I2794" s="15"/>
      <c r="J2794" s="4"/>
    </row>
    <row r="2795" ht="14.25" customHeight="1">
      <c r="A2795" s="8" t="s">
        <v>16</v>
      </c>
      <c r="B2795" s="8">
        <v>7.7</v>
      </c>
      <c r="F2795" s="4"/>
      <c r="G2795" s="4"/>
      <c r="H2795" s="4"/>
      <c r="I2795" s="15"/>
      <c r="J2795" s="4"/>
    </row>
    <row r="2796" ht="14.25" customHeight="1">
      <c r="A2796" s="8" t="s">
        <v>16</v>
      </c>
      <c r="B2796" s="8">
        <v>4.4</v>
      </c>
      <c r="F2796" s="4"/>
      <c r="G2796" s="4"/>
      <c r="H2796" s="4"/>
      <c r="I2796" s="15"/>
      <c r="J2796" s="4"/>
    </row>
    <row r="2797" ht="14.25" customHeight="1">
      <c r="A2797" s="8" t="s">
        <v>16</v>
      </c>
      <c r="B2797" s="8">
        <v>6.6</v>
      </c>
      <c r="F2797" s="4"/>
      <c r="G2797" s="4"/>
      <c r="H2797" s="4"/>
      <c r="I2797" s="15"/>
      <c r="J2797" s="4"/>
    </row>
    <row r="2798" ht="14.25" customHeight="1">
      <c r="A2798" s="8" t="s">
        <v>16</v>
      </c>
      <c r="B2798" s="8">
        <v>6.7</v>
      </c>
      <c r="F2798" s="4"/>
      <c r="G2798" s="4"/>
      <c r="H2798" s="4"/>
      <c r="I2798" s="15"/>
      <c r="J2798" s="4"/>
    </row>
    <row r="2799" ht="14.25" customHeight="1">
      <c r="A2799" s="8" t="s">
        <v>16</v>
      </c>
      <c r="B2799" s="8">
        <v>5.5</v>
      </c>
      <c r="F2799" s="4"/>
      <c r="G2799" s="4"/>
      <c r="H2799" s="4"/>
      <c r="I2799" s="15"/>
      <c r="J2799" s="4"/>
    </row>
    <row r="2800" ht="14.25" customHeight="1">
      <c r="A2800" s="8" t="s">
        <v>16</v>
      </c>
      <c r="B2800" s="8">
        <v>6.5</v>
      </c>
      <c r="F2800" s="4"/>
      <c r="G2800" s="4"/>
      <c r="H2800" s="4"/>
      <c r="I2800" s="15"/>
      <c r="J2800" s="4"/>
    </row>
    <row r="2801" ht="14.25" customHeight="1">
      <c r="A2801" s="8" t="s">
        <v>16</v>
      </c>
      <c r="B2801" s="8">
        <v>6.2</v>
      </c>
      <c r="F2801" s="4"/>
      <c r="G2801" s="4"/>
      <c r="H2801" s="4"/>
      <c r="I2801" s="15"/>
      <c r="J2801" s="4"/>
    </row>
    <row r="2802" ht="14.25" customHeight="1">
      <c r="A2802" s="8" t="s">
        <v>16</v>
      </c>
      <c r="B2802" s="8">
        <v>7.1</v>
      </c>
      <c r="F2802" s="4"/>
      <c r="G2802" s="4"/>
      <c r="H2802" s="4"/>
      <c r="I2802" s="15"/>
      <c r="J2802" s="4"/>
    </row>
    <row r="2803" ht="14.25" customHeight="1">
      <c r="A2803" s="8" t="s">
        <v>16</v>
      </c>
      <c r="B2803" s="8">
        <v>6.1</v>
      </c>
      <c r="F2803" s="4"/>
      <c r="G2803" s="4"/>
      <c r="H2803" s="4"/>
      <c r="I2803" s="15"/>
      <c r="J2803" s="4"/>
    </row>
    <row r="2804" ht="14.25" customHeight="1">
      <c r="A2804" s="8" t="s">
        <v>16</v>
      </c>
      <c r="B2804" s="8">
        <v>6.0</v>
      </c>
      <c r="F2804" s="4"/>
      <c r="G2804" s="4"/>
      <c r="H2804" s="4"/>
      <c r="I2804" s="15"/>
      <c r="J2804" s="4"/>
    </row>
    <row r="2805" ht="14.25" customHeight="1">
      <c r="A2805" s="8" t="s">
        <v>16</v>
      </c>
      <c r="B2805" s="8">
        <v>7.4</v>
      </c>
      <c r="F2805" s="4"/>
      <c r="G2805" s="4"/>
      <c r="H2805" s="4"/>
      <c r="I2805" s="15"/>
      <c r="J2805" s="4"/>
    </row>
    <row r="2806" ht="14.25" customHeight="1">
      <c r="A2806" s="8" t="s">
        <v>16</v>
      </c>
      <c r="B2806" s="8">
        <v>5.9</v>
      </c>
      <c r="F2806" s="4"/>
      <c r="G2806" s="4"/>
      <c r="H2806" s="4"/>
      <c r="I2806" s="15"/>
      <c r="J2806" s="4"/>
    </row>
    <row r="2807" ht="14.25" customHeight="1">
      <c r="A2807" s="8" t="s">
        <v>16</v>
      </c>
      <c r="B2807" s="8">
        <v>4.1</v>
      </c>
      <c r="F2807" s="4"/>
      <c r="G2807" s="4"/>
      <c r="H2807" s="4"/>
      <c r="I2807" s="15"/>
      <c r="J2807" s="4"/>
    </row>
    <row r="2808" ht="14.25" customHeight="1">
      <c r="A2808" s="8" t="s">
        <v>16</v>
      </c>
      <c r="B2808" s="8">
        <v>5.9</v>
      </c>
      <c r="F2808" s="4"/>
      <c r="G2808" s="4"/>
      <c r="H2808" s="4"/>
      <c r="I2808" s="15"/>
      <c r="J2808" s="4"/>
    </row>
    <row r="2809" ht="14.25" customHeight="1">
      <c r="A2809" s="8" t="s">
        <v>16</v>
      </c>
      <c r="B2809" s="8">
        <v>7.0</v>
      </c>
      <c r="F2809" s="4"/>
      <c r="G2809" s="4"/>
      <c r="H2809" s="4"/>
      <c r="I2809" s="15"/>
      <c r="J2809" s="4"/>
    </row>
    <row r="2810" ht="14.25" customHeight="1">
      <c r="A2810" s="8" t="s">
        <v>16</v>
      </c>
      <c r="B2810" s="8">
        <v>6.8</v>
      </c>
      <c r="F2810" s="4"/>
      <c r="G2810" s="4"/>
      <c r="H2810" s="4"/>
      <c r="I2810" s="15"/>
      <c r="J2810" s="4"/>
    </row>
    <row r="2811" ht="14.25" customHeight="1">
      <c r="A2811" s="8" t="s">
        <v>16</v>
      </c>
      <c r="B2811" s="8">
        <v>7.4</v>
      </c>
      <c r="F2811" s="4"/>
      <c r="G2811" s="4"/>
      <c r="H2811" s="4"/>
      <c r="I2811" s="15"/>
      <c r="J2811" s="4"/>
    </row>
    <row r="2812" ht="14.25" customHeight="1">
      <c r="A2812" s="8" t="s">
        <v>16</v>
      </c>
      <c r="B2812" s="8">
        <v>7.1</v>
      </c>
      <c r="F2812" s="4"/>
      <c r="G2812" s="4"/>
      <c r="H2812" s="4"/>
      <c r="I2812" s="15"/>
      <c r="J2812" s="4"/>
    </row>
    <row r="2813" ht="14.25" customHeight="1">
      <c r="A2813" s="8" t="s">
        <v>16</v>
      </c>
      <c r="B2813" s="8">
        <v>7.0</v>
      </c>
      <c r="F2813" s="4"/>
      <c r="G2813" s="4"/>
      <c r="H2813" s="4"/>
      <c r="I2813" s="15"/>
      <c r="J2813" s="4"/>
    </row>
    <row r="2814" ht="14.25" customHeight="1">
      <c r="A2814" s="8" t="s">
        <v>16</v>
      </c>
      <c r="B2814" s="8">
        <v>5.8</v>
      </c>
      <c r="F2814" s="4"/>
      <c r="G2814" s="4"/>
      <c r="H2814" s="4"/>
      <c r="I2814" s="15"/>
      <c r="J2814" s="4"/>
    </row>
    <row r="2815" ht="14.25" customHeight="1">
      <c r="A2815" s="8" t="s">
        <v>16</v>
      </c>
      <c r="B2815" s="8">
        <v>7.8</v>
      </c>
      <c r="F2815" s="4"/>
      <c r="G2815" s="4"/>
      <c r="H2815" s="4"/>
      <c r="I2815" s="15"/>
      <c r="J2815" s="4"/>
    </row>
    <row r="2816" ht="14.25" customHeight="1">
      <c r="A2816" s="8" t="s">
        <v>16</v>
      </c>
      <c r="B2816" s="8">
        <v>6.5</v>
      </c>
      <c r="F2816" s="4"/>
      <c r="G2816" s="4"/>
      <c r="H2816" s="4"/>
      <c r="I2816" s="15"/>
      <c r="J2816" s="4"/>
    </row>
    <row r="2817" ht="14.25" customHeight="1">
      <c r="A2817" s="8" t="s">
        <v>16</v>
      </c>
      <c r="B2817" s="8">
        <v>7.0</v>
      </c>
      <c r="F2817" s="4"/>
      <c r="G2817" s="4"/>
      <c r="H2817" s="4"/>
      <c r="I2817" s="15"/>
      <c r="J2817" s="4"/>
    </row>
    <row r="2818" ht="14.25" customHeight="1">
      <c r="A2818" s="8" t="s">
        <v>16</v>
      </c>
      <c r="B2818" s="8">
        <v>6.3</v>
      </c>
      <c r="F2818" s="4"/>
      <c r="G2818" s="4"/>
      <c r="H2818" s="4"/>
      <c r="I2818" s="15"/>
      <c r="J2818" s="4"/>
    </row>
    <row r="2819" ht="14.25" customHeight="1">
      <c r="A2819" s="8" t="s">
        <v>16</v>
      </c>
      <c r="B2819" s="8">
        <v>5.3</v>
      </c>
      <c r="F2819" s="4"/>
      <c r="G2819" s="4"/>
      <c r="H2819" s="4"/>
      <c r="I2819" s="15"/>
      <c r="J2819" s="4"/>
    </row>
    <row r="2820" ht="14.25" customHeight="1">
      <c r="A2820" s="8" t="s">
        <v>16</v>
      </c>
      <c r="B2820" s="8">
        <v>5.5</v>
      </c>
      <c r="F2820" s="4"/>
      <c r="G2820" s="4"/>
      <c r="H2820" s="4"/>
      <c r="I2820" s="15"/>
      <c r="J2820" s="4"/>
    </row>
    <row r="2821" ht="14.25" customHeight="1">
      <c r="A2821" s="8" t="s">
        <v>16</v>
      </c>
      <c r="B2821" s="8">
        <v>7.4</v>
      </c>
      <c r="F2821" s="4"/>
      <c r="G2821" s="4"/>
      <c r="H2821" s="4"/>
      <c r="I2821" s="15"/>
      <c r="J2821" s="4"/>
    </row>
    <row r="2822" ht="14.25" customHeight="1">
      <c r="A2822" s="8" t="s">
        <v>16</v>
      </c>
      <c r="B2822" s="8">
        <v>4.3</v>
      </c>
      <c r="F2822" s="4"/>
      <c r="G2822" s="4"/>
      <c r="H2822" s="4"/>
      <c r="I2822" s="15"/>
      <c r="J2822" s="4"/>
    </row>
    <row r="2823" ht="14.25" customHeight="1">
      <c r="A2823" s="8" t="s">
        <v>16</v>
      </c>
      <c r="B2823" s="8">
        <v>6.0</v>
      </c>
      <c r="F2823" s="4"/>
      <c r="G2823" s="4"/>
      <c r="H2823" s="4"/>
      <c r="I2823" s="15"/>
      <c r="J2823" s="4"/>
    </row>
    <row r="2824" ht="14.25" customHeight="1">
      <c r="A2824" s="8" t="s">
        <v>16</v>
      </c>
      <c r="B2824" s="8">
        <v>5.2</v>
      </c>
      <c r="F2824" s="4"/>
      <c r="G2824" s="4"/>
      <c r="H2824" s="4"/>
      <c r="I2824" s="15"/>
      <c r="J2824" s="4"/>
    </row>
    <row r="2825" ht="14.25" customHeight="1">
      <c r="A2825" s="8" t="s">
        <v>16</v>
      </c>
      <c r="B2825" s="8">
        <v>6.7</v>
      </c>
      <c r="F2825" s="4"/>
      <c r="G2825" s="4"/>
      <c r="H2825" s="4"/>
      <c r="I2825" s="15"/>
      <c r="J2825" s="4"/>
    </row>
    <row r="2826" ht="14.25" customHeight="1">
      <c r="A2826" s="8" t="s">
        <v>16</v>
      </c>
      <c r="B2826" s="8">
        <v>8.6</v>
      </c>
      <c r="F2826" s="4"/>
      <c r="G2826" s="4"/>
      <c r="H2826" s="4"/>
      <c r="I2826" s="15"/>
      <c r="J2826" s="4"/>
    </row>
    <row r="2827" ht="14.25" customHeight="1">
      <c r="A2827" s="8" t="s">
        <v>16</v>
      </c>
      <c r="B2827" s="8">
        <v>6.1</v>
      </c>
      <c r="F2827" s="4"/>
      <c r="G2827" s="4"/>
      <c r="H2827" s="4"/>
      <c r="I2827" s="15"/>
      <c r="J2827" s="4"/>
    </row>
    <row r="2828" ht="14.25" customHeight="1">
      <c r="A2828" s="8" t="s">
        <v>16</v>
      </c>
      <c r="B2828" s="8">
        <v>5.8</v>
      </c>
      <c r="F2828" s="4"/>
      <c r="G2828" s="4"/>
      <c r="H2828" s="4"/>
      <c r="I2828" s="15"/>
      <c r="J2828" s="4"/>
    </row>
    <row r="2829" ht="14.25" customHeight="1">
      <c r="A2829" s="8" t="s">
        <v>1189</v>
      </c>
      <c r="B2829" s="8">
        <v>7.7</v>
      </c>
      <c r="F2829" s="4"/>
      <c r="G2829" s="4"/>
      <c r="H2829" s="4"/>
      <c r="I2829" s="15"/>
      <c r="J2829" s="4"/>
    </row>
    <row r="2830" ht="14.25" customHeight="1">
      <c r="A2830" s="8" t="s">
        <v>16</v>
      </c>
      <c r="B2830" s="8">
        <v>8.0</v>
      </c>
      <c r="F2830" s="4"/>
      <c r="G2830" s="4"/>
      <c r="H2830" s="4"/>
      <c r="I2830" s="15"/>
      <c r="J2830" s="4"/>
    </row>
    <row r="2831" ht="14.25" customHeight="1">
      <c r="A2831" s="8" t="s">
        <v>16</v>
      </c>
      <c r="B2831" s="8">
        <v>5.6</v>
      </c>
      <c r="F2831" s="4"/>
      <c r="G2831" s="4"/>
      <c r="H2831" s="4"/>
      <c r="I2831" s="15"/>
      <c r="J2831" s="4"/>
    </row>
    <row r="2832" ht="14.25" customHeight="1">
      <c r="A2832" s="8" t="s">
        <v>16</v>
      </c>
      <c r="B2832" s="8">
        <v>6.7</v>
      </c>
      <c r="F2832" s="4"/>
      <c r="G2832" s="4"/>
      <c r="H2832" s="4"/>
      <c r="I2832" s="15"/>
      <c r="J2832" s="4"/>
    </row>
    <row r="2833" ht="14.25" customHeight="1">
      <c r="A2833" s="8" t="s">
        <v>16</v>
      </c>
      <c r="B2833" s="8">
        <v>6.6</v>
      </c>
      <c r="F2833" s="4"/>
      <c r="G2833" s="4"/>
      <c r="H2833" s="4"/>
      <c r="I2833" s="15"/>
      <c r="J2833" s="4"/>
    </row>
    <row r="2834" ht="14.25" customHeight="1">
      <c r="A2834" s="8" t="s">
        <v>16</v>
      </c>
      <c r="B2834" s="8">
        <v>4.1</v>
      </c>
      <c r="F2834" s="4"/>
      <c r="G2834" s="4"/>
      <c r="H2834" s="4"/>
      <c r="I2834" s="15"/>
      <c r="J2834" s="4"/>
    </row>
    <row r="2835" ht="14.25" customHeight="1">
      <c r="A2835" s="8" t="s">
        <v>16</v>
      </c>
      <c r="B2835" s="8">
        <v>7.3</v>
      </c>
      <c r="F2835" s="4"/>
      <c r="G2835" s="4"/>
      <c r="H2835" s="4"/>
      <c r="I2835" s="15"/>
      <c r="J2835" s="4"/>
    </row>
    <row r="2836" ht="14.25" customHeight="1">
      <c r="A2836" s="8" t="s">
        <v>16</v>
      </c>
      <c r="B2836" s="8">
        <v>7.1</v>
      </c>
      <c r="F2836" s="4"/>
      <c r="G2836" s="4"/>
      <c r="H2836" s="4"/>
      <c r="I2836" s="15"/>
      <c r="J2836" s="4"/>
    </row>
    <row r="2837" ht="14.25" customHeight="1">
      <c r="A2837" s="8" t="s">
        <v>16</v>
      </c>
      <c r="B2837" s="8">
        <v>6.5</v>
      </c>
      <c r="F2837" s="4"/>
      <c r="G2837" s="4"/>
      <c r="H2837" s="4"/>
      <c r="I2837" s="15"/>
      <c r="J2837" s="4"/>
    </row>
    <row r="2838" ht="14.25" customHeight="1">
      <c r="A2838" s="8" t="s">
        <v>3818</v>
      </c>
      <c r="B2838" s="8">
        <v>7.0</v>
      </c>
      <c r="F2838" s="4"/>
      <c r="G2838" s="4"/>
      <c r="H2838" s="4"/>
      <c r="I2838" s="15"/>
      <c r="J2838" s="4"/>
    </row>
    <row r="2839" ht="14.25" customHeight="1">
      <c r="A2839" s="8" t="s">
        <v>16</v>
      </c>
      <c r="B2839" s="8">
        <v>5.5</v>
      </c>
      <c r="F2839" s="4"/>
      <c r="G2839" s="4"/>
      <c r="H2839" s="4"/>
      <c r="I2839" s="15"/>
      <c r="J2839" s="4"/>
    </row>
    <row r="2840" ht="14.25" customHeight="1">
      <c r="A2840" s="8" t="s">
        <v>16</v>
      </c>
      <c r="B2840" s="8">
        <v>6.6</v>
      </c>
      <c r="F2840" s="4"/>
      <c r="G2840" s="4"/>
      <c r="H2840" s="4"/>
      <c r="I2840" s="15"/>
      <c r="J2840" s="4"/>
    </row>
    <row r="2841" ht="14.25" customHeight="1">
      <c r="A2841" s="8" t="s">
        <v>16</v>
      </c>
      <c r="B2841" s="8">
        <v>7.1</v>
      </c>
      <c r="F2841" s="4"/>
      <c r="G2841" s="4"/>
      <c r="H2841" s="4"/>
      <c r="I2841" s="15"/>
      <c r="J2841" s="4"/>
    </row>
    <row r="2842" ht="14.25" customHeight="1">
      <c r="A2842" s="8" t="s">
        <v>16</v>
      </c>
      <c r="B2842" s="8">
        <v>7.9</v>
      </c>
      <c r="F2842" s="4"/>
      <c r="G2842" s="4"/>
      <c r="H2842" s="4"/>
      <c r="I2842" s="15"/>
      <c r="J2842" s="4"/>
    </row>
    <row r="2843" ht="14.25" customHeight="1">
      <c r="A2843" s="8" t="s">
        <v>16</v>
      </c>
      <c r="B2843" s="8">
        <v>7.1</v>
      </c>
      <c r="F2843" s="4"/>
      <c r="G2843" s="4"/>
      <c r="H2843" s="4"/>
      <c r="I2843" s="15"/>
      <c r="J2843" s="4"/>
    </row>
    <row r="2844" ht="14.25" customHeight="1">
      <c r="A2844" s="8" t="s">
        <v>16</v>
      </c>
      <c r="B2844" s="8">
        <v>5.6</v>
      </c>
      <c r="F2844" s="4"/>
      <c r="G2844" s="4"/>
      <c r="H2844" s="4"/>
      <c r="I2844" s="15"/>
      <c r="J2844" s="4"/>
    </row>
    <row r="2845" ht="14.25" customHeight="1">
      <c r="A2845" s="8" t="s">
        <v>16</v>
      </c>
      <c r="B2845" s="8">
        <v>7.3</v>
      </c>
      <c r="F2845" s="4"/>
      <c r="G2845" s="4"/>
      <c r="H2845" s="4"/>
      <c r="I2845" s="15"/>
      <c r="J2845" s="4"/>
    </row>
    <row r="2846" ht="14.25" customHeight="1">
      <c r="A2846" s="8" t="s">
        <v>16</v>
      </c>
      <c r="B2846" s="8">
        <v>3.3</v>
      </c>
      <c r="F2846" s="4"/>
      <c r="G2846" s="4"/>
      <c r="H2846" s="4"/>
      <c r="I2846" s="15"/>
      <c r="J2846" s="4"/>
    </row>
    <row r="2847" ht="14.25" customHeight="1">
      <c r="A2847" s="8" t="s">
        <v>16</v>
      </c>
      <c r="B2847" s="8">
        <v>6.5</v>
      </c>
      <c r="F2847" s="4"/>
      <c r="G2847" s="4"/>
      <c r="H2847" s="4"/>
      <c r="I2847" s="15"/>
      <c r="J2847" s="4"/>
    </row>
    <row r="2848" ht="14.25" customHeight="1">
      <c r="A2848" s="8" t="s">
        <v>16</v>
      </c>
      <c r="B2848" s="8">
        <v>4.8</v>
      </c>
      <c r="F2848" s="4"/>
      <c r="G2848" s="4"/>
      <c r="H2848" s="4"/>
      <c r="I2848" s="15"/>
      <c r="J2848" s="4"/>
    </row>
    <row r="2849" ht="14.25" customHeight="1">
      <c r="A2849" s="8" t="s">
        <v>16</v>
      </c>
      <c r="B2849" s="8">
        <v>5.2</v>
      </c>
      <c r="F2849" s="4"/>
      <c r="G2849" s="4"/>
      <c r="H2849" s="4"/>
      <c r="I2849" s="15"/>
      <c r="J2849" s="4"/>
    </row>
    <row r="2850" ht="14.25" customHeight="1">
      <c r="A2850" s="8" t="s">
        <v>16</v>
      </c>
      <c r="B2850" s="8">
        <v>6.3</v>
      </c>
      <c r="F2850" s="4"/>
      <c r="G2850" s="4"/>
      <c r="H2850" s="4"/>
      <c r="I2850" s="15"/>
      <c r="J2850" s="4"/>
    </row>
    <row r="2851" ht="14.25" customHeight="1">
      <c r="A2851" s="8" t="s">
        <v>16</v>
      </c>
      <c r="B2851" s="8">
        <v>7.2</v>
      </c>
      <c r="F2851" s="4"/>
      <c r="G2851" s="4"/>
      <c r="H2851" s="4"/>
      <c r="I2851" s="15"/>
      <c r="J2851" s="4"/>
    </row>
    <row r="2852" ht="14.25" customHeight="1">
      <c r="A2852" s="8" t="s">
        <v>16</v>
      </c>
      <c r="B2852" s="8">
        <v>6.8</v>
      </c>
      <c r="F2852" s="4"/>
      <c r="G2852" s="4"/>
      <c r="H2852" s="4"/>
      <c r="I2852" s="15"/>
      <c r="J2852" s="4"/>
    </row>
    <row r="2853" ht="14.25" customHeight="1">
      <c r="A2853" s="8" t="s">
        <v>16</v>
      </c>
      <c r="B2853" s="8">
        <v>5.7</v>
      </c>
      <c r="F2853" s="4"/>
      <c r="G2853" s="4"/>
      <c r="H2853" s="4"/>
      <c r="I2853" s="15"/>
      <c r="J2853" s="4"/>
    </row>
    <row r="2854" ht="14.25" customHeight="1">
      <c r="A2854" s="8" t="s">
        <v>16</v>
      </c>
      <c r="B2854" s="8">
        <v>7.2</v>
      </c>
      <c r="F2854" s="4"/>
      <c r="G2854" s="4"/>
      <c r="H2854" s="4"/>
      <c r="I2854" s="15"/>
      <c r="J2854" s="4"/>
    </row>
    <row r="2855" ht="14.25" customHeight="1">
      <c r="A2855" s="8" t="s">
        <v>16</v>
      </c>
      <c r="B2855" s="8">
        <v>6.9</v>
      </c>
      <c r="F2855" s="4"/>
      <c r="G2855" s="4"/>
      <c r="H2855" s="4"/>
      <c r="I2855" s="15"/>
      <c r="J2855" s="4"/>
    </row>
    <row r="2856" ht="14.25" customHeight="1">
      <c r="A2856" s="8" t="s">
        <v>16</v>
      </c>
      <c r="B2856" s="8">
        <v>6.2</v>
      </c>
      <c r="F2856" s="4"/>
      <c r="G2856" s="4"/>
      <c r="H2856" s="4"/>
      <c r="I2856" s="15"/>
      <c r="J2856" s="4"/>
    </row>
    <row r="2857" ht="14.25" customHeight="1">
      <c r="A2857" s="8" t="s">
        <v>16</v>
      </c>
      <c r="B2857" s="8">
        <v>6.7</v>
      </c>
      <c r="F2857" s="4"/>
      <c r="G2857" s="4"/>
      <c r="H2857" s="4"/>
      <c r="I2857" s="15"/>
      <c r="J2857" s="4"/>
    </row>
    <row r="2858" ht="14.25" customHeight="1">
      <c r="A2858" s="8" t="s">
        <v>16</v>
      </c>
      <c r="B2858" s="8">
        <v>6.5</v>
      </c>
      <c r="F2858" s="4"/>
      <c r="G2858" s="4"/>
      <c r="H2858" s="4"/>
      <c r="I2858" s="15"/>
      <c r="J2858" s="4"/>
    </row>
    <row r="2859" ht="14.25" customHeight="1">
      <c r="A2859" s="8" t="s">
        <v>16</v>
      </c>
      <c r="B2859" s="8">
        <v>7.2</v>
      </c>
      <c r="F2859" s="4"/>
      <c r="G2859" s="4"/>
      <c r="H2859" s="4"/>
      <c r="I2859" s="15"/>
      <c r="J2859" s="4"/>
    </row>
    <row r="2860" ht="14.25" customHeight="1">
      <c r="A2860" s="8" t="s">
        <v>16</v>
      </c>
      <c r="B2860" s="8">
        <v>5.3</v>
      </c>
      <c r="F2860" s="4"/>
      <c r="G2860" s="4"/>
      <c r="H2860" s="4"/>
      <c r="I2860" s="15"/>
      <c r="J2860" s="4"/>
    </row>
    <row r="2861" ht="14.25" customHeight="1">
      <c r="A2861" s="8" t="s">
        <v>16</v>
      </c>
      <c r="B2861" s="8">
        <v>6.7</v>
      </c>
      <c r="F2861" s="4"/>
      <c r="G2861" s="4"/>
      <c r="H2861" s="4"/>
      <c r="I2861" s="15"/>
      <c r="J2861" s="4"/>
    </row>
    <row r="2862" ht="14.25" customHeight="1">
      <c r="A2862" s="8" t="s">
        <v>16</v>
      </c>
      <c r="B2862" s="8">
        <v>3.6</v>
      </c>
      <c r="F2862" s="4"/>
      <c r="G2862" s="4"/>
      <c r="H2862" s="4"/>
      <c r="I2862" s="15"/>
      <c r="J2862" s="4"/>
    </row>
    <row r="2863" ht="14.25" customHeight="1">
      <c r="A2863" s="8" t="s">
        <v>16</v>
      </c>
      <c r="B2863" s="8">
        <v>5.7</v>
      </c>
      <c r="F2863" s="4"/>
      <c r="G2863" s="4"/>
      <c r="H2863" s="4"/>
      <c r="I2863" s="15"/>
      <c r="J2863" s="4"/>
    </row>
    <row r="2864" ht="14.25" customHeight="1">
      <c r="A2864" s="8" t="s">
        <v>2884</v>
      </c>
      <c r="B2864" s="8">
        <v>7.3</v>
      </c>
      <c r="F2864" s="4"/>
      <c r="G2864" s="4"/>
      <c r="H2864" s="4"/>
      <c r="I2864" s="15"/>
      <c r="J2864" s="4"/>
    </row>
    <row r="2865" ht="14.25" customHeight="1">
      <c r="A2865" s="8" t="s">
        <v>16</v>
      </c>
      <c r="B2865" s="8">
        <v>5.0</v>
      </c>
      <c r="F2865" s="4"/>
      <c r="G2865" s="4"/>
      <c r="H2865" s="4"/>
      <c r="I2865" s="15"/>
      <c r="J2865" s="4"/>
    </row>
    <row r="2866" ht="14.25" customHeight="1">
      <c r="A2866" s="8" t="s">
        <v>1189</v>
      </c>
      <c r="B2866" s="8">
        <v>6.6</v>
      </c>
      <c r="F2866" s="4"/>
      <c r="G2866" s="4"/>
      <c r="H2866" s="4"/>
      <c r="I2866" s="15"/>
      <c r="J2866" s="4"/>
    </row>
    <row r="2867" ht="14.25" customHeight="1">
      <c r="A2867" s="8" t="s">
        <v>16</v>
      </c>
      <c r="B2867" s="8">
        <v>6.6</v>
      </c>
      <c r="F2867" s="4"/>
      <c r="G2867" s="4"/>
      <c r="H2867" s="4"/>
      <c r="I2867" s="15"/>
      <c r="J2867" s="4"/>
    </row>
    <row r="2868" ht="14.25" customHeight="1">
      <c r="A2868" s="8" t="s">
        <v>16</v>
      </c>
      <c r="B2868" s="8">
        <v>7.3</v>
      </c>
      <c r="F2868" s="4"/>
      <c r="G2868" s="4"/>
      <c r="H2868" s="4"/>
      <c r="I2868" s="15"/>
      <c r="J2868" s="4"/>
    </row>
    <row r="2869" ht="14.25" customHeight="1">
      <c r="A2869" s="8" t="s">
        <v>16</v>
      </c>
      <c r="B2869" s="8">
        <v>6.2</v>
      </c>
      <c r="F2869" s="4"/>
      <c r="G2869" s="4"/>
      <c r="H2869" s="4"/>
      <c r="I2869" s="15"/>
      <c r="J2869" s="4"/>
    </row>
    <row r="2870" ht="14.25" customHeight="1">
      <c r="A2870" s="8" t="s">
        <v>16</v>
      </c>
      <c r="B2870" s="8">
        <v>6.6</v>
      </c>
      <c r="F2870" s="4"/>
      <c r="G2870" s="4"/>
      <c r="H2870" s="4"/>
      <c r="I2870" s="15"/>
      <c r="J2870" s="4"/>
    </row>
    <row r="2871" ht="14.25" customHeight="1">
      <c r="A2871" s="8" t="s">
        <v>16</v>
      </c>
      <c r="B2871" s="8">
        <v>6.3</v>
      </c>
      <c r="F2871" s="4"/>
      <c r="G2871" s="4"/>
      <c r="H2871" s="4"/>
      <c r="I2871" s="15"/>
      <c r="J2871" s="4"/>
    </row>
    <row r="2872" ht="14.25" customHeight="1">
      <c r="A2872" s="8" t="s">
        <v>16</v>
      </c>
      <c r="B2872" s="8">
        <v>3.3</v>
      </c>
      <c r="F2872" s="4"/>
      <c r="G2872" s="4"/>
      <c r="H2872" s="4"/>
      <c r="I2872" s="15"/>
      <c r="J2872" s="4"/>
    </row>
    <row r="2873" ht="14.25" customHeight="1">
      <c r="A2873" s="8" t="s">
        <v>1144</v>
      </c>
      <c r="B2873" s="8">
        <v>6.2</v>
      </c>
      <c r="F2873" s="4"/>
      <c r="G2873" s="4"/>
      <c r="H2873" s="4"/>
      <c r="I2873" s="15"/>
      <c r="J2873" s="4"/>
    </row>
    <row r="2874" ht="14.25" customHeight="1">
      <c r="A2874" s="8" t="s">
        <v>16</v>
      </c>
      <c r="B2874" s="8">
        <v>3.5</v>
      </c>
      <c r="F2874" s="4"/>
      <c r="G2874" s="4"/>
      <c r="H2874" s="4"/>
      <c r="I2874" s="15"/>
      <c r="J2874" s="4"/>
    </row>
    <row r="2875" ht="14.25" customHeight="1">
      <c r="A2875" s="8" t="s">
        <v>16</v>
      </c>
      <c r="B2875" s="8">
        <v>5.5</v>
      </c>
      <c r="F2875" s="4"/>
      <c r="G2875" s="4"/>
      <c r="H2875" s="4"/>
      <c r="I2875" s="15"/>
      <c r="J2875" s="4"/>
    </row>
    <row r="2876" ht="14.25" customHeight="1">
      <c r="A2876" s="8" t="s">
        <v>16</v>
      </c>
      <c r="B2876" s="8">
        <v>5.9</v>
      </c>
      <c r="F2876" s="4"/>
      <c r="G2876" s="4"/>
      <c r="H2876" s="4"/>
      <c r="I2876" s="15"/>
      <c r="J2876" s="4"/>
    </row>
    <row r="2877" ht="14.25" customHeight="1">
      <c r="A2877" s="8" t="s">
        <v>16</v>
      </c>
      <c r="B2877" s="8">
        <v>4.7</v>
      </c>
      <c r="F2877" s="4"/>
      <c r="G2877" s="4"/>
      <c r="H2877" s="4"/>
      <c r="I2877" s="15"/>
      <c r="J2877" s="4"/>
    </row>
    <row r="2878" ht="14.25" customHeight="1">
      <c r="A2878" s="8" t="s">
        <v>16</v>
      </c>
      <c r="B2878" s="8">
        <v>3.9</v>
      </c>
      <c r="F2878" s="4"/>
      <c r="G2878" s="4"/>
      <c r="H2878" s="4"/>
      <c r="I2878" s="15"/>
      <c r="J2878" s="4"/>
    </row>
    <row r="2879" ht="14.25" customHeight="1">
      <c r="A2879" s="8" t="s">
        <v>16</v>
      </c>
      <c r="B2879" s="8">
        <v>6.1</v>
      </c>
      <c r="F2879" s="4"/>
      <c r="G2879" s="4"/>
      <c r="H2879" s="4"/>
      <c r="I2879" s="15"/>
      <c r="J2879" s="4"/>
    </row>
    <row r="2880" ht="14.25" customHeight="1">
      <c r="A2880" s="8" t="s">
        <v>16</v>
      </c>
      <c r="B2880" s="8">
        <v>6.7</v>
      </c>
      <c r="F2880" s="4"/>
      <c r="G2880" s="4"/>
      <c r="H2880" s="4"/>
      <c r="I2880" s="15"/>
      <c r="J2880" s="4"/>
    </row>
    <row r="2881" ht="14.25" customHeight="1">
      <c r="A2881" s="8" t="s">
        <v>5822</v>
      </c>
      <c r="B2881" s="8">
        <v>6.9</v>
      </c>
      <c r="F2881" s="4"/>
      <c r="G2881" s="4"/>
      <c r="H2881" s="4"/>
      <c r="I2881" s="15"/>
      <c r="J2881" s="4"/>
    </row>
    <row r="2882" ht="14.25" customHeight="1">
      <c r="A2882" s="8" t="s">
        <v>5316</v>
      </c>
      <c r="B2882" s="8">
        <v>7.3</v>
      </c>
      <c r="F2882" s="4"/>
      <c r="G2882" s="4"/>
      <c r="H2882" s="4"/>
      <c r="I2882" s="15"/>
      <c r="J2882" s="4"/>
    </row>
    <row r="2883" ht="14.25" customHeight="1">
      <c r="A2883" s="8" t="s">
        <v>16</v>
      </c>
      <c r="B2883" s="8">
        <v>6.7</v>
      </c>
      <c r="F2883" s="4"/>
      <c r="G2883" s="4"/>
      <c r="H2883" s="4"/>
      <c r="I2883" s="15"/>
      <c r="J2883" s="4"/>
    </row>
    <row r="2884" ht="14.25" customHeight="1">
      <c r="A2884" s="8" t="s">
        <v>16</v>
      </c>
      <c r="B2884" s="8">
        <v>6.1</v>
      </c>
      <c r="F2884" s="4"/>
      <c r="G2884" s="4"/>
      <c r="H2884" s="4"/>
      <c r="I2884" s="15"/>
      <c r="J2884" s="4"/>
    </row>
    <row r="2885" ht="14.25" customHeight="1">
      <c r="A2885" s="8" t="s">
        <v>16</v>
      </c>
      <c r="B2885" s="8">
        <v>6.9</v>
      </c>
      <c r="F2885" s="4"/>
      <c r="G2885" s="4"/>
      <c r="H2885" s="4"/>
      <c r="I2885" s="15"/>
      <c r="J2885" s="4"/>
    </row>
    <row r="2886" ht="14.25" customHeight="1">
      <c r="A2886" s="8" t="s">
        <v>1189</v>
      </c>
      <c r="B2886" s="8">
        <v>7.9</v>
      </c>
      <c r="F2886" s="4"/>
      <c r="G2886" s="4"/>
      <c r="H2886" s="4"/>
      <c r="I2886" s="15"/>
      <c r="J2886" s="4"/>
    </row>
    <row r="2887" ht="14.25" customHeight="1">
      <c r="A2887" s="8" t="s">
        <v>16</v>
      </c>
      <c r="B2887" s="8">
        <v>4.5</v>
      </c>
      <c r="F2887" s="4"/>
      <c r="G2887" s="4"/>
      <c r="H2887" s="4"/>
      <c r="I2887" s="15"/>
      <c r="J2887" s="4"/>
    </row>
    <row r="2888" ht="14.25" customHeight="1">
      <c r="A2888" s="8" t="s">
        <v>16</v>
      </c>
      <c r="B2888" s="8">
        <v>7.6</v>
      </c>
      <c r="F2888" s="4"/>
      <c r="G2888" s="4"/>
      <c r="H2888" s="4"/>
      <c r="I2888" s="15"/>
      <c r="J2888" s="4"/>
    </row>
    <row r="2889" ht="14.25" customHeight="1">
      <c r="A2889" s="8" t="s">
        <v>16</v>
      </c>
      <c r="B2889" s="8">
        <v>7.5</v>
      </c>
      <c r="F2889" s="4"/>
      <c r="G2889" s="4"/>
      <c r="H2889" s="4"/>
      <c r="I2889" s="15"/>
      <c r="J2889" s="4"/>
    </row>
    <row r="2890" ht="14.25" customHeight="1">
      <c r="A2890" s="8" t="s">
        <v>16</v>
      </c>
      <c r="B2890" s="8">
        <v>6.0</v>
      </c>
      <c r="F2890" s="4"/>
      <c r="G2890" s="4"/>
      <c r="H2890" s="4"/>
      <c r="I2890" s="15"/>
      <c r="J2890" s="4"/>
    </row>
    <row r="2891" ht="14.25" customHeight="1">
      <c r="A2891" s="8" t="s">
        <v>16</v>
      </c>
      <c r="B2891" s="8">
        <v>7.1</v>
      </c>
      <c r="F2891" s="4"/>
      <c r="G2891" s="4"/>
      <c r="H2891" s="4"/>
      <c r="I2891" s="15"/>
      <c r="J2891" s="4"/>
    </row>
    <row r="2892" ht="14.25" customHeight="1">
      <c r="A2892" s="8" t="s">
        <v>5555</v>
      </c>
      <c r="B2892" s="8">
        <v>6.9</v>
      </c>
      <c r="F2892" s="4"/>
      <c r="G2892" s="4"/>
      <c r="H2892" s="4"/>
      <c r="I2892" s="15"/>
      <c r="J2892" s="4"/>
    </row>
    <row r="2893" ht="14.25" customHeight="1">
      <c r="A2893" s="8" t="s">
        <v>16</v>
      </c>
      <c r="B2893" s="8">
        <v>8.5</v>
      </c>
      <c r="F2893" s="4"/>
      <c r="G2893" s="4"/>
      <c r="H2893" s="4"/>
      <c r="I2893" s="15"/>
      <c r="J2893" s="4"/>
    </row>
    <row r="2894" ht="14.25" customHeight="1">
      <c r="A2894" s="8" t="s">
        <v>16</v>
      </c>
      <c r="B2894" s="8">
        <v>7.5</v>
      </c>
      <c r="F2894" s="4"/>
      <c r="G2894" s="4"/>
      <c r="H2894" s="4"/>
      <c r="I2894" s="15"/>
      <c r="J2894" s="4"/>
    </row>
    <row r="2895" ht="14.25" customHeight="1">
      <c r="A2895" s="8" t="s">
        <v>16</v>
      </c>
      <c r="B2895" s="8">
        <v>6.6</v>
      </c>
      <c r="F2895" s="4"/>
      <c r="G2895" s="4"/>
      <c r="H2895" s="4"/>
      <c r="I2895" s="15"/>
      <c r="J2895" s="4"/>
    </row>
    <row r="2896" ht="14.25" customHeight="1">
      <c r="A2896" s="8" t="s">
        <v>16</v>
      </c>
      <c r="B2896" s="8">
        <v>8.0</v>
      </c>
      <c r="F2896" s="4"/>
      <c r="G2896" s="4"/>
      <c r="H2896" s="4"/>
      <c r="I2896" s="15"/>
      <c r="J2896" s="4"/>
    </row>
    <row r="2897" ht="14.25" customHeight="1">
      <c r="A2897" s="8" t="s">
        <v>16</v>
      </c>
      <c r="B2897" s="8">
        <v>7.0</v>
      </c>
      <c r="F2897" s="4"/>
      <c r="G2897" s="4"/>
      <c r="H2897" s="4"/>
      <c r="I2897" s="15"/>
      <c r="J2897" s="4"/>
    </row>
    <row r="2898" ht="14.25" customHeight="1">
      <c r="A2898" s="8" t="s">
        <v>16</v>
      </c>
      <c r="B2898" s="8">
        <v>6.8</v>
      </c>
      <c r="F2898" s="4"/>
      <c r="G2898" s="4"/>
      <c r="H2898" s="4"/>
      <c r="I2898" s="15"/>
      <c r="J2898" s="4"/>
    </row>
    <row r="2899" ht="14.25" customHeight="1">
      <c r="A2899" s="8" t="s">
        <v>16</v>
      </c>
      <c r="B2899" s="8">
        <v>6.7</v>
      </c>
      <c r="F2899" s="4"/>
      <c r="G2899" s="4"/>
      <c r="H2899" s="4"/>
      <c r="I2899" s="15"/>
      <c r="J2899" s="4"/>
    </row>
    <row r="2900" ht="14.25" customHeight="1">
      <c r="A2900" s="8" t="s">
        <v>16</v>
      </c>
      <c r="B2900" s="8">
        <v>6.5</v>
      </c>
      <c r="F2900" s="4"/>
      <c r="G2900" s="4"/>
      <c r="H2900" s="4"/>
      <c r="I2900" s="15"/>
      <c r="J2900" s="4"/>
    </row>
    <row r="2901" ht="14.25" customHeight="1">
      <c r="A2901" s="8" t="s">
        <v>16</v>
      </c>
      <c r="B2901" s="8">
        <v>8.0</v>
      </c>
      <c r="F2901" s="4"/>
      <c r="G2901" s="4"/>
      <c r="H2901" s="4"/>
      <c r="I2901" s="15"/>
      <c r="J2901" s="4"/>
    </row>
    <row r="2902" ht="14.25" customHeight="1">
      <c r="A2902" s="8" t="s">
        <v>16</v>
      </c>
      <c r="B2902" s="8">
        <v>6.5</v>
      </c>
      <c r="F2902" s="4"/>
      <c r="G2902" s="4"/>
      <c r="H2902" s="4"/>
      <c r="I2902" s="15"/>
      <c r="J2902" s="4"/>
    </row>
    <row r="2903" ht="14.25" customHeight="1">
      <c r="A2903" s="8" t="s">
        <v>16</v>
      </c>
      <c r="B2903" s="8">
        <v>4.9</v>
      </c>
      <c r="F2903" s="4"/>
      <c r="G2903" s="4"/>
      <c r="H2903" s="4"/>
      <c r="I2903" s="15"/>
      <c r="J2903" s="4"/>
    </row>
    <row r="2904" ht="14.25" customHeight="1">
      <c r="A2904" s="8" t="s">
        <v>16</v>
      </c>
      <c r="B2904" s="8">
        <v>7.1</v>
      </c>
      <c r="F2904" s="4"/>
      <c r="G2904" s="4"/>
      <c r="H2904" s="4"/>
      <c r="I2904" s="15"/>
      <c r="J2904" s="4"/>
    </row>
    <row r="2905" ht="14.25" customHeight="1">
      <c r="A2905" s="8" t="s">
        <v>16</v>
      </c>
      <c r="B2905" s="8">
        <v>7.0</v>
      </c>
      <c r="F2905" s="4"/>
      <c r="G2905" s="4"/>
      <c r="H2905" s="4"/>
      <c r="I2905" s="15"/>
      <c r="J2905" s="4"/>
    </row>
    <row r="2906" ht="14.25" customHeight="1">
      <c r="A2906" s="8" t="s">
        <v>16</v>
      </c>
      <c r="B2906" s="8">
        <v>7.0</v>
      </c>
      <c r="F2906" s="4"/>
      <c r="G2906" s="4"/>
      <c r="H2906" s="4"/>
      <c r="I2906" s="15"/>
      <c r="J2906" s="4"/>
    </row>
    <row r="2907" ht="14.25" customHeight="1">
      <c r="A2907" s="8" t="s">
        <v>16</v>
      </c>
      <c r="B2907" s="8">
        <v>4.5</v>
      </c>
      <c r="F2907" s="4"/>
      <c r="G2907" s="4"/>
      <c r="H2907" s="4"/>
      <c r="I2907" s="15"/>
      <c r="J2907" s="4"/>
    </row>
    <row r="2908" ht="14.25" customHeight="1">
      <c r="A2908" s="8" t="s">
        <v>16</v>
      </c>
      <c r="B2908" s="8">
        <v>7.7</v>
      </c>
      <c r="F2908" s="4"/>
      <c r="G2908" s="4"/>
      <c r="H2908" s="4"/>
      <c r="I2908" s="15"/>
      <c r="J2908" s="4"/>
    </row>
    <row r="2909" ht="14.25" customHeight="1">
      <c r="A2909" s="8" t="s">
        <v>16</v>
      </c>
      <c r="B2909" s="8">
        <v>6.7</v>
      </c>
      <c r="F2909" s="4"/>
      <c r="G2909" s="4"/>
      <c r="H2909" s="4"/>
      <c r="I2909" s="15"/>
      <c r="J2909" s="4"/>
    </row>
    <row r="2910" ht="14.25" customHeight="1">
      <c r="A2910" s="8" t="s">
        <v>16</v>
      </c>
      <c r="B2910" s="8">
        <v>7.0</v>
      </c>
      <c r="F2910" s="4"/>
      <c r="G2910" s="4"/>
      <c r="H2910" s="4"/>
      <c r="I2910" s="15"/>
      <c r="J2910" s="4"/>
    </row>
    <row r="2911" ht="14.25" customHeight="1">
      <c r="A2911" s="8" t="s">
        <v>16</v>
      </c>
      <c r="B2911" s="8">
        <v>6.5</v>
      </c>
      <c r="F2911" s="4"/>
      <c r="G2911" s="4"/>
      <c r="H2911" s="4"/>
      <c r="I2911" s="15"/>
      <c r="J2911" s="4"/>
    </row>
    <row r="2912" ht="14.25" customHeight="1">
      <c r="A2912" s="8" t="s">
        <v>16</v>
      </c>
      <c r="B2912" s="8">
        <v>6.2</v>
      </c>
      <c r="F2912" s="4"/>
      <c r="G2912" s="4"/>
      <c r="H2912" s="4"/>
      <c r="I2912" s="15"/>
      <c r="J2912" s="4"/>
    </row>
    <row r="2913" ht="14.25" customHeight="1">
      <c r="A2913" s="8" t="s">
        <v>16</v>
      </c>
      <c r="B2913" s="8">
        <v>5.7</v>
      </c>
      <c r="F2913" s="4"/>
      <c r="G2913" s="4"/>
      <c r="H2913" s="4"/>
      <c r="I2913" s="15"/>
      <c r="J2913" s="4"/>
    </row>
    <row r="2914" ht="14.25" customHeight="1">
      <c r="A2914" s="8" t="s">
        <v>16</v>
      </c>
      <c r="B2914" s="8">
        <v>6.4</v>
      </c>
      <c r="F2914" s="4"/>
      <c r="G2914" s="4"/>
      <c r="H2914" s="4"/>
      <c r="I2914" s="15"/>
      <c r="J2914" s="4"/>
    </row>
    <row r="2915" ht="14.25" customHeight="1">
      <c r="A2915" s="8" t="s">
        <v>16</v>
      </c>
      <c r="B2915" s="8">
        <v>5.4</v>
      </c>
      <c r="F2915" s="4"/>
      <c r="G2915" s="4"/>
      <c r="H2915" s="4"/>
      <c r="I2915" s="15"/>
      <c r="J2915" s="4"/>
    </row>
    <row r="2916" ht="14.25" customHeight="1">
      <c r="A2916" s="8" t="s">
        <v>5059</v>
      </c>
      <c r="B2916" s="8">
        <v>6.6</v>
      </c>
      <c r="F2916" s="4"/>
      <c r="G2916" s="4"/>
      <c r="H2916" s="4"/>
      <c r="I2916" s="15"/>
      <c r="J2916" s="4"/>
    </row>
    <row r="2917" ht="14.25" customHeight="1">
      <c r="A2917" s="8" t="s">
        <v>16</v>
      </c>
      <c r="B2917" s="8">
        <v>6.1</v>
      </c>
      <c r="F2917" s="4"/>
      <c r="G2917" s="4"/>
      <c r="H2917" s="4"/>
      <c r="I2917" s="15"/>
      <c r="J2917" s="4"/>
    </row>
    <row r="2918" ht="14.25" customHeight="1">
      <c r="A2918" s="8" t="s">
        <v>16</v>
      </c>
      <c r="B2918" s="8">
        <v>7.6</v>
      </c>
      <c r="F2918" s="4"/>
      <c r="G2918" s="4"/>
      <c r="H2918" s="4"/>
      <c r="I2918" s="15"/>
      <c r="J2918" s="4"/>
    </row>
    <row r="2919" ht="14.25" customHeight="1">
      <c r="A2919" s="8" t="s">
        <v>16</v>
      </c>
      <c r="B2919" s="8">
        <v>6.2</v>
      </c>
      <c r="F2919" s="4"/>
      <c r="G2919" s="4"/>
      <c r="H2919" s="4"/>
      <c r="I2919" s="15"/>
      <c r="J2919" s="4"/>
    </row>
    <row r="2920" ht="14.25" customHeight="1">
      <c r="A2920" s="8" t="s">
        <v>16</v>
      </c>
      <c r="B2920" s="8">
        <v>6.6</v>
      </c>
      <c r="F2920" s="4"/>
      <c r="G2920" s="4"/>
      <c r="H2920" s="4"/>
      <c r="I2920" s="15"/>
      <c r="J2920" s="4"/>
    </row>
    <row r="2921" ht="14.25" customHeight="1">
      <c r="A2921" s="8" t="s">
        <v>5892</v>
      </c>
      <c r="B2921" s="8">
        <v>7.3</v>
      </c>
      <c r="F2921" s="4"/>
      <c r="G2921" s="4"/>
      <c r="H2921" s="4"/>
      <c r="I2921" s="15"/>
      <c r="J2921" s="4"/>
    </row>
    <row r="2922" ht="14.25" customHeight="1">
      <c r="A2922" s="8" t="s">
        <v>16</v>
      </c>
      <c r="B2922" s="8">
        <v>4.2</v>
      </c>
      <c r="F2922" s="4"/>
      <c r="G2922" s="4"/>
      <c r="H2922" s="4"/>
      <c r="I2922" s="15"/>
      <c r="J2922" s="4"/>
    </row>
    <row r="2923" ht="14.25" customHeight="1">
      <c r="A2923" s="8" t="s">
        <v>16</v>
      </c>
      <c r="B2923" s="8">
        <v>6.5</v>
      </c>
      <c r="F2923" s="4"/>
      <c r="G2923" s="4"/>
      <c r="H2923" s="4"/>
      <c r="I2923" s="15"/>
      <c r="J2923" s="4"/>
    </row>
    <row r="2924" ht="14.25" customHeight="1">
      <c r="A2924" s="8" t="s">
        <v>16</v>
      </c>
      <c r="B2924" s="8">
        <v>6.5</v>
      </c>
      <c r="F2924" s="4"/>
      <c r="G2924" s="4"/>
      <c r="H2924" s="4"/>
      <c r="I2924" s="15"/>
      <c r="J2924" s="4"/>
    </row>
    <row r="2925" ht="14.25" customHeight="1">
      <c r="A2925" s="8" t="s">
        <v>16</v>
      </c>
      <c r="B2925" s="8">
        <v>5.7</v>
      </c>
      <c r="F2925" s="4"/>
      <c r="G2925" s="4"/>
      <c r="H2925" s="4"/>
      <c r="I2925" s="15"/>
      <c r="J2925" s="4"/>
    </row>
    <row r="2926" ht="14.25" customHeight="1">
      <c r="A2926" s="8" t="s">
        <v>16</v>
      </c>
      <c r="B2926" s="8">
        <v>7.3</v>
      </c>
      <c r="F2926" s="4"/>
      <c r="G2926" s="4"/>
      <c r="H2926" s="4"/>
      <c r="I2926" s="15"/>
      <c r="J2926" s="4"/>
    </row>
    <row r="2927" ht="14.25" customHeight="1">
      <c r="A2927" s="8" t="s">
        <v>16</v>
      </c>
      <c r="B2927" s="8">
        <v>6.9</v>
      </c>
      <c r="F2927" s="4"/>
      <c r="G2927" s="4"/>
      <c r="H2927" s="4"/>
      <c r="I2927" s="15"/>
      <c r="J2927" s="4"/>
    </row>
    <row r="2928" ht="14.25" customHeight="1">
      <c r="A2928" s="8" t="s">
        <v>16</v>
      </c>
      <c r="B2928" s="8">
        <v>5.0</v>
      </c>
      <c r="F2928" s="4"/>
      <c r="G2928" s="4"/>
      <c r="H2928" s="4"/>
      <c r="I2928" s="15"/>
      <c r="J2928" s="4"/>
    </row>
    <row r="2929" ht="14.25" customHeight="1">
      <c r="A2929" s="8" t="s">
        <v>16</v>
      </c>
      <c r="B2929" s="8">
        <v>7.3</v>
      </c>
      <c r="F2929" s="4"/>
      <c r="G2929" s="4"/>
      <c r="H2929" s="4"/>
      <c r="I2929" s="15"/>
      <c r="J2929" s="4"/>
    </row>
    <row r="2930" ht="14.25" customHeight="1">
      <c r="A2930" s="8" t="s">
        <v>16</v>
      </c>
      <c r="B2930" s="8">
        <v>6.5</v>
      </c>
      <c r="F2930" s="4"/>
      <c r="G2930" s="4"/>
      <c r="H2930" s="4"/>
      <c r="I2930" s="15"/>
      <c r="J2930" s="4"/>
    </row>
    <row r="2931" ht="14.25" customHeight="1">
      <c r="A2931" s="8" t="s">
        <v>16</v>
      </c>
      <c r="B2931" s="8">
        <v>2.1</v>
      </c>
      <c r="F2931" s="4"/>
      <c r="G2931" s="4"/>
      <c r="H2931" s="4"/>
      <c r="I2931" s="15"/>
      <c r="J2931" s="4"/>
    </row>
    <row r="2932" ht="14.25" customHeight="1">
      <c r="A2932" s="8" t="s">
        <v>16</v>
      </c>
      <c r="B2932" s="8">
        <v>7.0</v>
      </c>
      <c r="F2932" s="4"/>
      <c r="G2932" s="4"/>
      <c r="H2932" s="4"/>
      <c r="I2932" s="15"/>
      <c r="J2932" s="4"/>
    </row>
    <row r="2933" ht="14.25" customHeight="1">
      <c r="A2933" s="8" t="s">
        <v>5555</v>
      </c>
      <c r="B2933" s="8">
        <v>8.0</v>
      </c>
      <c r="F2933" s="4"/>
      <c r="G2933" s="4"/>
      <c r="H2933" s="4"/>
      <c r="I2933" s="15"/>
      <c r="J2933" s="4"/>
    </row>
    <row r="2934" ht="14.25" customHeight="1">
      <c r="A2934" s="8" t="s">
        <v>16</v>
      </c>
      <c r="B2934" s="8">
        <v>6.9</v>
      </c>
      <c r="F2934" s="4"/>
      <c r="G2934" s="4"/>
      <c r="H2934" s="4"/>
      <c r="I2934" s="15"/>
      <c r="J2934" s="4"/>
    </row>
    <row r="2935" ht="14.25" customHeight="1">
      <c r="A2935" s="8" t="s">
        <v>16</v>
      </c>
      <c r="B2935" s="8">
        <v>7.1</v>
      </c>
      <c r="F2935" s="4"/>
      <c r="G2935" s="4"/>
      <c r="H2935" s="4"/>
      <c r="I2935" s="15"/>
      <c r="J2935" s="4"/>
    </row>
    <row r="2936" ht="14.25" customHeight="1">
      <c r="A2936" s="8" t="s">
        <v>16</v>
      </c>
      <c r="B2936" s="8">
        <v>7.2</v>
      </c>
      <c r="F2936" s="4"/>
      <c r="G2936" s="4"/>
      <c r="H2936" s="4"/>
      <c r="I2936" s="15"/>
      <c r="J2936" s="4"/>
    </row>
    <row r="2937" ht="14.25" customHeight="1">
      <c r="A2937" s="8" t="s">
        <v>16</v>
      </c>
      <c r="B2937" s="8">
        <v>6.7</v>
      </c>
      <c r="F2937" s="4"/>
      <c r="G2937" s="4"/>
      <c r="H2937" s="4"/>
      <c r="I2937" s="15"/>
      <c r="J2937" s="4"/>
    </row>
    <row r="2938" ht="14.25" customHeight="1">
      <c r="A2938" s="8" t="s">
        <v>16</v>
      </c>
      <c r="B2938" s="8">
        <v>8.9</v>
      </c>
      <c r="F2938" s="4"/>
      <c r="G2938" s="4"/>
      <c r="H2938" s="4"/>
      <c r="I2938" s="15"/>
      <c r="J2938" s="4"/>
    </row>
    <row r="2939" ht="14.25" customHeight="1">
      <c r="A2939" s="8" t="s">
        <v>16</v>
      </c>
      <c r="B2939" s="8">
        <v>7.9</v>
      </c>
      <c r="F2939" s="4"/>
      <c r="G2939" s="4"/>
      <c r="H2939" s="4"/>
      <c r="I2939" s="15"/>
      <c r="J2939" s="4"/>
    </row>
    <row r="2940" ht="14.25" customHeight="1">
      <c r="A2940" s="8" t="s">
        <v>16</v>
      </c>
      <c r="B2940" s="8">
        <v>5.6</v>
      </c>
      <c r="F2940" s="4"/>
      <c r="G2940" s="4"/>
      <c r="H2940" s="4"/>
      <c r="I2940" s="15"/>
      <c r="J2940" s="4"/>
    </row>
    <row r="2941" ht="14.25" customHeight="1">
      <c r="A2941" s="8" t="s">
        <v>16</v>
      </c>
      <c r="B2941" s="8">
        <v>8.0</v>
      </c>
      <c r="F2941" s="4"/>
      <c r="G2941" s="4"/>
      <c r="H2941" s="4"/>
      <c r="I2941" s="15"/>
      <c r="J2941" s="4"/>
    </row>
    <row r="2942" ht="14.25" customHeight="1">
      <c r="A2942" s="8" t="s">
        <v>16</v>
      </c>
      <c r="B2942" s="8">
        <v>6.2</v>
      </c>
      <c r="F2942" s="4"/>
      <c r="G2942" s="4"/>
      <c r="H2942" s="4"/>
      <c r="I2942" s="15"/>
      <c r="J2942" s="4"/>
    </row>
    <row r="2943" ht="14.25" customHeight="1">
      <c r="A2943" s="8" t="s">
        <v>16</v>
      </c>
      <c r="B2943" s="8">
        <v>7.9</v>
      </c>
      <c r="F2943" s="4"/>
      <c r="G2943" s="4"/>
      <c r="H2943" s="4"/>
      <c r="I2943" s="15"/>
      <c r="J2943" s="4"/>
    </row>
    <row r="2944" ht="14.25" customHeight="1">
      <c r="A2944" s="8" t="s">
        <v>16</v>
      </c>
      <c r="B2944" s="8">
        <v>8.1</v>
      </c>
      <c r="F2944" s="4"/>
      <c r="G2944" s="4"/>
      <c r="H2944" s="4"/>
      <c r="I2944" s="15"/>
      <c r="J2944" s="4"/>
    </row>
    <row r="2945" ht="14.25" customHeight="1">
      <c r="A2945" s="8" t="s">
        <v>16</v>
      </c>
      <c r="B2945" s="8">
        <v>7.6</v>
      </c>
      <c r="F2945" s="4"/>
      <c r="G2945" s="4"/>
      <c r="H2945" s="4"/>
      <c r="I2945" s="15"/>
      <c r="J2945" s="4"/>
    </row>
    <row r="2946" ht="14.25" customHeight="1">
      <c r="A2946" s="8" t="s">
        <v>16</v>
      </c>
      <c r="B2946" s="8">
        <v>3.5</v>
      </c>
      <c r="F2946" s="4"/>
      <c r="G2946" s="4"/>
      <c r="H2946" s="4"/>
      <c r="I2946" s="15"/>
      <c r="J2946" s="4"/>
    </row>
    <row r="2947" ht="14.25" customHeight="1">
      <c r="A2947" s="8" t="s">
        <v>16</v>
      </c>
      <c r="B2947" s="8">
        <v>7.6</v>
      </c>
      <c r="F2947" s="4"/>
      <c r="G2947" s="4"/>
      <c r="H2947" s="4"/>
      <c r="I2947" s="15"/>
      <c r="J2947" s="4"/>
    </row>
    <row r="2948" ht="14.25" customHeight="1">
      <c r="A2948" s="8" t="s">
        <v>16</v>
      </c>
      <c r="B2948" s="8">
        <v>6.5</v>
      </c>
      <c r="F2948" s="4"/>
      <c r="G2948" s="4"/>
      <c r="H2948" s="4"/>
      <c r="I2948" s="15"/>
      <c r="J2948" s="4"/>
    </row>
    <row r="2949" ht="14.25" customHeight="1">
      <c r="A2949" s="8" t="s">
        <v>16</v>
      </c>
      <c r="B2949" s="8">
        <v>5.6</v>
      </c>
      <c r="F2949" s="4"/>
      <c r="G2949" s="4"/>
      <c r="H2949" s="4"/>
      <c r="I2949" s="15"/>
      <c r="J2949" s="4"/>
    </row>
    <row r="2950" ht="14.25" customHeight="1">
      <c r="A2950" s="8" t="s">
        <v>16</v>
      </c>
      <c r="B2950" s="8">
        <v>7.7</v>
      </c>
      <c r="F2950" s="4"/>
      <c r="G2950" s="4"/>
      <c r="H2950" s="4"/>
      <c r="I2950" s="15"/>
      <c r="J2950" s="4"/>
    </row>
    <row r="2951" ht="14.25" customHeight="1">
      <c r="A2951" s="8" t="s">
        <v>16</v>
      </c>
      <c r="B2951" s="8">
        <v>5.2</v>
      </c>
      <c r="F2951" s="4"/>
      <c r="G2951" s="4"/>
      <c r="H2951" s="4"/>
      <c r="I2951" s="15"/>
      <c r="J2951" s="4"/>
    </row>
    <row r="2952" ht="14.25" customHeight="1">
      <c r="A2952" s="8" t="s">
        <v>16</v>
      </c>
      <c r="B2952" s="8">
        <v>6.1</v>
      </c>
      <c r="F2952" s="4"/>
      <c r="G2952" s="4"/>
      <c r="H2952" s="4"/>
      <c r="I2952" s="15"/>
      <c r="J2952" s="4"/>
    </row>
    <row r="2953" ht="14.25" customHeight="1">
      <c r="A2953" s="8" t="s">
        <v>16</v>
      </c>
      <c r="B2953" s="8">
        <v>7.4</v>
      </c>
      <c r="F2953" s="4"/>
      <c r="G2953" s="4"/>
      <c r="H2953" s="4"/>
      <c r="I2953" s="15"/>
      <c r="J2953" s="4"/>
    </row>
    <row r="2954" ht="14.25" customHeight="1">
      <c r="A2954" s="8" t="s">
        <v>16</v>
      </c>
      <c r="B2954" s="8">
        <v>6.8</v>
      </c>
      <c r="F2954" s="4"/>
      <c r="G2954" s="4"/>
      <c r="H2954" s="4"/>
      <c r="I2954" s="15"/>
      <c r="J2954" s="4"/>
    </row>
    <row r="2955" ht="14.25" customHeight="1">
      <c r="A2955" s="8" t="s">
        <v>16</v>
      </c>
      <c r="B2955" s="8">
        <v>6.4</v>
      </c>
      <c r="F2955" s="4"/>
      <c r="G2955" s="4"/>
      <c r="H2955" s="4"/>
      <c r="I2955" s="15"/>
      <c r="J2955" s="4"/>
    </row>
    <row r="2956" ht="14.25" customHeight="1">
      <c r="A2956" s="8" t="s">
        <v>16</v>
      </c>
      <c r="B2956" s="8">
        <v>5.7</v>
      </c>
      <c r="F2956" s="4"/>
      <c r="G2956" s="4"/>
      <c r="H2956" s="4"/>
      <c r="I2956" s="15"/>
      <c r="J2956" s="4"/>
    </row>
    <row r="2957" ht="14.25" customHeight="1">
      <c r="A2957" s="8" t="s">
        <v>16</v>
      </c>
      <c r="B2957" s="8">
        <v>6.7</v>
      </c>
      <c r="F2957" s="4"/>
      <c r="G2957" s="4"/>
      <c r="H2957" s="4"/>
      <c r="I2957" s="15"/>
      <c r="J2957" s="4"/>
    </row>
    <row r="2958" ht="14.25" customHeight="1">
      <c r="A2958" s="8" t="s">
        <v>16</v>
      </c>
      <c r="B2958" s="8">
        <v>5.6</v>
      </c>
      <c r="F2958" s="4"/>
      <c r="G2958" s="4"/>
      <c r="H2958" s="4"/>
      <c r="I2958" s="15"/>
      <c r="J2958" s="4"/>
    </row>
    <row r="2959" ht="14.25" customHeight="1">
      <c r="A2959" s="8" t="s">
        <v>16</v>
      </c>
      <c r="B2959" s="8">
        <v>7.0</v>
      </c>
      <c r="F2959" s="4"/>
      <c r="G2959" s="4"/>
      <c r="H2959" s="4"/>
      <c r="I2959" s="15"/>
      <c r="J2959" s="4"/>
    </row>
    <row r="2960" ht="14.25" customHeight="1">
      <c r="A2960" s="8" t="s">
        <v>16</v>
      </c>
      <c r="B2960" s="8">
        <v>7.6</v>
      </c>
      <c r="F2960" s="4"/>
      <c r="G2960" s="4"/>
      <c r="H2960" s="4"/>
      <c r="I2960" s="15"/>
      <c r="J2960" s="4"/>
    </row>
    <row r="2961" ht="14.25" customHeight="1">
      <c r="A2961" s="8" t="s">
        <v>16</v>
      </c>
      <c r="B2961" s="8">
        <v>6.5</v>
      </c>
      <c r="F2961" s="4"/>
      <c r="G2961" s="4"/>
      <c r="H2961" s="4"/>
      <c r="I2961" s="15"/>
      <c r="J2961" s="4"/>
    </row>
    <row r="2962" ht="14.25" customHeight="1">
      <c r="A2962" s="8" t="s">
        <v>16</v>
      </c>
      <c r="B2962" s="8">
        <v>6.3</v>
      </c>
      <c r="F2962" s="4"/>
      <c r="G2962" s="4"/>
      <c r="H2962" s="4"/>
      <c r="I2962" s="15"/>
      <c r="J2962" s="4"/>
    </row>
    <row r="2963" ht="14.25" customHeight="1">
      <c r="A2963" s="8" t="s">
        <v>16</v>
      </c>
      <c r="B2963" s="8">
        <v>7.1</v>
      </c>
      <c r="F2963" s="4"/>
      <c r="G2963" s="4"/>
      <c r="H2963" s="4"/>
      <c r="I2963" s="15"/>
      <c r="J2963" s="4"/>
    </row>
    <row r="2964" ht="14.25" customHeight="1">
      <c r="A2964" s="8" t="s">
        <v>16</v>
      </c>
      <c r="B2964" s="8">
        <v>7.1</v>
      </c>
      <c r="F2964" s="4"/>
      <c r="G2964" s="4"/>
      <c r="H2964" s="4"/>
      <c r="I2964" s="15"/>
      <c r="J2964" s="4"/>
    </row>
    <row r="2965" ht="14.25" customHeight="1">
      <c r="A2965" s="8" t="s">
        <v>16</v>
      </c>
      <c r="B2965" s="8">
        <v>6.9</v>
      </c>
      <c r="F2965" s="4"/>
      <c r="G2965" s="4"/>
      <c r="H2965" s="4"/>
      <c r="I2965" s="15"/>
      <c r="J2965" s="4"/>
    </row>
    <row r="2966" ht="14.25" customHeight="1">
      <c r="A2966" s="8" t="s">
        <v>16</v>
      </c>
      <c r="B2966" s="8">
        <v>5.4</v>
      </c>
      <c r="F2966" s="4"/>
      <c r="G2966" s="4"/>
      <c r="H2966" s="4"/>
      <c r="I2966" s="15"/>
      <c r="J2966" s="4"/>
    </row>
    <row r="2967" ht="14.25" customHeight="1">
      <c r="A2967" s="8" t="s">
        <v>16</v>
      </c>
      <c r="B2967" s="8">
        <v>5.1</v>
      </c>
      <c r="F2967" s="4"/>
      <c r="G2967" s="4"/>
      <c r="H2967" s="4"/>
      <c r="I2967" s="15"/>
      <c r="J2967" s="4"/>
    </row>
    <row r="2968" ht="14.25" customHeight="1">
      <c r="A2968" s="8" t="s">
        <v>16</v>
      </c>
      <c r="B2968" s="8">
        <v>5.3</v>
      </c>
      <c r="F2968" s="4"/>
      <c r="G2968" s="4"/>
      <c r="H2968" s="4"/>
      <c r="I2968" s="15"/>
      <c r="J2968" s="4"/>
    </row>
    <row r="2969" ht="14.25" customHeight="1">
      <c r="A2969" s="8" t="s">
        <v>16</v>
      </c>
      <c r="B2969" s="8">
        <v>7.3</v>
      </c>
      <c r="F2969" s="4"/>
      <c r="G2969" s="4"/>
      <c r="H2969" s="4"/>
      <c r="I2969" s="15"/>
      <c r="J2969" s="4"/>
    </row>
    <row r="2970" ht="14.25" customHeight="1">
      <c r="A2970" s="8" t="s">
        <v>16</v>
      </c>
      <c r="B2970" s="8">
        <v>7.3</v>
      </c>
      <c r="F2970" s="4"/>
      <c r="G2970" s="4"/>
      <c r="H2970" s="4"/>
      <c r="I2970" s="15"/>
      <c r="J2970" s="4"/>
    </row>
    <row r="2971" ht="14.25" customHeight="1">
      <c r="A2971" s="8" t="s">
        <v>1189</v>
      </c>
      <c r="B2971" s="8">
        <v>7.1</v>
      </c>
      <c r="F2971" s="4"/>
      <c r="G2971" s="4"/>
      <c r="H2971" s="4"/>
      <c r="I2971" s="15"/>
      <c r="J2971" s="4"/>
    </row>
    <row r="2972" ht="14.25" customHeight="1">
      <c r="A2972" s="8" t="s">
        <v>16</v>
      </c>
      <c r="B2972" s="8">
        <v>6.0</v>
      </c>
      <c r="F2972" s="4"/>
      <c r="G2972" s="4"/>
      <c r="H2972" s="4"/>
      <c r="I2972" s="15"/>
      <c r="J2972" s="4"/>
    </row>
    <row r="2973" ht="14.25" customHeight="1">
      <c r="A2973" s="8" t="s">
        <v>16</v>
      </c>
      <c r="B2973" s="8">
        <v>6.6</v>
      </c>
      <c r="F2973" s="4"/>
      <c r="G2973" s="4"/>
      <c r="H2973" s="4"/>
      <c r="I2973" s="15"/>
      <c r="J2973" s="4"/>
    </row>
    <row r="2974" ht="14.25" customHeight="1">
      <c r="A2974" s="8" t="s">
        <v>16</v>
      </c>
      <c r="B2974" s="8">
        <v>7.2</v>
      </c>
      <c r="F2974" s="4"/>
      <c r="G2974" s="4"/>
      <c r="H2974" s="4"/>
      <c r="I2974" s="15"/>
      <c r="J2974" s="4"/>
    </row>
    <row r="2975" ht="14.25" customHeight="1">
      <c r="A2975" s="8" t="s">
        <v>16</v>
      </c>
      <c r="B2975" s="8">
        <v>7.2</v>
      </c>
      <c r="F2975" s="4"/>
      <c r="G2975" s="4"/>
      <c r="H2975" s="4"/>
      <c r="I2975" s="15"/>
      <c r="J2975" s="4"/>
    </row>
    <row r="2976" ht="14.25" customHeight="1">
      <c r="A2976" s="8" t="s">
        <v>16</v>
      </c>
      <c r="B2976" s="8">
        <v>6.9</v>
      </c>
      <c r="F2976" s="4"/>
      <c r="G2976" s="4"/>
      <c r="H2976" s="4"/>
      <c r="I2976" s="15"/>
      <c r="J2976" s="4"/>
    </row>
    <row r="2977" ht="14.25" customHeight="1">
      <c r="A2977" s="8" t="s">
        <v>16</v>
      </c>
      <c r="B2977" s="8">
        <v>6.8</v>
      </c>
      <c r="F2977" s="4"/>
      <c r="G2977" s="4"/>
      <c r="H2977" s="4"/>
      <c r="I2977" s="15"/>
      <c r="J2977" s="4"/>
    </row>
    <row r="2978" ht="14.25" customHeight="1">
      <c r="A2978" s="8" t="s">
        <v>16</v>
      </c>
      <c r="B2978" s="8">
        <v>7.7</v>
      </c>
      <c r="F2978" s="4"/>
      <c r="G2978" s="4"/>
      <c r="H2978" s="4"/>
      <c r="I2978" s="15"/>
      <c r="J2978" s="4"/>
    </row>
    <row r="2979" ht="14.25" customHeight="1">
      <c r="A2979" s="8" t="s">
        <v>16</v>
      </c>
      <c r="B2979" s="8">
        <v>7.4</v>
      </c>
      <c r="F2979" s="4"/>
      <c r="G2979" s="4"/>
      <c r="H2979" s="4"/>
      <c r="I2979" s="15"/>
      <c r="J2979" s="4"/>
    </row>
    <row r="2980" ht="14.25" customHeight="1">
      <c r="A2980" s="8" t="s">
        <v>16</v>
      </c>
      <c r="B2980" s="8">
        <v>6.5</v>
      </c>
      <c r="F2980" s="4"/>
      <c r="G2980" s="4"/>
      <c r="H2980" s="4"/>
      <c r="I2980" s="15"/>
      <c r="J2980" s="4"/>
    </row>
    <row r="2981" ht="14.25" customHeight="1">
      <c r="A2981" s="8" t="s">
        <v>16</v>
      </c>
      <c r="B2981" s="8">
        <v>6.4</v>
      </c>
      <c r="F2981" s="4"/>
      <c r="G2981" s="4"/>
      <c r="H2981" s="4"/>
      <c r="I2981" s="15"/>
      <c r="J2981" s="4"/>
    </row>
    <row r="2982" ht="14.25" customHeight="1">
      <c r="A2982" s="8" t="s">
        <v>16</v>
      </c>
      <c r="B2982" s="8">
        <v>5.6</v>
      </c>
      <c r="F2982" s="4"/>
      <c r="G2982" s="4"/>
      <c r="H2982" s="4"/>
      <c r="I2982" s="15"/>
      <c r="J2982" s="4"/>
    </row>
    <row r="2983" ht="14.25" customHeight="1">
      <c r="A2983" s="8" t="s">
        <v>16</v>
      </c>
      <c r="B2983" s="8">
        <v>6.8</v>
      </c>
      <c r="F2983" s="4"/>
      <c r="G2983" s="4"/>
      <c r="H2983" s="4"/>
      <c r="I2983" s="15"/>
      <c r="J2983" s="4"/>
    </row>
    <row r="2984" ht="14.25" customHeight="1">
      <c r="A2984" s="8" t="s">
        <v>16</v>
      </c>
      <c r="B2984" s="8">
        <v>5.5</v>
      </c>
      <c r="F2984" s="4"/>
      <c r="G2984" s="4"/>
      <c r="H2984" s="4"/>
      <c r="I2984" s="15"/>
      <c r="J2984" s="4"/>
    </row>
    <row r="2985" ht="14.25" customHeight="1">
      <c r="A2985" s="8" t="s">
        <v>16</v>
      </c>
      <c r="B2985" s="8">
        <v>6.9</v>
      </c>
      <c r="F2985" s="4"/>
      <c r="G2985" s="4"/>
      <c r="H2985" s="4"/>
      <c r="I2985" s="15"/>
      <c r="J2985" s="4"/>
    </row>
    <row r="2986" ht="14.25" customHeight="1">
      <c r="A2986" s="8" t="s">
        <v>16</v>
      </c>
      <c r="B2986" s="8">
        <v>6.0</v>
      </c>
      <c r="F2986" s="4"/>
      <c r="G2986" s="4"/>
      <c r="H2986" s="4"/>
      <c r="I2986" s="15"/>
      <c r="J2986" s="4"/>
    </row>
    <row r="2987" ht="14.25" customHeight="1">
      <c r="A2987" s="8" t="s">
        <v>16</v>
      </c>
      <c r="B2987" s="8">
        <v>6.4</v>
      </c>
      <c r="F2987" s="4"/>
      <c r="G2987" s="4"/>
      <c r="H2987" s="4"/>
      <c r="I2987" s="15"/>
      <c r="J2987" s="4"/>
    </row>
    <row r="2988" ht="14.25" customHeight="1">
      <c r="A2988" s="8" t="s">
        <v>16</v>
      </c>
      <c r="B2988" s="8">
        <v>6.6</v>
      </c>
      <c r="F2988" s="4"/>
      <c r="G2988" s="4"/>
      <c r="H2988" s="4"/>
      <c r="I2988" s="15"/>
      <c r="J2988" s="4"/>
    </row>
    <row r="2989" ht="14.25" customHeight="1">
      <c r="A2989" s="8" t="s">
        <v>16</v>
      </c>
      <c r="B2989" s="8">
        <v>5.3</v>
      </c>
      <c r="F2989" s="4"/>
      <c r="G2989" s="4"/>
      <c r="H2989" s="4"/>
      <c r="I2989" s="15"/>
      <c r="J2989" s="4"/>
    </row>
    <row r="2990" ht="14.25" customHeight="1">
      <c r="A2990" s="8" t="s">
        <v>3076</v>
      </c>
      <c r="B2990" s="8">
        <v>8.1</v>
      </c>
      <c r="F2990" s="4"/>
      <c r="G2990" s="4"/>
      <c r="H2990" s="4"/>
      <c r="I2990" s="15"/>
      <c r="J2990" s="4"/>
    </row>
    <row r="2991" ht="14.25" customHeight="1">
      <c r="A2991" s="8" t="s">
        <v>16</v>
      </c>
      <c r="B2991" s="8">
        <v>6.9</v>
      </c>
      <c r="F2991" s="4"/>
      <c r="G2991" s="4"/>
      <c r="H2991" s="4"/>
      <c r="I2991" s="15"/>
      <c r="J2991" s="4"/>
    </row>
    <row r="2992" ht="14.25" customHeight="1">
      <c r="A2992" s="8" t="s">
        <v>16</v>
      </c>
      <c r="B2992" s="8">
        <v>6.5</v>
      </c>
      <c r="F2992" s="4"/>
      <c r="G2992" s="4"/>
      <c r="H2992" s="4"/>
      <c r="I2992" s="15"/>
      <c r="J2992" s="4"/>
    </row>
    <row r="2993" ht="14.25" customHeight="1">
      <c r="A2993" s="8" t="s">
        <v>16</v>
      </c>
      <c r="B2993" s="8">
        <v>7.4</v>
      </c>
      <c r="F2993" s="4"/>
      <c r="G2993" s="4"/>
      <c r="H2993" s="4"/>
      <c r="I2993" s="15"/>
      <c r="J2993" s="4"/>
    </row>
    <row r="2994" ht="14.25" customHeight="1">
      <c r="A2994" s="8" t="s">
        <v>16</v>
      </c>
      <c r="B2994" s="8">
        <v>6.9</v>
      </c>
      <c r="F2994" s="4"/>
      <c r="G2994" s="4"/>
      <c r="H2994" s="4"/>
      <c r="I2994" s="15"/>
      <c r="J2994" s="4"/>
    </row>
    <row r="2995" ht="14.25" customHeight="1">
      <c r="A2995" s="8" t="s">
        <v>2884</v>
      </c>
      <c r="B2995" s="8">
        <v>6.7</v>
      </c>
      <c r="F2995" s="4"/>
      <c r="G2995" s="4"/>
      <c r="H2995" s="4"/>
      <c r="I2995" s="15"/>
      <c r="J2995" s="4"/>
    </row>
    <row r="2996" ht="14.25" customHeight="1">
      <c r="A2996" s="8" t="s">
        <v>16</v>
      </c>
      <c r="B2996" s="8">
        <v>7.6</v>
      </c>
      <c r="F2996" s="4"/>
      <c r="G2996" s="4"/>
      <c r="H2996" s="4"/>
      <c r="I2996" s="15"/>
      <c r="J2996" s="4"/>
    </row>
    <row r="2997" ht="14.25" customHeight="1">
      <c r="A2997" s="8" t="s">
        <v>16</v>
      </c>
      <c r="B2997" s="8">
        <v>5.4</v>
      </c>
      <c r="F2997" s="4"/>
      <c r="G2997" s="4"/>
      <c r="H2997" s="4"/>
      <c r="I2997" s="15"/>
      <c r="J2997" s="4"/>
    </row>
    <row r="2998" ht="14.25" customHeight="1">
      <c r="A2998" s="8" t="s">
        <v>16</v>
      </c>
      <c r="B2998" s="8">
        <v>7.3</v>
      </c>
      <c r="F2998" s="4"/>
      <c r="G2998" s="4"/>
      <c r="H2998" s="4"/>
      <c r="I2998" s="15"/>
      <c r="J2998" s="4"/>
    </row>
    <row r="2999" ht="14.25" customHeight="1">
      <c r="A2999" s="8" t="s">
        <v>16</v>
      </c>
      <c r="B2999" s="8">
        <v>6.0</v>
      </c>
      <c r="F2999" s="4"/>
      <c r="G2999" s="4"/>
      <c r="H2999" s="4"/>
      <c r="I2999" s="15"/>
      <c r="J2999" s="4"/>
    </row>
    <row r="3000" ht="14.25" customHeight="1">
      <c r="A3000" s="8" t="s">
        <v>16</v>
      </c>
      <c r="B3000" s="8">
        <v>7.2</v>
      </c>
      <c r="F3000" s="4"/>
      <c r="G3000" s="4"/>
      <c r="H3000" s="4"/>
      <c r="I3000" s="15"/>
      <c r="J3000" s="4"/>
    </row>
    <row r="3001" ht="14.25" customHeight="1">
      <c r="A3001" s="8" t="s">
        <v>16</v>
      </c>
      <c r="B3001" s="8">
        <v>6.0</v>
      </c>
      <c r="F3001" s="4"/>
      <c r="G3001" s="4"/>
      <c r="H3001" s="4"/>
      <c r="I3001" s="15"/>
      <c r="J3001" s="4"/>
    </row>
    <row r="3002" ht="14.25" customHeight="1">
      <c r="A3002" s="8" t="s">
        <v>16</v>
      </c>
      <c r="B3002" s="8">
        <v>3.1</v>
      </c>
      <c r="F3002" s="4"/>
      <c r="G3002" s="4"/>
      <c r="H3002" s="4"/>
      <c r="I3002" s="15"/>
      <c r="J3002" s="4"/>
    </row>
    <row r="3003" ht="14.25" customHeight="1">
      <c r="A3003" s="8" t="s">
        <v>16</v>
      </c>
      <c r="B3003" s="8">
        <v>6.9</v>
      </c>
      <c r="F3003" s="4"/>
      <c r="G3003" s="4"/>
      <c r="H3003" s="4"/>
      <c r="I3003" s="15"/>
      <c r="J3003" s="4"/>
    </row>
    <row r="3004" ht="14.25" customHeight="1">
      <c r="A3004" s="8" t="s">
        <v>16</v>
      </c>
      <c r="B3004" s="8">
        <v>6.2</v>
      </c>
      <c r="F3004" s="4"/>
      <c r="G3004" s="4"/>
      <c r="H3004" s="4"/>
      <c r="I3004" s="15"/>
      <c r="J3004" s="4"/>
    </row>
    <row r="3005" ht="14.25" customHeight="1">
      <c r="A3005" s="8" t="s">
        <v>1189</v>
      </c>
      <c r="B3005" s="8">
        <v>6.9</v>
      </c>
      <c r="F3005" s="4"/>
      <c r="G3005" s="4"/>
      <c r="H3005" s="4"/>
      <c r="I3005" s="15"/>
      <c r="J3005" s="4"/>
    </row>
    <row r="3006" ht="14.25" customHeight="1">
      <c r="A3006" s="8" t="s">
        <v>16</v>
      </c>
      <c r="B3006" s="8">
        <v>6.3</v>
      </c>
      <c r="F3006" s="4"/>
      <c r="G3006" s="4"/>
      <c r="H3006" s="4"/>
      <c r="I3006" s="15"/>
      <c r="J3006" s="4"/>
    </row>
    <row r="3007" ht="14.25" customHeight="1">
      <c r="A3007" s="8" t="s">
        <v>16</v>
      </c>
      <c r="B3007" s="8">
        <v>6.7</v>
      </c>
      <c r="F3007" s="4"/>
      <c r="G3007" s="4"/>
      <c r="H3007" s="4"/>
      <c r="I3007" s="15"/>
      <c r="J3007" s="4"/>
    </row>
    <row r="3008" ht="14.25" customHeight="1">
      <c r="A3008" s="8" t="s">
        <v>5555</v>
      </c>
      <c r="B3008" s="8">
        <v>5.4</v>
      </c>
      <c r="F3008" s="4"/>
      <c r="G3008" s="4"/>
      <c r="H3008" s="4"/>
      <c r="I3008" s="15"/>
      <c r="J3008" s="4"/>
    </row>
    <row r="3009" ht="14.25" customHeight="1">
      <c r="A3009" s="8" t="s">
        <v>1189</v>
      </c>
      <c r="B3009" s="8">
        <v>8.0</v>
      </c>
      <c r="F3009" s="4"/>
      <c r="G3009" s="4"/>
      <c r="H3009" s="4"/>
      <c r="I3009" s="15"/>
      <c r="J3009" s="4"/>
    </row>
    <row r="3010" ht="14.25" customHeight="1">
      <c r="A3010" s="8" t="s">
        <v>16</v>
      </c>
      <c r="B3010" s="8">
        <v>7.0</v>
      </c>
      <c r="F3010" s="4"/>
      <c r="G3010" s="4"/>
      <c r="H3010" s="4"/>
      <c r="I3010" s="15"/>
      <c r="J3010" s="4"/>
    </row>
    <row r="3011" ht="14.25" customHeight="1">
      <c r="A3011" s="8" t="s">
        <v>16</v>
      </c>
      <c r="B3011" s="8">
        <v>7.2</v>
      </c>
      <c r="F3011" s="4"/>
      <c r="G3011" s="4"/>
      <c r="H3011" s="4"/>
      <c r="I3011" s="15"/>
      <c r="J3011" s="4"/>
    </row>
    <row r="3012" ht="14.25" customHeight="1">
      <c r="A3012" s="8" t="s">
        <v>16</v>
      </c>
      <c r="B3012" s="8">
        <v>6.2</v>
      </c>
      <c r="F3012" s="4"/>
      <c r="G3012" s="4"/>
      <c r="H3012" s="4"/>
      <c r="I3012" s="15"/>
      <c r="J3012" s="4"/>
    </row>
    <row r="3013" ht="14.25" customHeight="1">
      <c r="A3013" s="8" t="s">
        <v>16</v>
      </c>
      <c r="B3013" s="8">
        <v>3.5</v>
      </c>
      <c r="F3013" s="4"/>
      <c r="G3013" s="4"/>
      <c r="H3013" s="4"/>
      <c r="I3013" s="15"/>
      <c r="J3013" s="4"/>
    </row>
    <row r="3014" ht="14.25" customHeight="1">
      <c r="A3014" s="8" t="s">
        <v>16</v>
      </c>
      <c r="B3014" s="8">
        <v>7.5</v>
      </c>
      <c r="F3014" s="4"/>
      <c r="G3014" s="4"/>
      <c r="H3014" s="4"/>
      <c r="I3014" s="15"/>
      <c r="J3014" s="4"/>
    </row>
    <row r="3015" ht="14.25" customHeight="1">
      <c r="A3015" s="8" t="s">
        <v>16</v>
      </c>
      <c r="B3015" s="8">
        <v>6.7</v>
      </c>
      <c r="F3015" s="4"/>
      <c r="G3015" s="4"/>
      <c r="H3015" s="4"/>
      <c r="I3015" s="15"/>
      <c r="J3015" s="4"/>
    </row>
    <row r="3016" ht="14.25" customHeight="1">
      <c r="A3016" s="8" t="s">
        <v>16</v>
      </c>
      <c r="B3016" s="8">
        <v>9.2</v>
      </c>
      <c r="F3016" s="4"/>
      <c r="G3016" s="4"/>
      <c r="H3016" s="4"/>
      <c r="I3016" s="15"/>
      <c r="J3016" s="4"/>
    </row>
    <row r="3017" ht="14.25" customHeight="1">
      <c r="A3017" s="8" t="s">
        <v>16</v>
      </c>
      <c r="B3017" s="8">
        <v>6.1</v>
      </c>
      <c r="F3017" s="4"/>
      <c r="G3017" s="4"/>
      <c r="H3017" s="4"/>
      <c r="I3017" s="15"/>
      <c r="J3017" s="4"/>
    </row>
    <row r="3018" ht="14.25" customHeight="1">
      <c r="A3018" s="8" t="s">
        <v>16</v>
      </c>
      <c r="B3018" s="8">
        <v>7.7</v>
      </c>
      <c r="F3018" s="4"/>
      <c r="G3018" s="4"/>
      <c r="H3018" s="4"/>
      <c r="I3018" s="15"/>
      <c r="J3018" s="4"/>
    </row>
    <row r="3019" ht="14.25" customHeight="1">
      <c r="A3019" s="8" t="s">
        <v>16</v>
      </c>
      <c r="B3019" s="8">
        <v>7.6</v>
      </c>
      <c r="F3019" s="4"/>
      <c r="G3019" s="4"/>
      <c r="H3019" s="4"/>
      <c r="I3019" s="15"/>
      <c r="J3019" s="4"/>
    </row>
    <row r="3020" ht="14.25" customHeight="1">
      <c r="A3020" s="8" t="s">
        <v>16</v>
      </c>
      <c r="B3020" s="8">
        <v>6.1</v>
      </c>
      <c r="F3020" s="4"/>
      <c r="G3020" s="4"/>
      <c r="H3020" s="4"/>
      <c r="I3020" s="15"/>
      <c r="J3020" s="4"/>
    </row>
    <row r="3021" ht="14.25" customHeight="1">
      <c r="A3021" s="8" t="s">
        <v>16</v>
      </c>
      <c r="B3021" s="8">
        <v>4.9</v>
      </c>
      <c r="F3021" s="4"/>
      <c r="G3021" s="4"/>
      <c r="H3021" s="4"/>
      <c r="I3021" s="15"/>
      <c r="J3021" s="4"/>
    </row>
    <row r="3022" ht="14.25" customHeight="1">
      <c r="A3022" s="8" t="s">
        <v>16</v>
      </c>
      <c r="B3022" s="8">
        <v>6.8</v>
      </c>
      <c r="F3022" s="4"/>
      <c r="G3022" s="4"/>
      <c r="H3022" s="4"/>
      <c r="I3022" s="15"/>
      <c r="J3022" s="4"/>
    </row>
    <row r="3023" ht="14.25" customHeight="1">
      <c r="A3023" s="8" t="s">
        <v>16</v>
      </c>
      <c r="B3023" s="8">
        <v>7.0</v>
      </c>
      <c r="F3023" s="4"/>
      <c r="G3023" s="4"/>
      <c r="H3023" s="4"/>
      <c r="I3023" s="15"/>
      <c r="J3023" s="4"/>
    </row>
    <row r="3024" ht="14.25" customHeight="1">
      <c r="A3024" s="8" t="s">
        <v>16</v>
      </c>
      <c r="B3024" s="8">
        <v>5.7</v>
      </c>
      <c r="F3024" s="4"/>
      <c r="G3024" s="4"/>
      <c r="H3024" s="4"/>
      <c r="I3024" s="15"/>
      <c r="J3024" s="4"/>
    </row>
    <row r="3025" ht="14.25" customHeight="1">
      <c r="A3025" s="8" t="s">
        <v>16</v>
      </c>
      <c r="B3025" s="8">
        <v>7.3</v>
      </c>
      <c r="F3025" s="4"/>
      <c r="G3025" s="4"/>
      <c r="H3025" s="4"/>
      <c r="I3025" s="15"/>
      <c r="J3025" s="4"/>
    </row>
    <row r="3026" ht="14.25" customHeight="1">
      <c r="A3026" s="8" t="s">
        <v>16</v>
      </c>
      <c r="B3026" s="8">
        <v>7.5</v>
      </c>
      <c r="F3026" s="4"/>
      <c r="G3026" s="4"/>
      <c r="H3026" s="4"/>
      <c r="I3026" s="15"/>
      <c r="J3026" s="4"/>
    </row>
    <row r="3027" ht="14.25" customHeight="1">
      <c r="A3027" s="8" t="s">
        <v>16</v>
      </c>
      <c r="B3027" s="8">
        <v>7.4</v>
      </c>
      <c r="F3027" s="4"/>
      <c r="G3027" s="4"/>
      <c r="H3027" s="4"/>
      <c r="I3027" s="15"/>
      <c r="J3027" s="4"/>
    </row>
    <row r="3028" ht="14.25" customHeight="1">
      <c r="A3028" s="8" t="s">
        <v>16</v>
      </c>
      <c r="B3028" s="8">
        <v>7.2</v>
      </c>
      <c r="F3028" s="4"/>
      <c r="G3028" s="4"/>
      <c r="H3028" s="4"/>
      <c r="I3028" s="15"/>
      <c r="J3028" s="4"/>
    </row>
    <row r="3029" ht="14.25" customHeight="1">
      <c r="A3029" s="8" t="s">
        <v>16</v>
      </c>
      <c r="B3029" s="8">
        <v>6.8</v>
      </c>
      <c r="F3029" s="4"/>
      <c r="G3029" s="4"/>
      <c r="H3029" s="4"/>
      <c r="I3029" s="15"/>
      <c r="J3029" s="4"/>
    </row>
    <row r="3030" ht="14.25" customHeight="1">
      <c r="A3030" s="8" t="s">
        <v>16</v>
      </c>
      <c r="B3030" s="8">
        <v>6.8</v>
      </c>
      <c r="F3030" s="4"/>
      <c r="G3030" s="4"/>
      <c r="H3030" s="4"/>
      <c r="I3030" s="15"/>
      <c r="J3030" s="4"/>
    </row>
    <row r="3031" ht="14.25" customHeight="1">
      <c r="A3031" s="8" t="s">
        <v>16</v>
      </c>
      <c r="B3031" s="8">
        <v>5.2</v>
      </c>
      <c r="F3031" s="4"/>
      <c r="G3031" s="4"/>
      <c r="H3031" s="4"/>
      <c r="I3031" s="15"/>
      <c r="J3031" s="4"/>
    </row>
    <row r="3032" ht="14.25" customHeight="1">
      <c r="A3032" s="8" t="s">
        <v>16</v>
      </c>
      <c r="B3032" s="8">
        <v>7.2</v>
      </c>
      <c r="F3032" s="4"/>
      <c r="G3032" s="4"/>
      <c r="H3032" s="4"/>
      <c r="I3032" s="15"/>
      <c r="J3032" s="4"/>
    </row>
    <row r="3033" ht="14.25" customHeight="1">
      <c r="A3033" s="8" t="s">
        <v>16</v>
      </c>
      <c r="B3033" s="8">
        <v>4.0</v>
      </c>
      <c r="F3033" s="4"/>
      <c r="G3033" s="4"/>
      <c r="H3033" s="4"/>
      <c r="I3033" s="15"/>
      <c r="J3033" s="4"/>
    </row>
    <row r="3034" ht="14.25" customHeight="1">
      <c r="A3034" s="8" t="s">
        <v>16</v>
      </c>
      <c r="B3034" s="8">
        <v>6.8</v>
      </c>
      <c r="F3034" s="4"/>
      <c r="G3034" s="4"/>
      <c r="H3034" s="4"/>
      <c r="I3034" s="15"/>
      <c r="J3034" s="4"/>
    </row>
    <row r="3035" ht="14.25" customHeight="1">
      <c r="A3035" s="8" t="s">
        <v>16</v>
      </c>
      <c r="B3035" s="8">
        <v>6.9</v>
      </c>
      <c r="F3035" s="4"/>
      <c r="G3035" s="4"/>
      <c r="H3035" s="4"/>
      <c r="I3035" s="15"/>
      <c r="J3035" s="4"/>
    </row>
    <row r="3036" ht="14.25" customHeight="1">
      <c r="A3036" s="8" t="s">
        <v>16</v>
      </c>
      <c r="B3036" s="8">
        <v>7.3</v>
      </c>
      <c r="F3036" s="4"/>
      <c r="G3036" s="4"/>
      <c r="H3036" s="4"/>
      <c r="I3036" s="15"/>
      <c r="J3036" s="4"/>
    </row>
    <row r="3037" ht="14.25" customHeight="1">
      <c r="A3037" s="8" t="s">
        <v>16</v>
      </c>
      <c r="B3037" s="8">
        <v>6.1</v>
      </c>
      <c r="F3037" s="4"/>
      <c r="G3037" s="4"/>
      <c r="H3037" s="4"/>
      <c r="I3037" s="15"/>
      <c r="J3037" s="4"/>
    </row>
    <row r="3038" ht="14.25" customHeight="1">
      <c r="A3038" s="8" t="s">
        <v>16</v>
      </c>
      <c r="B3038" s="8">
        <v>7.8</v>
      </c>
      <c r="F3038" s="4"/>
      <c r="G3038" s="4"/>
      <c r="H3038" s="4"/>
      <c r="I3038" s="15"/>
      <c r="J3038" s="4"/>
    </row>
    <row r="3039" ht="14.25" customHeight="1">
      <c r="A3039" s="8" t="s">
        <v>16</v>
      </c>
      <c r="B3039" s="8">
        <v>6.0</v>
      </c>
      <c r="F3039" s="4"/>
      <c r="G3039" s="4"/>
      <c r="H3039" s="4"/>
      <c r="I3039" s="15"/>
      <c r="J3039" s="4"/>
    </row>
    <row r="3040" ht="14.25" customHeight="1">
      <c r="A3040" s="8" t="s">
        <v>16</v>
      </c>
      <c r="B3040" s="8">
        <v>7.0</v>
      </c>
      <c r="F3040" s="4"/>
      <c r="G3040" s="4"/>
      <c r="H3040" s="4"/>
      <c r="I3040" s="15"/>
      <c r="J3040" s="4"/>
    </row>
    <row r="3041" ht="14.25" customHeight="1">
      <c r="A3041" s="8" t="s">
        <v>16</v>
      </c>
      <c r="B3041" s="8">
        <v>7.1</v>
      </c>
      <c r="F3041" s="4"/>
      <c r="G3041" s="4"/>
      <c r="H3041" s="4"/>
      <c r="I3041" s="15"/>
      <c r="J3041" s="4"/>
    </row>
    <row r="3042" ht="14.25" customHeight="1">
      <c r="A3042" s="8" t="s">
        <v>16</v>
      </c>
      <c r="B3042" s="8">
        <v>6.2</v>
      </c>
      <c r="F3042" s="4"/>
      <c r="G3042" s="4"/>
      <c r="H3042" s="4"/>
      <c r="I3042" s="15"/>
      <c r="J3042" s="4"/>
    </row>
    <row r="3043" ht="14.25" customHeight="1">
      <c r="A3043" s="8" t="s">
        <v>16</v>
      </c>
      <c r="B3043" s="8">
        <v>6.9</v>
      </c>
      <c r="F3043" s="4"/>
      <c r="G3043" s="4"/>
      <c r="H3043" s="4"/>
      <c r="I3043" s="15"/>
      <c r="J3043" s="4"/>
    </row>
    <row r="3044" ht="14.25" customHeight="1">
      <c r="A3044" s="8" t="s">
        <v>16</v>
      </c>
      <c r="B3044" s="8">
        <v>7.6</v>
      </c>
      <c r="F3044" s="4"/>
      <c r="G3044" s="4"/>
      <c r="H3044" s="4"/>
      <c r="I3044" s="15"/>
      <c r="J3044" s="4"/>
    </row>
    <row r="3045" ht="14.25" customHeight="1">
      <c r="A3045" s="8" t="s">
        <v>16</v>
      </c>
      <c r="B3045" s="8">
        <v>7.6</v>
      </c>
      <c r="F3045" s="4"/>
      <c r="G3045" s="4"/>
      <c r="H3045" s="4"/>
      <c r="I3045" s="15"/>
      <c r="J3045" s="4"/>
    </row>
    <row r="3046" ht="14.25" customHeight="1">
      <c r="A3046" s="8" t="s">
        <v>16</v>
      </c>
      <c r="B3046" s="8">
        <v>6.4</v>
      </c>
      <c r="F3046" s="4"/>
      <c r="G3046" s="4"/>
      <c r="H3046" s="4"/>
      <c r="I3046" s="15"/>
      <c r="J3046" s="4"/>
    </row>
    <row r="3047" ht="14.25" customHeight="1">
      <c r="A3047" s="8" t="s">
        <v>16</v>
      </c>
      <c r="B3047" s="8">
        <v>6.2</v>
      </c>
      <c r="F3047" s="4"/>
      <c r="G3047" s="4"/>
      <c r="H3047" s="4"/>
      <c r="I3047" s="15"/>
      <c r="J3047" s="4"/>
    </row>
    <row r="3048" ht="14.25" customHeight="1">
      <c r="A3048" s="8" t="s">
        <v>941</v>
      </c>
      <c r="B3048" s="8">
        <v>7.5</v>
      </c>
      <c r="F3048" s="4"/>
      <c r="G3048" s="4"/>
      <c r="H3048" s="4"/>
      <c r="I3048" s="15"/>
      <c r="J3048" s="4"/>
    </row>
    <row r="3049" ht="14.25" customHeight="1">
      <c r="A3049" s="8" t="s">
        <v>16</v>
      </c>
      <c r="B3049" s="8">
        <v>2.0</v>
      </c>
      <c r="F3049" s="4"/>
      <c r="G3049" s="4"/>
      <c r="H3049" s="4"/>
      <c r="I3049" s="15"/>
      <c r="J3049" s="4"/>
    </row>
    <row r="3050" ht="14.25" customHeight="1">
      <c r="A3050" s="8" t="s">
        <v>16</v>
      </c>
      <c r="B3050" s="8">
        <v>6.2</v>
      </c>
      <c r="F3050" s="4"/>
      <c r="G3050" s="4"/>
      <c r="H3050" s="4"/>
      <c r="I3050" s="15"/>
      <c r="J3050" s="4"/>
    </row>
    <row r="3051" ht="14.25" customHeight="1">
      <c r="A3051" s="8" t="s">
        <v>16</v>
      </c>
      <c r="B3051" s="8">
        <v>6.5</v>
      </c>
      <c r="F3051" s="4"/>
      <c r="G3051" s="4"/>
      <c r="H3051" s="4"/>
      <c r="I3051" s="15"/>
      <c r="J3051" s="4"/>
    </row>
    <row r="3052" ht="14.25" customHeight="1">
      <c r="A3052" s="8" t="s">
        <v>5555</v>
      </c>
      <c r="B3052" s="8">
        <v>7.9</v>
      </c>
      <c r="F3052" s="4"/>
      <c r="G3052" s="4"/>
      <c r="H3052" s="4"/>
      <c r="I3052" s="15"/>
      <c r="J3052" s="4"/>
    </row>
    <row r="3053" ht="14.25" customHeight="1">
      <c r="A3053" s="8" t="s">
        <v>16</v>
      </c>
      <c r="B3053" s="8">
        <v>6.8</v>
      </c>
      <c r="F3053" s="4"/>
      <c r="G3053" s="4"/>
      <c r="H3053" s="4"/>
      <c r="I3053" s="15"/>
      <c r="J3053" s="4"/>
    </row>
    <row r="3054" ht="14.25" customHeight="1">
      <c r="A3054" s="8" t="s">
        <v>16</v>
      </c>
      <c r="B3054" s="8">
        <v>6.3</v>
      </c>
      <c r="F3054" s="4"/>
      <c r="G3054" s="4"/>
      <c r="H3054" s="4"/>
      <c r="I3054" s="15"/>
      <c r="J3054" s="4"/>
    </row>
    <row r="3055" ht="14.25" customHeight="1">
      <c r="A3055" s="8" t="s">
        <v>16</v>
      </c>
      <c r="B3055" s="8">
        <v>6.3</v>
      </c>
      <c r="F3055" s="4"/>
      <c r="G3055" s="4"/>
      <c r="H3055" s="4"/>
      <c r="I3055" s="15"/>
      <c r="J3055" s="4"/>
    </row>
    <row r="3056" ht="14.25" customHeight="1">
      <c r="A3056" s="8" t="s">
        <v>16</v>
      </c>
      <c r="B3056" s="8">
        <v>6.6</v>
      </c>
      <c r="F3056" s="4"/>
      <c r="G3056" s="4"/>
      <c r="H3056" s="4"/>
      <c r="I3056" s="15"/>
      <c r="J3056" s="4"/>
    </row>
    <row r="3057" ht="14.25" customHeight="1">
      <c r="A3057" s="8" t="s">
        <v>16</v>
      </c>
      <c r="B3057" s="8">
        <v>6.4</v>
      </c>
      <c r="F3057" s="4"/>
      <c r="G3057" s="4"/>
      <c r="H3057" s="4"/>
      <c r="I3057" s="15"/>
      <c r="J3057" s="4"/>
    </row>
    <row r="3058" ht="14.25" customHeight="1">
      <c r="A3058" s="8" t="s">
        <v>16</v>
      </c>
      <c r="B3058" s="8">
        <v>7.5</v>
      </c>
      <c r="F3058" s="4"/>
      <c r="G3058" s="4"/>
      <c r="H3058" s="4"/>
      <c r="I3058" s="15"/>
      <c r="J3058" s="4"/>
    </row>
    <row r="3059" ht="14.25" customHeight="1">
      <c r="A3059" s="8" t="s">
        <v>16</v>
      </c>
      <c r="B3059" s="8">
        <v>6.5</v>
      </c>
      <c r="F3059" s="4"/>
      <c r="G3059" s="4"/>
      <c r="H3059" s="4"/>
      <c r="I3059" s="15"/>
      <c r="J3059" s="4"/>
    </row>
    <row r="3060" ht="14.25" customHeight="1">
      <c r="A3060" s="8" t="s">
        <v>16</v>
      </c>
      <c r="B3060" s="8">
        <v>7.2</v>
      </c>
      <c r="F3060" s="4"/>
      <c r="G3060" s="4"/>
      <c r="H3060" s="4"/>
      <c r="I3060" s="15"/>
      <c r="J3060" s="4"/>
    </row>
    <row r="3061" ht="14.25" customHeight="1">
      <c r="A3061" s="8" t="s">
        <v>16</v>
      </c>
      <c r="B3061" s="8">
        <v>6.3</v>
      </c>
      <c r="F3061" s="4"/>
      <c r="G3061" s="4"/>
      <c r="H3061" s="4"/>
      <c r="I3061" s="15"/>
      <c r="J3061" s="4"/>
    </row>
    <row r="3062" ht="14.25" customHeight="1">
      <c r="A3062" s="8" t="s">
        <v>1189</v>
      </c>
      <c r="B3062" s="8">
        <v>7.0</v>
      </c>
      <c r="F3062" s="4"/>
      <c r="G3062" s="4"/>
      <c r="H3062" s="4"/>
      <c r="I3062" s="15"/>
      <c r="J3062" s="4"/>
    </row>
    <row r="3063" ht="14.25" customHeight="1">
      <c r="A3063" s="8" t="s">
        <v>16</v>
      </c>
      <c r="B3063" s="8">
        <v>6.3</v>
      </c>
      <c r="F3063" s="4"/>
      <c r="G3063" s="4"/>
      <c r="H3063" s="4"/>
      <c r="I3063" s="15"/>
      <c r="J3063" s="4"/>
    </row>
    <row r="3064" ht="14.25" customHeight="1">
      <c r="A3064" s="8" t="s">
        <v>16</v>
      </c>
      <c r="B3064" s="8">
        <v>2.3</v>
      </c>
      <c r="F3064" s="4"/>
      <c r="G3064" s="4"/>
      <c r="H3064" s="4"/>
      <c r="I3064" s="15"/>
      <c r="J3064" s="4"/>
    </row>
    <row r="3065" ht="14.25" customHeight="1">
      <c r="A3065" s="8" t="s">
        <v>16</v>
      </c>
      <c r="B3065" s="8">
        <v>7.1</v>
      </c>
      <c r="F3065" s="4"/>
      <c r="G3065" s="4"/>
      <c r="H3065" s="4"/>
      <c r="I3065" s="15"/>
      <c r="J3065" s="4"/>
    </row>
    <row r="3066" ht="14.25" customHeight="1">
      <c r="A3066" s="8" t="s">
        <v>16</v>
      </c>
      <c r="B3066" s="8">
        <v>6.2</v>
      </c>
      <c r="F3066" s="4"/>
      <c r="G3066" s="4"/>
      <c r="H3066" s="4"/>
      <c r="I3066" s="15"/>
      <c r="J3066" s="4"/>
    </row>
    <row r="3067" ht="14.25" customHeight="1">
      <c r="A3067" s="8" t="s">
        <v>16</v>
      </c>
      <c r="B3067" s="8">
        <v>6.7</v>
      </c>
      <c r="F3067" s="4"/>
      <c r="G3067" s="4"/>
      <c r="H3067" s="4"/>
      <c r="I3067" s="15"/>
      <c r="J3067" s="4"/>
    </row>
    <row r="3068" ht="14.25" customHeight="1">
      <c r="A3068" s="8" t="s">
        <v>16</v>
      </c>
      <c r="B3068" s="8">
        <v>6.5</v>
      </c>
      <c r="F3068" s="4"/>
      <c r="G3068" s="4"/>
      <c r="H3068" s="4"/>
      <c r="I3068" s="15"/>
      <c r="J3068" s="4"/>
    </row>
    <row r="3069" ht="14.25" customHeight="1">
      <c r="A3069" s="8" t="s">
        <v>16</v>
      </c>
      <c r="B3069" s="8">
        <v>5.9</v>
      </c>
      <c r="F3069" s="4"/>
      <c r="G3069" s="4"/>
      <c r="H3069" s="4"/>
      <c r="I3069" s="15"/>
      <c r="J3069" s="4"/>
    </row>
    <row r="3070" ht="14.25" customHeight="1">
      <c r="A3070" s="8" t="s">
        <v>16</v>
      </c>
      <c r="B3070" s="8">
        <v>6.0</v>
      </c>
      <c r="F3070" s="4"/>
      <c r="G3070" s="4"/>
      <c r="H3070" s="4"/>
      <c r="I3070" s="15"/>
      <c r="J3070" s="4"/>
    </row>
    <row r="3071" ht="14.25" customHeight="1">
      <c r="A3071" s="8" t="s">
        <v>16</v>
      </c>
      <c r="B3071" s="8">
        <v>6.9</v>
      </c>
      <c r="F3071" s="4"/>
      <c r="G3071" s="4"/>
      <c r="H3071" s="4"/>
      <c r="I3071" s="15"/>
      <c r="J3071" s="4"/>
    </row>
    <row r="3072" ht="14.25" customHeight="1">
      <c r="A3072" s="8" t="s">
        <v>16</v>
      </c>
      <c r="B3072" s="8">
        <v>7.3</v>
      </c>
      <c r="F3072" s="4"/>
      <c r="G3072" s="4"/>
      <c r="H3072" s="4"/>
      <c r="I3072" s="15"/>
      <c r="J3072" s="4"/>
    </row>
    <row r="3073" ht="14.25" customHeight="1">
      <c r="A3073" s="8" t="s">
        <v>16</v>
      </c>
      <c r="B3073" s="8">
        <v>7.7</v>
      </c>
      <c r="F3073" s="4"/>
      <c r="G3073" s="4"/>
      <c r="H3073" s="4"/>
      <c r="I3073" s="15"/>
      <c r="J3073" s="4"/>
    </row>
    <row r="3074" ht="14.25" customHeight="1">
      <c r="A3074" s="8" t="s">
        <v>4449</v>
      </c>
      <c r="B3074" s="8">
        <v>7.3</v>
      </c>
      <c r="F3074" s="4"/>
      <c r="G3074" s="4"/>
      <c r="H3074" s="4"/>
      <c r="I3074" s="15"/>
      <c r="J3074" s="4"/>
    </row>
    <row r="3075" ht="14.25" customHeight="1">
      <c r="A3075" s="8" t="s">
        <v>16</v>
      </c>
      <c r="B3075" s="8">
        <v>7.0</v>
      </c>
      <c r="F3075" s="4"/>
      <c r="G3075" s="4"/>
      <c r="H3075" s="4"/>
      <c r="I3075" s="15"/>
      <c r="J3075" s="4"/>
    </row>
    <row r="3076" ht="14.25" customHeight="1">
      <c r="A3076" s="8" t="s">
        <v>16</v>
      </c>
      <c r="B3076" s="8">
        <v>6.4</v>
      </c>
      <c r="F3076" s="4"/>
      <c r="G3076" s="4"/>
      <c r="H3076" s="4"/>
      <c r="I3076" s="15"/>
      <c r="J3076" s="4"/>
    </row>
    <row r="3077" ht="14.25" customHeight="1">
      <c r="A3077" s="8" t="s">
        <v>16</v>
      </c>
      <c r="B3077" s="8">
        <v>5.6</v>
      </c>
      <c r="F3077" s="4"/>
      <c r="G3077" s="4"/>
      <c r="H3077" s="4"/>
      <c r="I3077" s="15"/>
      <c r="J3077" s="4"/>
    </row>
    <row r="3078" ht="14.25" customHeight="1">
      <c r="A3078" s="8" t="s">
        <v>1189</v>
      </c>
      <c r="B3078" s="8">
        <v>8.2</v>
      </c>
      <c r="F3078" s="4"/>
      <c r="G3078" s="4"/>
      <c r="H3078" s="4"/>
      <c r="I3078" s="15"/>
      <c r="J3078" s="4"/>
    </row>
    <row r="3079" ht="14.25" customHeight="1">
      <c r="A3079" s="8" t="s">
        <v>3818</v>
      </c>
      <c r="B3079" s="8">
        <v>6.5</v>
      </c>
      <c r="F3079" s="4"/>
      <c r="G3079" s="4"/>
      <c r="H3079" s="4"/>
      <c r="I3079" s="15"/>
      <c r="J3079" s="4"/>
    </row>
    <row r="3080" ht="14.25" customHeight="1">
      <c r="A3080" s="8" t="s">
        <v>6182</v>
      </c>
      <c r="B3080" s="8">
        <v>8.1</v>
      </c>
      <c r="F3080" s="4"/>
      <c r="G3080" s="4"/>
      <c r="H3080" s="4"/>
      <c r="I3080" s="15"/>
      <c r="J3080" s="4"/>
    </row>
    <row r="3081" ht="14.25" customHeight="1">
      <c r="A3081" s="8" t="s">
        <v>16</v>
      </c>
      <c r="B3081" s="8">
        <v>5.4</v>
      </c>
      <c r="F3081" s="4"/>
      <c r="G3081" s="4"/>
      <c r="H3081" s="4"/>
      <c r="I3081" s="15"/>
      <c r="J3081" s="4"/>
    </row>
    <row r="3082" ht="14.25" customHeight="1">
      <c r="A3082" s="8" t="s">
        <v>16</v>
      </c>
      <c r="B3082" s="8">
        <v>6.3</v>
      </c>
      <c r="F3082" s="4"/>
      <c r="G3082" s="4"/>
      <c r="H3082" s="4"/>
      <c r="I3082" s="15"/>
      <c r="J3082" s="4"/>
    </row>
    <row r="3083" ht="14.25" customHeight="1">
      <c r="A3083" s="8" t="s">
        <v>16</v>
      </c>
      <c r="B3083" s="8">
        <v>7.8</v>
      </c>
      <c r="F3083" s="4"/>
      <c r="G3083" s="4"/>
      <c r="H3083" s="4"/>
      <c r="I3083" s="15"/>
      <c r="J3083" s="4"/>
    </row>
    <row r="3084" ht="14.25" customHeight="1">
      <c r="A3084" s="8" t="s">
        <v>16</v>
      </c>
      <c r="B3084" s="8">
        <v>6.8</v>
      </c>
      <c r="F3084" s="4"/>
      <c r="G3084" s="4"/>
      <c r="H3084" s="4"/>
      <c r="I3084" s="15"/>
      <c r="J3084" s="4"/>
    </row>
    <row r="3085" ht="14.25" customHeight="1">
      <c r="A3085" s="8" t="s">
        <v>16</v>
      </c>
      <c r="B3085" s="8">
        <v>7.1</v>
      </c>
      <c r="F3085" s="4"/>
      <c r="G3085" s="4"/>
      <c r="H3085" s="4"/>
      <c r="I3085" s="15"/>
      <c r="J3085" s="4"/>
    </row>
    <row r="3086" ht="14.25" customHeight="1">
      <c r="A3086" s="8" t="s">
        <v>16</v>
      </c>
      <c r="B3086" s="8">
        <v>6.2</v>
      </c>
      <c r="F3086" s="4"/>
      <c r="G3086" s="4"/>
      <c r="H3086" s="4"/>
      <c r="I3086" s="15"/>
      <c r="J3086" s="4"/>
    </row>
    <row r="3087" ht="14.25" customHeight="1">
      <c r="A3087" s="8" t="s">
        <v>16</v>
      </c>
      <c r="B3087" s="8">
        <v>7.3</v>
      </c>
      <c r="F3087" s="4"/>
      <c r="G3087" s="4"/>
      <c r="H3087" s="4"/>
      <c r="I3087" s="15"/>
      <c r="J3087" s="4"/>
    </row>
    <row r="3088" ht="14.25" customHeight="1">
      <c r="A3088" s="8" t="s">
        <v>16</v>
      </c>
      <c r="B3088" s="8">
        <v>5.9</v>
      </c>
      <c r="F3088" s="4"/>
      <c r="G3088" s="4"/>
      <c r="H3088" s="4"/>
      <c r="I3088" s="15"/>
      <c r="J3088" s="4"/>
    </row>
    <row r="3089" ht="14.25" customHeight="1">
      <c r="A3089" s="8" t="s">
        <v>16</v>
      </c>
      <c r="B3089" s="8">
        <v>3.6</v>
      </c>
      <c r="F3089" s="4"/>
      <c r="G3089" s="4"/>
      <c r="H3089" s="4"/>
      <c r="I3089" s="15"/>
      <c r="J3089" s="4"/>
    </row>
    <row r="3090" ht="14.25" customHeight="1">
      <c r="A3090" s="8" t="s">
        <v>16</v>
      </c>
      <c r="B3090" s="8">
        <v>7.7</v>
      </c>
      <c r="F3090" s="4"/>
      <c r="G3090" s="4"/>
      <c r="H3090" s="4"/>
      <c r="I3090" s="15"/>
      <c r="J3090" s="4"/>
    </row>
    <row r="3091" ht="14.25" customHeight="1">
      <c r="A3091" s="8" t="s">
        <v>16</v>
      </c>
      <c r="B3091" s="8">
        <v>7.3</v>
      </c>
      <c r="F3091" s="4"/>
      <c r="G3091" s="4"/>
      <c r="H3091" s="4"/>
      <c r="I3091" s="15"/>
      <c r="J3091" s="4"/>
    </row>
    <row r="3092" ht="14.25" customHeight="1">
      <c r="A3092" s="8" t="s">
        <v>16</v>
      </c>
      <c r="B3092" s="8">
        <v>7.4</v>
      </c>
      <c r="F3092" s="4"/>
      <c r="G3092" s="4"/>
      <c r="H3092" s="4"/>
      <c r="I3092" s="15"/>
      <c r="J3092" s="4"/>
    </row>
    <row r="3093" ht="14.25" customHeight="1">
      <c r="A3093" s="8" t="s">
        <v>16</v>
      </c>
      <c r="B3093" s="8">
        <v>6.6</v>
      </c>
      <c r="F3093" s="4"/>
      <c r="G3093" s="4"/>
      <c r="H3093" s="4"/>
      <c r="I3093" s="15"/>
      <c r="J3093" s="4"/>
    </row>
    <row r="3094" ht="14.25" customHeight="1">
      <c r="A3094" s="8" t="s">
        <v>16</v>
      </c>
      <c r="B3094" s="8">
        <v>6.9</v>
      </c>
      <c r="F3094" s="4"/>
      <c r="G3094" s="4"/>
      <c r="H3094" s="4"/>
      <c r="I3094" s="15"/>
      <c r="J3094" s="4"/>
    </row>
    <row r="3095" ht="14.25" customHeight="1">
      <c r="A3095" s="8" t="s">
        <v>16</v>
      </c>
      <c r="B3095" s="8">
        <v>6.8</v>
      </c>
      <c r="F3095" s="4"/>
      <c r="G3095" s="4"/>
      <c r="H3095" s="4"/>
      <c r="I3095" s="15"/>
      <c r="J3095" s="4"/>
    </row>
    <row r="3096" ht="14.25" customHeight="1">
      <c r="A3096" s="8" t="s">
        <v>16</v>
      </c>
      <c r="B3096" s="8">
        <v>7.3</v>
      </c>
      <c r="F3096" s="4"/>
      <c r="G3096" s="4"/>
      <c r="H3096" s="4"/>
      <c r="I3096" s="15"/>
      <c r="J3096" s="4"/>
    </row>
    <row r="3097" ht="14.25" customHeight="1">
      <c r="A3097" s="8" t="s">
        <v>16</v>
      </c>
      <c r="B3097" s="8">
        <v>7.2</v>
      </c>
      <c r="F3097" s="4"/>
      <c r="G3097" s="4"/>
      <c r="H3097" s="4"/>
      <c r="I3097" s="15"/>
      <c r="J3097" s="4"/>
    </row>
    <row r="3098" ht="14.25" customHeight="1">
      <c r="A3098" s="8" t="s">
        <v>16</v>
      </c>
      <c r="B3098" s="8">
        <v>7.7</v>
      </c>
      <c r="F3098" s="4"/>
      <c r="G3098" s="4"/>
      <c r="H3098" s="4"/>
      <c r="I3098" s="15"/>
      <c r="J3098" s="4"/>
    </row>
    <row r="3099" ht="14.25" customHeight="1">
      <c r="A3099" s="8" t="s">
        <v>16</v>
      </c>
      <c r="B3099" s="8">
        <v>8.1</v>
      </c>
      <c r="F3099" s="4"/>
      <c r="G3099" s="4"/>
      <c r="H3099" s="4"/>
      <c r="I3099" s="15"/>
      <c r="J3099" s="4"/>
    </row>
    <row r="3100" ht="14.25" customHeight="1">
      <c r="A3100" s="8" t="s">
        <v>4449</v>
      </c>
      <c r="B3100" s="8">
        <v>7.7</v>
      </c>
      <c r="F3100" s="4"/>
      <c r="G3100" s="4"/>
      <c r="H3100" s="4"/>
      <c r="I3100" s="15"/>
      <c r="J3100" s="4"/>
    </row>
    <row r="3101" ht="14.25" customHeight="1">
      <c r="A3101" s="8" t="s">
        <v>16</v>
      </c>
      <c r="B3101" s="8">
        <v>7.6</v>
      </c>
      <c r="F3101" s="4"/>
      <c r="G3101" s="4"/>
      <c r="H3101" s="4"/>
      <c r="I3101" s="15"/>
      <c r="J3101" s="4"/>
    </row>
    <row r="3102" ht="14.25" customHeight="1">
      <c r="A3102" s="8" t="s">
        <v>16</v>
      </c>
      <c r="B3102" s="8">
        <v>7.2</v>
      </c>
      <c r="F3102" s="4"/>
      <c r="G3102" s="4"/>
      <c r="H3102" s="4"/>
      <c r="I3102" s="15"/>
      <c r="J3102" s="4"/>
    </row>
    <row r="3103" ht="14.25" customHeight="1">
      <c r="A3103" s="8" t="s">
        <v>16</v>
      </c>
      <c r="B3103" s="8">
        <v>7.2</v>
      </c>
      <c r="F3103" s="4"/>
      <c r="G3103" s="4"/>
      <c r="H3103" s="4"/>
      <c r="I3103" s="15"/>
      <c r="J3103" s="4"/>
    </row>
    <row r="3104" ht="14.25" customHeight="1">
      <c r="A3104" s="8" t="s">
        <v>16</v>
      </c>
      <c r="B3104" s="8">
        <v>8.1</v>
      </c>
      <c r="F3104" s="4"/>
      <c r="G3104" s="4"/>
      <c r="H3104" s="4"/>
      <c r="I3104" s="15"/>
      <c r="J3104" s="4"/>
    </row>
    <row r="3105" ht="14.25" customHeight="1">
      <c r="A3105" s="8" t="s">
        <v>16</v>
      </c>
      <c r="B3105" s="8">
        <v>7.5</v>
      </c>
      <c r="F3105" s="4"/>
      <c r="G3105" s="4"/>
      <c r="H3105" s="4"/>
      <c r="I3105" s="15"/>
      <c r="J3105" s="4"/>
    </row>
    <row r="3106" ht="14.25" customHeight="1">
      <c r="A3106" s="8" t="s">
        <v>16</v>
      </c>
      <c r="B3106" s="8">
        <v>8.1</v>
      </c>
      <c r="F3106" s="4"/>
      <c r="G3106" s="4"/>
      <c r="H3106" s="4"/>
      <c r="I3106" s="15"/>
      <c r="J3106" s="4"/>
    </row>
    <row r="3107" ht="14.25" customHeight="1">
      <c r="A3107" s="8" t="s">
        <v>16</v>
      </c>
      <c r="B3107" s="8">
        <v>7.8</v>
      </c>
      <c r="F3107" s="4"/>
      <c r="G3107" s="4"/>
      <c r="H3107" s="4"/>
      <c r="I3107" s="15"/>
      <c r="J3107" s="4"/>
    </row>
    <row r="3108" ht="14.25" customHeight="1">
      <c r="A3108" s="8" t="s">
        <v>16</v>
      </c>
      <c r="B3108" s="8">
        <v>7.8</v>
      </c>
      <c r="F3108" s="4"/>
      <c r="G3108" s="4"/>
      <c r="H3108" s="4"/>
      <c r="I3108" s="15"/>
      <c r="J3108" s="4"/>
    </row>
    <row r="3109" ht="14.25" customHeight="1">
      <c r="A3109" s="8" t="s">
        <v>16</v>
      </c>
      <c r="B3109" s="8">
        <v>5.8</v>
      </c>
      <c r="F3109" s="4"/>
      <c r="G3109" s="4"/>
      <c r="H3109" s="4"/>
      <c r="I3109" s="15"/>
      <c r="J3109" s="4"/>
    </row>
    <row r="3110" ht="14.25" customHeight="1">
      <c r="A3110" s="8" t="s">
        <v>16</v>
      </c>
      <c r="B3110" s="8">
        <v>7.6</v>
      </c>
      <c r="F3110" s="4"/>
      <c r="G3110" s="4"/>
      <c r="H3110" s="4"/>
      <c r="I3110" s="15"/>
      <c r="J3110" s="4"/>
    </row>
    <row r="3111" ht="14.25" customHeight="1">
      <c r="A3111" s="8" t="s">
        <v>16</v>
      </c>
      <c r="B3111" s="8">
        <v>7.4</v>
      </c>
      <c r="F3111" s="4"/>
      <c r="G3111" s="4"/>
      <c r="H3111" s="4"/>
      <c r="I3111" s="15"/>
      <c r="J3111" s="4"/>
    </row>
    <row r="3112" ht="14.25" customHeight="1">
      <c r="A3112" s="8" t="s">
        <v>16</v>
      </c>
      <c r="B3112" s="8">
        <v>6.3</v>
      </c>
      <c r="F3112" s="4"/>
      <c r="G3112" s="4"/>
      <c r="H3112" s="4"/>
      <c r="I3112" s="15"/>
      <c r="J3112" s="4"/>
    </row>
    <row r="3113" ht="14.25" customHeight="1">
      <c r="A3113" s="8" t="s">
        <v>16</v>
      </c>
      <c r="B3113" s="8">
        <v>6.9</v>
      </c>
      <c r="F3113" s="4"/>
      <c r="G3113" s="4"/>
      <c r="H3113" s="4"/>
      <c r="I3113" s="15"/>
      <c r="J3113" s="4"/>
    </row>
    <row r="3114" ht="14.25" customHeight="1">
      <c r="A3114" s="8" t="s">
        <v>16</v>
      </c>
      <c r="B3114" s="8">
        <v>8.6</v>
      </c>
      <c r="F3114" s="4"/>
      <c r="G3114" s="4"/>
      <c r="H3114" s="4"/>
      <c r="I3114" s="15"/>
      <c r="J3114" s="4"/>
    </row>
    <row r="3115" ht="14.25" customHeight="1">
      <c r="A3115" s="8" t="s">
        <v>16</v>
      </c>
      <c r="B3115" s="8">
        <v>5.1</v>
      </c>
      <c r="F3115" s="4"/>
      <c r="G3115" s="4"/>
      <c r="H3115" s="4"/>
      <c r="I3115" s="15"/>
      <c r="J3115" s="4"/>
    </row>
    <row r="3116" ht="14.25" customHeight="1">
      <c r="A3116" s="8" t="s">
        <v>16</v>
      </c>
      <c r="B3116" s="8">
        <v>6.4</v>
      </c>
      <c r="F3116" s="4"/>
      <c r="G3116" s="4"/>
      <c r="H3116" s="4"/>
      <c r="I3116" s="15"/>
      <c r="J3116" s="4"/>
    </row>
    <row r="3117" ht="14.25" customHeight="1">
      <c r="A3117" s="8" t="s">
        <v>16</v>
      </c>
      <c r="B3117" s="8">
        <v>7.9</v>
      </c>
      <c r="F3117" s="4"/>
      <c r="G3117" s="4"/>
      <c r="H3117" s="4"/>
      <c r="I3117" s="15"/>
      <c r="J3117" s="4"/>
    </row>
    <row r="3118" ht="14.25" customHeight="1">
      <c r="A3118" s="8" t="s">
        <v>16</v>
      </c>
      <c r="B3118" s="8">
        <v>6.9</v>
      </c>
      <c r="F3118" s="4"/>
      <c r="G3118" s="4"/>
      <c r="H3118" s="4"/>
      <c r="I3118" s="15"/>
      <c r="J3118" s="4"/>
    </row>
    <row r="3119" ht="14.25" customHeight="1">
      <c r="A3119" s="8" t="s">
        <v>16</v>
      </c>
      <c r="B3119" s="8">
        <v>7.5</v>
      </c>
      <c r="F3119" s="4"/>
      <c r="G3119" s="4"/>
      <c r="H3119" s="4"/>
      <c r="I3119" s="15"/>
      <c r="J3119" s="4"/>
    </row>
    <row r="3120" ht="14.25" customHeight="1">
      <c r="A3120" s="8" t="s">
        <v>16</v>
      </c>
      <c r="B3120" s="8">
        <v>7.2</v>
      </c>
      <c r="F3120" s="4"/>
      <c r="G3120" s="4"/>
      <c r="H3120" s="4"/>
      <c r="I3120" s="15"/>
      <c r="J3120" s="4"/>
    </row>
    <row r="3121" ht="14.25" customHeight="1">
      <c r="A3121" s="8" t="s">
        <v>16</v>
      </c>
      <c r="B3121" s="8">
        <v>5.8</v>
      </c>
      <c r="F3121" s="4"/>
      <c r="G3121" s="4"/>
      <c r="H3121" s="4"/>
      <c r="I3121" s="15"/>
      <c r="J3121" s="4"/>
    </row>
    <row r="3122" ht="14.25" customHeight="1">
      <c r="A3122" s="8" t="s">
        <v>16</v>
      </c>
      <c r="B3122" s="8">
        <v>2.9</v>
      </c>
      <c r="F3122" s="4"/>
      <c r="G3122" s="4"/>
      <c r="H3122" s="4"/>
      <c r="I3122" s="15"/>
      <c r="J3122" s="4"/>
    </row>
    <row r="3123" ht="14.25" customHeight="1">
      <c r="A3123" s="8" t="s">
        <v>16</v>
      </c>
      <c r="B3123" s="8">
        <v>6.2</v>
      </c>
      <c r="F3123" s="4"/>
      <c r="G3123" s="4"/>
      <c r="H3123" s="4"/>
      <c r="I3123" s="15"/>
      <c r="J3123" s="4"/>
    </row>
    <row r="3124" ht="14.25" customHeight="1">
      <c r="A3124" s="8" t="s">
        <v>16</v>
      </c>
      <c r="B3124" s="8">
        <v>6.8</v>
      </c>
      <c r="F3124" s="4"/>
      <c r="G3124" s="4"/>
      <c r="H3124" s="4"/>
      <c r="I3124" s="15"/>
      <c r="J3124" s="4"/>
    </row>
    <row r="3125" ht="14.25" customHeight="1">
      <c r="A3125" s="8" t="s">
        <v>16</v>
      </c>
      <c r="B3125" s="8">
        <v>6.1</v>
      </c>
      <c r="F3125" s="4"/>
      <c r="G3125" s="4"/>
      <c r="H3125" s="4"/>
      <c r="I3125" s="15"/>
      <c r="J3125" s="4"/>
    </row>
    <row r="3126" ht="14.25" customHeight="1">
      <c r="A3126" s="8" t="s">
        <v>16</v>
      </c>
      <c r="B3126" s="8">
        <v>7.7</v>
      </c>
      <c r="F3126" s="4"/>
      <c r="G3126" s="4"/>
      <c r="H3126" s="4"/>
      <c r="I3126" s="15"/>
      <c r="J3126" s="4"/>
    </row>
    <row r="3127" ht="14.25" customHeight="1">
      <c r="A3127" s="8" t="s">
        <v>16</v>
      </c>
      <c r="B3127" s="8">
        <v>5.2</v>
      </c>
      <c r="F3127" s="4"/>
      <c r="G3127" s="4"/>
      <c r="H3127" s="4"/>
      <c r="I3127" s="15"/>
      <c r="J3127" s="4"/>
    </row>
    <row r="3128" ht="14.25" customHeight="1">
      <c r="A3128" s="8" t="s">
        <v>16</v>
      </c>
      <c r="B3128" s="8">
        <v>6.8</v>
      </c>
      <c r="F3128" s="4"/>
      <c r="G3128" s="4"/>
      <c r="H3128" s="4"/>
      <c r="I3128" s="15"/>
      <c r="J3128" s="4"/>
    </row>
    <row r="3129" ht="14.25" customHeight="1">
      <c r="A3129" s="8" t="s">
        <v>16</v>
      </c>
      <c r="B3129" s="8">
        <v>6.5</v>
      </c>
      <c r="F3129" s="4"/>
      <c r="G3129" s="4"/>
      <c r="H3129" s="4"/>
      <c r="I3129" s="15"/>
      <c r="J3129" s="4"/>
    </row>
    <row r="3130" ht="14.25" customHeight="1">
      <c r="A3130" s="8" t="s">
        <v>16</v>
      </c>
      <c r="B3130" s="8">
        <v>7.0</v>
      </c>
      <c r="F3130" s="4"/>
      <c r="G3130" s="4"/>
      <c r="H3130" s="4"/>
      <c r="I3130" s="15"/>
      <c r="J3130" s="4"/>
    </row>
    <row r="3131" ht="14.25" customHeight="1">
      <c r="A3131" s="8" t="s">
        <v>16</v>
      </c>
      <c r="B3131" s="8">
        <v>5.9</v>
      </c>
      <c r="F3131" s="4"/>
      <c r="G3131" s="4"/>
      <c r="H3131" s="4"/>
      <c r="I3131" s="15"/>
      <c r="J3131" s="4"/>
    </row>
    <row r="3132" ht="14.25" customHeight="1">
      <c r="A3132" s="8" t="s">
        <v>16</v>
      </c>
      <c r="B3132" s="8">
        <v>7.1</v>
      </c>
      <c r="F3132" s="4"/>
      <c r="G3132" s="4"/>
      <c r="H3132" s="4"/>
      <c r="I3132" s="15"/>
      <c r="J3132" s="4"/>
    </row>
    <row r="3133" ht="14.25" customHeight="1">
      <c r="A3133" s="8" t="s">
        <v>1144</v>
      </c>
      <c r="B3133" s="8">
        <v>5.5</v>
      </c>
      <c r="F3133" s="4"/>
      <c r="G3133" s="4"/>
      <c r="H3133" s="4"/>
      <c r="I3133" s="15"/>
      <c r="J3133" s="4"/>
    </row>
    <row r="3134" ht="14.25" customHeight="1">
      <c r="A3134" s="8" t="s">
        <v>16</v>
      </c>
      <c r="B3134" s="8">
        <v>7.4</v>
      </c>
      <c r="F3134" s="4"/>
      <c r="G3134" s="4"/>
      <c r="H3134" s="4"/>
      <c r="I3134" s="15"/>
      <c r="J3134" s="4"/>
    </row>
    <row r="3135" ht="14.25" customHeight="1">
      <c r="A3135" s="8" t="s">
        <v>16</v>
      </c>
      <c r="B3135" s="8">
        <v>7.3</v>
      </c>
      <c r="F3135" s="4"/>
      <c r="G3135" s="4"/>
      <c r="H3135" s="4"/>
      <c r="I3135" s="15"/>
      <c r="J3135" s="4"/>
    </row>
    <row r="3136" ht="14.25" customHeight="1">
      <c r="A3136" s="8" t="s">
        <v>16</v>
      </c>
      <c r="B3136" s="8">
        <v>4.6</v>
      </c>
      <c r="F3136" s="4"/>
      <c r="G3136" s="4"/>
      <c r="H3136" s="4"/>
      <c r="I3136" s="15"/>
      <c r="J3136" s="4"/>
    </row>
    <row r="3137" ht="14.25" customHeight="1">
      <c r="A3137" s="8" t="s">
        <v>16</v>
      </c>
      <c r="B3137" s="8">
        <v>7.2</v>
      </c>
      <c r="F3137" s="4"/>
      <c r="G3137" s="4"/>
      <c r="H3137" s="4"/>
      <c r="I3137" s="15"/>
      <c r="J3137" s="4"/>
    </row>
    <row r="3138" ht="14.25" customHeight="1">
      <c r="A3138" s="8" t="s">
        <v>16</v>
      </c>
      <c r="B3138" s="8">
        <v>5.1</v>
      </c>
      <c r="F3138" s="4"/>
      <c r="G3138" s="4"/>
      <c r="H3138" s="4"/>
      <c r="I3138" s="15"/>
      <c r="J3138" s="4"/>
    </row>
    <row r="3139" ht="14.25" customHeight="1">
      <c r="A3139" s="8" t="s">
        <v>16</v>
      </c>
      <c r="B3139" s="8">
        <v>6.7</v>
      </c>
      <c r="F3139" s="4"/>
      <c r="G3139" s="4"/>
      <c r="H3139" s="4"/>
      <c r="I3139" s="15"/>
      <c r="J3139" s="4"/>
    </row>
    <row r="3140" ht="14.25" customHeight="1">
      <c r="A3140" s="8" t="s">
        <v>16</v>
      </c>
      <c r="B3140" s="8">
        <v>5.3</v>
      </c>
      <c r="F3140" s="4"/>
      <c r="G3140" s="4"/>
      <c r="H3140" s="4"/>
      <c r="I3140" s="15"/>
      <c r="J3140" s="4"/>
    </row>
    <row r="3141" ht="14.25" customHeight="1">
      <c r="A3141" s="8" t="s">
        <v>16</v>
      </c>
      <c r="B3141" s="8">
        <v>7.8</v>
      </c>
      <c r="F3141" s="4"/>
      <c r="G3141" s="4"/>
      <c r="H3141" s="4"/>
      <c r="I3141" s="15"/>
      <c r="J3141" s="4"/>
    </row>
    <row r="3142" ht="14.25" customHeight="1">
      <c r="A3142" s="8" t="s">
        <v>16</v>
      </c>
      <c r="B3142" s="8">
        <v>6.7</v>
      </c>
      <c r="F3142" s="4"/>
      <c r="G3142" s="4"/>
      <c r="H3142" s="4"/>
      <c r="I3142" s="15"/>
      <c r="J3142" s="4"/>
    </row>
    <row r="3143" ht="14.25" customHeight="1">
      <c r="A3143" s="8" t="s">
        <v>16</v>
      </c>
      <c r="B3143" s="8">
        <v>7.2</v>
      </c>
      <c r="F3143" s="4"/>
      <c r="G3143" s="4"/>
      <c r="H3143" s="4"/>
      <c r="I3143" s="15"/>
      <c r="J3143" s="4"/>
    </row>
    <row r="3144" ht="14.25" customHeight="1">
      <c r="A3144" s="8" t="s">
        <v>16</v>
      </c>
      <c r="B3144" s="8">
        <v>5.8</v>
      </c>
      <c r="F3144" s="4"/>
      <c r="G3144" s="4"/>
      <c r="H3144" s="4"/>
      <c r="I3144" s="15"/>
      <c r="J3144" s="4"/>
    </row>
    <row r="3145" ht="14.25" customHeight="1">
      <c r="A3145" s="8" t="s">
        <v>16</v>
      </c>
      <c r="B3145" s="8">
        <v>7.0</v>
      </c>
      <c r="F3145" s="4"/>
      <c r="G3145" s="4"/>
      <c r="H3145" s="4"/>
      <c r="I3145" s="15"/>
      <c r="J3145" s="4"/>
    </row>
    <row r="3146" ht="14.25" customHeight="1">
      <c r="A3146" s="8" t="s">
        <v>16</v>
      </c>
      <c r="B3146" s="8">
        <v>3.8</v>
      </c>
      <c r="F3146" s="4"/>
      <c r="G3146" s="4"/>
      <c r="H3146" s="4"/>
      <c r="I3146" s="15"/>
      <c r="J3146" s="4"/>
    </row>
    <row r="3147" ht="14.25" customHeight="1">
      <c r="A3147" s="8" t="s">
        <v>16</v>
      </c>
      <c r="B3147" s="8">
        <v>5.7</v>
      </c>
      <c r="F3147" s="4"/>
      <c r="G3147" s="4"/>
      <c r="H3147" s="4"/>
      <c r="I3147" s="15"/>
      <c r="J3147" s="4"/>
    </row>
    <row r="3148" ht="14.25" customHeight="1">
      <c r="A3148" s="8" t="s">
        <v>16</v>
      </c>
      <c r="B3148" s="8">
        <v>6.7</v>
      </c>
      <c r="F3148" s="4"/>
      <c r="G3148" s="4"/>
      <c r="H3148" s="4"/>
      <c r="I3148" s="15"/>
      <c r="J3148" s="4"/>
    </row>
    <row r="3149" ht="14.25" customHeight="1">
      <c r="A3149" s="8" t="s">
        <v>16</v>
      </c>
      <c r="B3149" s="8">
        <v>6.1</v>
      </c>
      <c r="F3149" s="4"/>
      <c r="G3149" s="4"/>
      <c r="H3149" s="4"/>
      <c r="I3149" s="15"/>
      <c r="J3149" s="4"/>
    </row>
    <row r="3150" ht="14.25" customHeight="1">
      <c r="A3150" s="8" t="s">
        <v>16</v>
      </c>
      <c r="B3150" s="8">
        <v>6.2</v>
      </c>
      <c r="F3150" s="4"/>
      <c r="G3150" s="4"/>
      <c r="H3150" s="4"/>
      <c r="I3150" s="15"/>
      <c r="J3150" s="4"/>
    </row>
    <row r="3151" ht="14.25" customHeight="1">
      <c r="A3151" s="8" t="s">
        <v>16</v>
      </c>
      <c r="B3151" s="8">
        <v>6.2</v>
      </c>
      <c r="F3151" s="4"/>
      <c r="G3151" s="4"/>
      <c r="H3151" s="4"/>
      <c r="I3151" s="15"/>
      <c r="J3151" s="4"/>
    </row>
    <row r="3152" ht="14.25" customHeight="1">
      <c r="A3152" s="8" t="s">
        <v>16</v>
      </c>
      <c r="B3152" s="8">
        <v>4.7</v>
      </c>
      <c r="F3152" s="4"/>
      <c r="G3152" s="4"/>
      <c r="H3152" s="4"/>
      <c r="I3152" s="15"/>
      <c r="J3152" s="4"/>
    </row>
    <row r="3153" ht="14.25" customHeight="1">
      <c r="A3153" s="8" t="s">
        <v>16</v>
      </c>
      <c r="B3153" s="8">
        <v>6.3</v>
      </c>
      <c r="F3153" s="4"/>
      <c r="G3153" s="4"/>
      <c r="H3153" s="4"/>
      <c r="I3153" s="15"/>
      <c r="J3153" s="4"/>
    </row>
    <row r="3154" ht="14.25" customHeight="1">
      <c r="A3154" s="8" t="s">
        <v>1189</v>
      </c>
      <c r="B3154" s="8">
        <v>7.3</v>
      </c>
      <c r="F3154" s="4"/>
      <c r="G3154" s="4"/>
      <c r="H3154" s="4"/>
      <c r="I3154" s="15"/>
      <c r="J3154" s="4"/>
    </row>
    <row r="3155" ht="14.25" customHeight="1">
      <c r="A3155" s="8" t="s">
        <v>16</v>
      </c>
      <c r="B3155" s="8">
        <v>5.8</v>
      </c>
      <c r="F3155" s="4"/>
      <c r="G3155" s="4"/>
      <c r="H3155" s="4"/>
      <c r="I3155" s="15"/>
      <c r="J3155" s="4"/>
    </row>
    <row r="3156" ht="14.25" customHeight="1">
      <c r="A3156" s="8" t="s">
        <v>16</v>
      </c>
      <c r="B3156" s="8">
        <v>6.1</v>
      </c>
      <c r="F3156" s="4"/>
      <c r="G3156" s="4"/>
      <c r="H3156" s="4"/>
      <c r="I3156" s="15"/>
      <c r="J3156" s="4"/>
    </row>
    <row r="3157" ht="14.25" customHeight="1">
      <c r="A3157" s="8" t="s">
        <v>4061</v>
      </c>
      <c r="B3157" s="8">
        <v>7.1</v>
      </c>
      <c r="F3157" s="4"/>
      <c r="G3157" s="4"/>
      <c r="H3157" s="4"/>
      <c r="I3157" s="15"/>
      <c r="J3157" s="4"/>
    </row>
    <row r="3158" ht="14.25" customHeight="1">
      <c r="A3158" s="8" t="s">
        <v>5059</v>
      </c>
      <c r="B3158" s="8">
        <v>7.1</v>
      </c>
      <c r="F3158" s="4"/>
      <c r="G3158" s="4"/>
      <c r="H3158" s="4"/>
      <c r="I3158" s="15"/>
      <c r="J3158" s="4"/>
    </row>
    <row r="3159" ht="14.25" customHeight="1">
      <c r="A3159" s="8" t="s">
        <v>16</v>
      </c>
      <c r="B3159" s="8">
        <v>6.7</v>
      </c>
      <c r="F3159" s="4"/>
      <c r="G3159" s="4"/>
      <c r="H3159" s="4"/>
      <c r="I3159" s="15"/>
      <c r="J3159" s="4"/>
    </row>
    <row r="3160" ht="14.25" customHeight="1">
      <c r="A3160" s="8" t="s">
        <v>16</v>
      </c>
      <c r="B3160" s="8">
        <v>6.9</v>
      </c>
      <c r="F3160" s="4"/>
      <c r="G3160" s="4"/>
      <c r="H3160" s="4"/>
      <c r="I3160" s="15"/>
      <c r="J3160" s="4"/>
    </row>
    <row r="3161" ht="14.25" customHeight="1">
      <c r="A3161" s="8" t="s">
        <v>16</v>
      </c>
      <c r="B3161" s="8">
        <v>2.1</v>
      </c>
      <c r="F3161" s="4"/>
      <c r="G3161" s="4"/>
      <c r="H3161" s="4"/>
      <c r="I3161" s="15"/>
      <c r="J3161" s="4"/>
    </row>
    <row r="3162" ht="14.25" customHeight="1">
      <c r="A3162" s="8" t="s">
        <v>1144</v>
      </c>
      <c r="B3162" s="8">
        <v>6.6</v>
      </c>
      <c r="F3162" s="4"/>
      <c r="G3162" s="4"/>
      <c r="H3162" s="4"/>
      <c r="I3162" s="15"/>
      <c r="J3162" s="4"/>
    </row>
    <row r="3163" ht="14.25" customHeight="1">
      <c r="A3163" s="8" t="s">
        <v>16</v>
      </c>
      <c r="B3163" s="8">
        <v>8.3</v>
      </c>
      <c r="F3163" s="4"/>
      <c r="G3163" s="4"/>
      <c r="H3163" s="4"/>
      <c r="I3163" s="15"/>
      <c r="J3163" s="4"/>
    </row>
    <row r="3164" ht="14.25" customHeight="1">
      <c r="A3164" s="8" t="s">
        <v>16</v>
      </c>
      <c r="B3164" s="8">
        <v>7.2</v>
      </c>
      <c r="F3164" s="4"/>
      <c r="G3164" s="4"/>
      <c r="H3164" s="4"/>
      <c r="I3164" s="15"/>
      <c r="J3164" s="4"/>
    </row>
    <row r="3165" ht="14.25" customHeight="1">
      <c r="A3165" s="8" t="s">
        <v>16</v>
      </c>
      <c r="B3165" s="8">
        <v>5.6</v>
      </c>
      <c r="F3165" s="4"/>
      <c r="G3165" s="4"/>
      <c r="H3165" s="4"/>
      <c r="I3165" s="15"/>
      <c r="J3165" s="4"/>
    </row>
    <row r="3166" ht="14.25" customHeight="1">
      <c r="A3166" s="8" t="s">
        <v>16</v>
      </c>
      <c r="B3166" s="8">
        <v>7.7</v>
      </c>
      <c r="F3166" s="4"/>
      <c r="G3166" s="4"/>
      <c r="H3166" s="4"/>
      <c r="I3166" s="15"/>
      <c r="J3166" s="4"/>
    </row>
    <row r="3167" ht="14.25" customHeight="1">
      <c r="A3167" s="8" t="s">
        <v>16</v>
      </c>
      <c r="B3167" s="8">
        <v>6.6</v>
      </c>
      <c r="F3167" s="4"/>
      <c r="G3167" s="4"/>
      <c r="H3167" s="4"/>
      <c r="I3167" s="15"/>
      <c r="J3167" s="4"/>
    </row>
    <row r="3168" ht="14.25" customHeight="1">
      <c r="A3168" s="8" t="s">
        <v>16</v>
      </c>
      <c r="B3168" s="8">
        <v>7.4</v>
      </c>
      <c r="F3168" s="4"/>
      <c r="G3168" s="4"/>
      <c r="H3168" s="4"/>
      <c r="I3168" s="15"/>
      <c r="J3168" s="4"/>
    </row>
    <row r="3169" ht="14.25" customHeight="1">
      <c r="A3169" s="8" t="s">
        <v>16</v>
      </c>
      <c r="B3169" s="8">
        <v>7.1</v>
      </c>
      <c r="F3169" s="4"/>
      <c r="G3169" s="4"/>
      <c r="H3169" s="4"/>
      <c r="I3169" s="15"/>
      <c r="J3169" s="4"/>
    </row>
    <row r="3170" ht="14.25" customHeight="1">
      <c r="A3170" s="8" t="s">
        <v>1189</v>
      </c>
      <c r="B3170" s="8">
        <v>7.9</v>
      </c>
      <c r="F3170" s="4"/>
      <c r="G3170" s="4"/>
      <c r="H3170" s="4"/>
      <c r="I3170" s="15"/>
      <c r="J3170" s="4"/>
    </row>
    <row r="3171" ht="14.25" customHeight="1">
      <c r="A3171" s="8" t="s">
        <v>16</v>
      </c>
      <c r="B3171" s="8">
        <v>6.7</v>
      </c>
      <c r="F3171" s="4"/>
      <c r="G3171" s="4"/>
      <c r="H3171" s="4"/>
      <c r="I3171" s="15"/>
      <c r="J3171" s="4"/>
    </row>
    <row r="3172" ht="14.25" customHeight="1">
      <c r="A3172" s="8" t="s">
        <v>16</v>
      </c>
      <c r="B3172" s="8">
        <v>6.6</v>
      </c>
      <c r="F3172" s="4"/>
      <c r="G3172" s="4"/>
      <c r="H3172" s="4"/>
      <c r="I3172" s="15"/>
      <c r="J3172" s="4"/>
    </row>
    <row r="3173" ht="14.25" customHeight="1">
      <c r="A3173" s="8" t="s">
        <v>16</v>
      </c>
      <c r="B3173" s="8">
        <v>7.9</v>
      </c>
      <c r="F3173" s="4"/>
      <c r="G3173" s="4"/>
      <c r="H3173" s="4"/>
      <c r="I3173" s="15"/>
      <c r="J3173" s="4"/>
    </row>
    <row r="3174" ht="14.25" customHeight="1">
      <c r="A3174" s="8" t="s">
        <v>16</v>
      </c>
      <c r="B3174" s="8">
        <v>4.9</v>
      </c>
      <c r="F3174" s="4"/>
      <c r="G3174" s="4"/>
      <c r="H3174" s="4"/>
      <c r="I3174" s="15"/>
      <c r="J3174" s="4"/>
    </row>
    <row r="3175" ht="14.25" customHeight="1">
      <c r="A3175" s="8" t="s">
        <v>1189</v>
      </c>
      <c r="B3175" s="8">
        <v>7.2</v>
      </c>
      <c r="F3175" s="4"/>
      <c r="G3175" s="4"/>
      <c r="H3175" s="4"/>
      <c r="I3175" s="15"/>
      <c r="J3175" s="4"/>
    </row>
    <row r="3176" ht="14.25" customHeight="1">
      <c r="A3176" s="8" t="s">
        <v>3076</v>
      </c>
      <c r="B3176" s="8">
        <v>6.1</v>
      </c>
      <c r="F3176" s="4"/>
      <c r="G3176" s="4"/>
      <c r="H3176" s="4"/>
      <c r="I3176" s="15"/>
      <c r="J3176" s="4"/>
    </row>
    <row r="3177" ht="14.25" customHeight="1">
      <c r="A3177" s="8" t="s">
        <v>16</v>
      </c>
      <c r="B3177" s="8">
        <v>5.3</v>
      </c>
      <c r="F3177" s="4"/>
      <c r="G3177" s="4"/>
      <c r="H3177" s="4"/>
      <c r="I3177" s="15"/>
      <c r="J3177" s="4"/>
    </row>
    <row r="3178" ht="14.25" customHeight="1">
      <c r="A3178" s="8" t="s">
        <v>16</v>
      </c>
      <c r="B3178" s="8">
        <v>5.0</v>
      </c>
      <c r="F3178" s="4"/>
      <c r="G3178" s="4"/>
      <c r="H3178" s="4"/>
      <c r="I3178" s="15"/>
      <c r="J3178" s="4"/>
    </row>
    <row r="3179" ht="14.25" customHeight="1">
      <c r="A3179" s="8" t="s">
        <v>6375</v>
      </c>
      <c r="B3179" s="8">
        <v>7.6</v>
      </c>
      <c r="F3179" s="4"/>
      <c r="G3179" s="4"/>
      <c r="H3179" s="4"/>
      <c r="I3179" s="15"/>
      <c r="J3179" s="4"/>
    </row>
    <row r="3180" ht="14.25" customHeight="1">
      <c r="A3180" s="8" t="s">
        <v>16</v>
      </c>
      <c r="B3180" s="8">
        <v>7.6</v>
      </c>
      <c r="F3180" s="4"/>
      <c r="G3180" s="4"/>
      <c r="H3180" s="4"/>
      <c r="I3180" s="15"/>
      <c r="J3180" s="4"/>
    </row>
    <row r="3181" ht="14.25" customHeight="1">
      <c r="A3181" s="8" t="s">
        <v>16</v>
      </c>
      <c r="B3181" s="8">
        <v>6.6</v>
      </c>
      <c r="F3181" s="4"/>
      <c r="G3181" s="4"/>
      <c r="H3181" s="4"/>
      <c r="I3181" s="15"/>
      <c r="J3181" s="4"/>
    </row>
    <row r="3182" ht="14.25" customHeight="1">
      <c r="A3182" s="8" t="s">
        <v>16</v>
      </c>
      <c r="B3182" s="8">
        <v>6.6</v>
      </c>
      <c r="F3182" s="4"/>
      <c r="G3182" s="4"/>
      <c r="H3182" s="4"/>
      <c r="I3182" s="15"/>
      <c r="J3182" s="4"/>
    </row>
    <row r="3183" ht="14.25" customHeight="1">
      <c r="A3183" s="8" t="s">
        <v>16</v>
      </c>
      <c r="B3183" s="8">
        <v>7.3</v>
      </c>
      <c r="F3183" s="4"/>
      <c r="G3183" s="4"/>
      <c r="H3183" s="4"/>
      <c r="I3183" s="15"/>
      <c r="J3183" s="4"/>
    </row>
    <row r="3184" ht="14.25" customHeight="1">
      <c r="A3184" s="8" t="s">
        <v>16</v>
      </c>
      <c r="B3184" s="8">
        <v>6.6</v>
      </c>
      <c r="F3184" s="4"/>
      <c r="G3184" s="4"/>
      <c r="H3184" s="4"/>
      <c r="I3184" s="15"/>
      <c r="J3184" s="4"/>
    </row>
    <row r="3185" ht="14.25" customHeight="1">
      <c r="A3185" s="8" t="s">
        <v>16</v>
      </c>
      <c r="B3185" s="8">
        <v>6.9</v>
      </c>
      <c r="F3185" s="4"/>
      <c r="G3185" s="4"/>
      <c r="H3185" s="4"/>
      <c r="I3185" s="15"/>
      <c r="J3185" s="4"/>
    </row>
    <row r="3186" ht="14.25" customHeight="1">
      <c r="A3186" s="8" t="s">
        <v>16</v>
      </c>
      <c r="B3186" s="8">
        <v>5.8</v>
      </c>
      <c r="F3186" s="4"/>
      <c r="G3186" s="4"/>
      <c r="H3186" s="4"/>
      <c r="I3186" s="15"/>
      <c r="J3186" s="4"/>
    </row>
    <row r="3187" ht="14.25" customHeight="1">
      <c r="A3187" s="8" t="s">
        <v>16</v>
      </c>
      <c r="B3187" s="8">
        <v>4.4</v>
      </c>
      <c r="F3187" s="4"/>
      <c r="G3187" s="4"/>
      <c r="H3187" s="4"/>
      <c r="I3187" s="15"/>
      <c r="J3187" s="4"/>
    </row>
    <row r="3188" ht="14.25" customHeight="1">
      <c r="A3188" s="8" t="s">
        <v>16</v>
      </c>
      <c r="B3188" s="8">
        <v>6.6</v>
      </c>
      <c r="F3188" s="4"/>
      <c r="G3188" s="4"/>
      <c r="H3188" s="4"/>
      <c r="I3188" s="15"/>
      <c r="J3188" s="4"/>
    </row>
    <row r="3189" ht="14.25" customHeight="1">
      <c r="A3189" s="8" t="s">
        <v>16</v>
      </c>
      <c r="B3189" s="8">
        <v>7.1</v>
      </c>
      <c r="F3189" s="4"/>
      <c r="G3189" s="4"/>
      <c r="H3189" s="4"/>
      <c r="I3189" s="15"/>
      <c r="J3189" s="4"/>
    </row>
    <row r="3190" ht="14.25" customHeight="1">
      <c r="A3190" s="8" t="s">
        <v>1144</v>
      </c>
      <c r="B3190" s="8">
        <v>7.6</v>
      </c>
      <c r="F3190" s="4"/>
      <c r="G3190" s="4"/>
      <c r="H3190" s="4"/>
      <c r="I3190" s="15"/>
      <c r="J3190" s="4"/>
    </row>
    <row r="3191" ht="14.25" customHeight="1">
      <c r="A3191" s="8" t="s">
        <v>16</v>
      </c>
      <c r="B3191" s="8">
        <v>4.6</v>
      </c>
      <c r="F3191" s="4"/>
      <c r="G3191" s="4"/>
      <c r="H3191" s="4"/>
      <c r="I3191" s="15"/>
      <c r="J3191" s="4"/>
    </row>
    <row r="3192" ht="14.25" customHeight="1">
      <c r="A3192" s="8" t="s">
        <v>16</v>
      </c>
      <c r="B3192" s="8">
        <v>6.8</v>
      </c>
      <c r="F3192" s="4"/>
      <c r="G3192" s="4"/>
      <c r="H3192" s="4"/>
      <c r="I3192" s="15"/>
      <c r="J3192" s="4"/>
    </row>
    <row r="3193" ht="14.25" customHeight="1">
      <c r="A3193" s="8" t="s">
        <v>16</v>
      </c>
      <c r="B3193" s="8">
        <v>4.9</v>
      </c>
      <c r="F3193" s="4"/>
      <c r="G3193" s="4"/>
      <c r="H3193" s="4"/>
      <c r="I3193" s="15"/>
      <c r="J3193" s="4"/>
    </row>
    <row r="3194" ht="14.25" customHeight="1">
      <c r="A3194" s="8" t="s">
        <v>16</v>
      </c>
      <c r="B3194" s="8">
        <v>7.3</v>
      </c>
      <c r="F3194" s="4"/>
      <c r="G3194" s="4"/>
      <c r="H3194" s="4"/>
      <c r="I3194" s="15"/>
      <c r="J3194" s="4"/>
    </row>
    <row r="3195" ht="14.25" customHeight="1">
      <c r="A3195" s="8" t="s">
        <v>16</v>
      </c>
      <c r="B3195" s="8">
        <v>5.0</v>
      </c>
      <c r="F3195" s="4"/>
      <c r="G3195" s="4"/>
      <c r="H3195" s="4"/>
      <c r="I3195" s="15"/>
      <c r="J3195" s="4"/>
    </row>
    <row r="3196" ht="14.25" customHeight="1">
      <c r="A3196" s="8" t="s">
        <v>16</v>
      </c>
      <c r="B3196" s="8">
        <v>8.0</v>
      </c>
      <c r="F3196" s="4"/>
      <c r="G3196" s="4"/>
      <c r="H3196" s="4"/>
      <c r="I3196" s="15"/>
      <c r="J3196" s="4"/>
    </row>
    <row r="3197" ht="14.25" customHeight="1">
      <c r="A3197" s="8" t="s">
        <v>16</v>
      </c>
      <c r="B3197" s="8">
        <v>5.2</v>
      </c>
      <c r="F3197" s="4"/>
      <c r="G3197" s="4"/>
      <c r="H3197" s="4"/>
      <c r="I3197" s="15"/>
      <c r="J3197" s="4"/>
    </row>
    <row r="3198" ht="14.25" customHeight="1">
      <c r="A3198" s="8" t="s">
        <v>16</v>
      </c>
      <c r="B3198" s="8">
        <v>8.5</v>
      </c>
      <c r="F3198" s="4"/>
      <c r="G3198" s="4"/>
      <c r="H3198" s="4"/>
      <c r="I3198" s="15"/>
      <c r="J3198" s="4"/>
    </row>
    <row r="3199" ht="14.25" customHeight="1">
      <c r="A3199" s="8" t="s">
        <v>16</v>
      </c>
      <c r="B3199" s="8">
        <v>6.5</v>
      </c>
      <c r="F3199" s="4"/>
      <c r="G3199" s="4"/>
      <c r="H3199" s="4"/>
      <c r="I3199" s="15"/>
      <c r="J3199" s="4"/>
    </row>
    <row r="3200" ht="14.25" customHeight="1">
      <c r="A3200" s="8" t="s">
        <v>16</v>
      </c>
      <c r="B3200" s="8">
        <v>7.4</v>
      </c>
      <c r="F3200" s="4"/>
      <c r="G3200" s="4"/>
      <c r="H3200" s="4"/>
      <c r="I3200" s="15"/>
      <c r="J3200" s="4"/>
    </row>
    <row r="3201" ht="14.25" customHeight="1">
      <c r="A3201" s="8" t="s">
        <v>16</v>
      </c>
      <c r="B3201" s="8">
        <v>7.7</v>
      </c>
      <c r="F3201" s="4"/>
      <c r="G3201" s="4"/>
      <c r="H3201" s="4"/>
      <c r="I3201" s="15"/>
      <c r="J3201" s="4"/>
    </row>
    <row r="3202" ht="14.25" customHeight="1">
      <c r="A3202" s="8" t="s">
        <v>16</v>
      </c>
      <c r="B3202" s="8">
        <v>7.4</v>
      </c>
      <c r="F3202" s="4"/>
      <c r="G3202" s="4"/>
      <c r="H3202" s="4"/>
      <c r="I3202" s="15"/>
      <c r="J3202" s="4"/>
    </row>
    <row r="3203" ht="14.25" customHeight="1">
      <c r="A3203" s="8" t="s">
        <v>16</v>
      </c>
      <c r="B3203" s="8">
        <v>5.1</v>
      </c>
      <c r="F3203" s="4"/>
      <c r="G3203" s="4"/>
      <c r="H3203" s="4"/>
      <c r="I3203" s="15"/>
      <c r="J3203" s="4"/>
    </row>
    <row r="3204" ht="14.25" customHeight="1">
      <c r="A3204" s="8" t="s">
        <v>16</v>
      </c>
      <c r="B3204" s="8">
        <v>5.0</v>
      </c>
      <c r="F3204" s="4"/>
      <c r="G3204" s="4"/>
      <c r="H3204" s="4"/>
      <c r="I3204" s="15"/>
      <c r="J3204" s="4"/>
    </row>
    <row r="3205" ht="14.25" customHeight="1">
      <c r="A3205" s="8" t="s">
        <v>16</v>
      </c>
      <c r="B3205" s="8">
        <v>7.2</v>
      </c>
      <c r="F3205" s="4"/>
      <c r="G3205" s="4"/>
      <c r="H3205" s="4"/>
      <c r="I3205" s="15"/>
      <c r="J3205" s="4"/>
    </row>
    <row r="3206" ht="14.25" customHeight="1">
      <c r="A3206" s="8" t="s">
        <v>16</v>
      </c>
      <c r="B3206" s="8">
        <v>6.4</v>
      </c>
      <c r="F3206" s="4"/>
      <c r="G3206" s="4"/>
      <c r="H3206" s="4"/>
      <c r="I3206" s="15"/>
      <c r="J3206" s="4"/>
    </row>
    <row r="3207" ht="14.25" customHeight="1">
      <c r="A3207" s="8" t="s">
        <v>16</v>
      </c>
      <c r="B3207" s="8">
        <v>5.6</v>
      </c>
      <c r="F3207" s="4"/>
      <c r="G3207" s="4"/>
      <c r="H3207" s="4"/>
      <c r="I3207" s="15"/>
      <c r="J3207" s="4"/>
    </row>
    <row r="3208" ht="14.25" customHeight="1">
      <c r="A3208" s="8" t="s">
        <v>16</v>
      </c>
      <c r="B3208" s="8">
        <v>6.1</v>
      </c>
      <c r="F3208" s="4"/>
      <c r="G3208" s="4"/>
      <c r="H3208" s="4"/>
      <c r="I3208" s="15"/>
      <c r="J3208" s="4"/>
    </row>
    <row r="3209" ht="14.25" customHeight="1">
      <c r="A3209" s="8" t="s">
        <v>1144</v>
      </c>
      <c r="B3209" s="8">
        <v>5.2</v>
      </c>
      <c r="F3209" s="4"/>
      <c r="G3209" s="4"/>
      <c r="H3209" s="4"/>
      <c r="I3209" s="15"/>
      <c r="J3209" s="4"/>
    </row>
    <row r="3210" ht="14.25" customHeight="1">
      <c r="A3210" s="8" t="s">
        <v>16</v>
      </c>
      <c r="B3210" s="8">
        <v>7.3</v>
      </c>
      <c r="F3210" s="4"/>
      <c r="G3210" s="4"/>
      <c r="H3210" s="4"/>
      <c r="I3210" s="15"/>
      <c r="J3210" s="4"/>
    </row>
    <row r="3211" ht="14.25" customHeight="1">
      <c r="A3211" s="8" t="s">
        <v>16</v>
      </c>
      <c r="B3211" s="8">
        <v>7.5</v>
      </c>
      <c r="F3211" s="4"/>
      <c r="G3211" s="4"/>
      <c r="H3211" s="4"/>
      <c r="I3211" s="15"/>
      <c r="J3211" s="4"/>
    </row>
    <row r="3212" ht="14.25" customHeight="1">
      <c r="A3212" s="8" t="s">
        <v>16</v>
      </c>
      <c r="B3212" s="8">
        <v>4.5</v>
      </c>
      <c r="F3212" s="4"/>
      <c r="G3212" s="4"/>
      <c r="H3212" s="4"/>
      <c r="I3212" s="15"/>
      <c r="J3212" s="4"/>
    </row>
    <row r="3213" ht="14.25" customHeight="1">
      <c r="A3213" s="8" t="s">
        <v>16</v>
      </c>
      <c r="B3213" s="8">
        <v>6.6</v>
      </c>
      <c r="F3213" s="4"/>
      <c r="G3213" s="4"/>
      <c r="H3213" s="4"/>
      <c r="I3213" s="15"/>
      <c r="J3213" s="4"/>
    </row>
    <row r="3214" ht="14.25" customHeight="1">
      <c r="A3214" s="8" t="s">
        <v>16</v>
      </c>
      <c r="B3214" s="8">
        <v>5.3</v>
      </c>
      <c r="F3214" s="4"/>
      <c r="G3214" s="4"/>
      <c r="H3214" s="4"/>
      <c r="I3214" s="15"/>
      <c r="J3214" s="4"/>
    </row>
    <row r="3215" ht="14.25" customHeight="1">
      <c r="A3215" s="8" t="s">
        <v>16</v>
      </c>
      <c r="B3215" s="8">
        <v>4.9</v>
      </c>
      <c r="F3215" s="4"/>
      <c r="G3215" s="4"/>
      <c r="H3215" s="4"/>
      <c r="I3215" s="15"/>
      <c r="J3215" s="4"/>
    </row>
    <row r="3216" ht="14.25" customHeight="1">
      <c r="A3216" s="8" t="s">
        <v>1144</v>
      </c>
      <c r="B3216" s="8">
        <v>7.7</v>
      </c>
      <c r="F3216" s="4"/>
      <c r="G3216" s="4"/>
      <c r="H3216" s="4"/>
      <c r="I3216" s="15"/>
      <c r="J3216" s="4"/>
    </row>
    <row r="3217" ht="14.25" customHeight="1">
      <c r="A3217" s="8" t="s">
        <v>16</v>
      </c>
      <c r="B3217" s="8">
        <v>8.0</v>
      </c>
      <c r="F3217" s="4"/>
      <c r="G3217" s="4"/>
      <c r="H3217" s="4"/>
      <c r="I3217" s="15"/>
      <c r="J3217" s="4"/>
    </row>
    <row r="3218" ht="14.25" customHeight="1">
      <c r="A3218" s="8" t="s">
        <v>16</v>
      </c>
      <c r="B3218" s="8">
        <v>3.8</v>
      </c>
      <c r="F3218" s="4"/>
      <c r="G3218" s="4"/>
      <c r="H3218" s="4"/>
      <c r="I3218" s="15"/>
      <c r="J3218" s="4"/>
    </row>
    <row r="3219" ht="14.25" customHeight="1">
      <c r="A3219" s="8" t="s">
        <v>16</v>
      </c>
      <c r="B3219" s="8">
        <v>7.6</v>
      </c>
      <c r="F3219" s="4"/>
      <c r="G3219" s="4"/>
      <c r="H3219" s="4"/>
      <c r="I3219" s="15"/>
      <c r="J3219" s="4"/>
    </row>
    <row r="3220" ht="14.25" customHeight="1">
      <c r="A3220" s="8" t="s">
        <v>16</v>
      </c>
      <c r="B3220" s="8">
        <v>5.9</v>
      </c>
      <c r="F3220" s="4"/>
      <c r="G3220" s="4"/>
      <c r="H3220" s="4"/>
      <c r="I3220" s="15"/>
      <c r="J3220" s="4"/>
    </row>
    <row r="3221" ht="14.25" customHeight="1">
      <c r="A3221" s="8" t="s">
        <v>16</v>
      </c>
      <c r="B3221" s="8">
        <v>6.2</v>
      </c>
      <c r="F3221" s="4"/>
      <c r="G3221" s="4"/>
      <c r="H3221" s="4"/>
      <c r="I3221" s="15"/>
      <c r="J3221" s="4"/>
    </row>
    <row r="3222" ht="14.25" customHeight="1">
      <c r="A3222" s="8" t="s">
        <v>16</v>
      </c>
      <c r="B3222" s="8">
        <v>7.2</v>
      </c>
      <c r="F3222" s="4"/>
      <c r="G3222" s="4"/>
      <c r="H3222" s="4"/>
      <c r="I3222" s="15"/>
      <c r="J3222" s="4"/>
    </row>
    <row r="3223" ht="14.25" customHeight="1">
      <c r="A3223" s="8" t="s">
        <v>16</v>
      </c>
      <c r="B3223" s="8">
        <v>6.3</v>
      </c>
      <c r="F3223" s="4"/>
      <c r="G3223" s="4"/>
      <c r="H3223" s="4"/>
      <c r="I3223" s="15"/>
      <c r="J3223" s="4"/>
    </row>
    <row r="3224" ht="14.25" customHeight="1">
      <c r="A3224" s="8" t="s">
        <v>16</v>
      </c>
      <c r="B3224" s="8">
        <v>5.2</v>
      </c>
      <c r="F3224" s="4"/>
      <c r="G3224" s="4"/>
      <c r="H3224" s="4"/>
      <c r="I3224" s="15"/>
      <c r="J3224" s="4"/>
    </row>
    <row r="3225" ht="14.25" customHeight="1">
      <c r="A3225" s="8" t="s">
        <v>16</v>
      </c>
      <c r="B3225" s="8">
        <v>6.9</v>
      </c>
      <c r="F3225" s="4"/>
      <c r="G3225" s="4"/>
      <c r="H3225" s="4"/>
      <c r="I3225" s="15"/>
      <c r="J3225" s="4"/>
    </row>
    <row r="3226" ht="14.25" customHeight="1">
      <c r="A3226" s="8" t="s">
        <v>16</v>
      </c>
      <c r="B3226" s="8">
        <v>6.8</v>
      </c>
      <c r="F3226" s="4"/>
      <c r="G3226" s="4"/>
      <c r="H3226" s="4"/>
      <c r="I3226" s="15"/>
      <c r="J3226" s="4"/>
    </row>
    <row r="3227" ht="14.25" customHeight="1">
      <c r="A3227" s="8" t="s">
        <v>16</v>
      </c>
      <c r="B3227" s="8">
        <v>3.5</v>
      </c>
      <c r="F3227" s="4"/>
      <c r="G3227" s="4"/>
      <c r="H3227" s="4"/>
      <c r="I3227" s="15"/>
      <c r="J3227" s="4"/>
    </row>
    <row r="3228" ht="14.25" customHeight="1">
      <c r="A3228" s="8" t="s">
        <v>16</v>
      </c>
      <c r="B3228" s="8">
        <v>6.1</v>
      </c>
      <c r="F3228" s="4"/>
      <c r="G3228" s="4"/>
      <c r="H3228" s="4"/>
      <c r="I3228" s="15"/>
      <c r="J3228" s="4"/>
    </row>
    <row r="3229" ht="14.25" customHeight="1">
      <c r="A3229" s="8" t="s">
        <v>16</v>
      </c>
      <c r="B3229" s="8">
        <v>4.5</v>
      </c>
      <c r="F3229" s="4"/>
      <c r="G3229" s="4"/>
      <c r="H3229" s="4"/>
      <c r="I3229" s="15"/>
      <c r="J3229" s="4"/>
    </row>
    <row r="3230" ht="14.25" customHeight="1">
      <c r="A3230" s="8" t="s">
        <v>16</v>
      </c>
      <c r="B3230" s="8">
        <v>5.9</v>
      </c>
      <c r="F3230" s="4"/>
      <c r="G3230" s="4"/>
      <c r="H3230" s="4"/>
      <c r="I3230" s="15"/>
      <c r="J3230" s="4"/>
    </row>
    <row r="3231" ht="14.25" customHeight="1">
      <c r="A3231" s="8" t="s">
        <v>16</v>
      </c>
      <c r="B3231" s="8">
        <v>6.9</v>
      </c>
      <c r="F3231" s="4"/>
      <c r="G3231" s="4"/>
      <c r="H3231" s="4"/>
      <c r="I3231" s="15"/>
      <c r="J3231" s="4"/>
    </row>
    <row r="3232" ht="14.25" customHeight="1">
      <c r="A3232" s="8" t="s">
        <v>1189</v>
      </c>
      <c r="B3232" s="8">
        <v>7.7</v>
      </c>
      <c r="F3232" s="4"/>
      <c r="G3232" s="4"/>
      <c r="H3232" s="4"/>
      <c r="I3232" s="15"/>
      <c r="J3232" s="4"/>
    </row>
    <row r="3233" ht="14.25" customHeight="1">
      <c r="A3233" s="8" t="s">
        <v>16</v>
      </c>
      <c r="B3233" s="8">
        <v>5.3</v>
      </c>
      <c r="F3233" s="4"/>
      <c r="G3233" s="4"/>
      <c r="H3233" s="4"/>
      <c r="I3233" s="15"/>
      <c r="J3233" s="4"/>
    </row>
    <row r="3234" ht="14.25" customHeight="1">
      <c r="A3234" s="8" t="s">
        <v>16</v>
      </c>
      <c r="B3234" s="8">
        <v>7.0</v>
      </c>
      <c r="F3234" s="4"/>
      <c r="G3234" s="4"/>
      <c r="H3234" s="4"/>
      <c r="I3234" s="15"/>
      <c r="J3234" s="4"/>
    </row>
    <row r="3235" ht="14.25" customHeight="1">
      <c r="A3235" s="8" t="s">
        <v>16</v>
      </c>
      <c r="B3235" s="8">
        <v>6.6</v>
      </c>
      <c r="F3235" s="4"/>
      <c r="G3235" s="4"/>
      <c r="H3235" s="4"/>
      <c r="I3235" s="15"/>
      <c r="J3235" s="4"/>
    </row>
    <row r="3236" ht="14.25" customHeight="1">
      <c r="A3236" s="8" t="s">
        <v>16</v>
      </c>
      <c r="B3236" s="8">
        <v>6.4</v>
      </c>
      <c r="F3236" s="4"/>
      <c r="G3236" s="4"/>
      <c r="H3236" s="4"/>
      <c r="I3236" s="15"/>
      <c r="J3236" s="4"/>
    </row>
    <row r="3237" ht="14.25" customHeight="1">
      <c r="A3237" s="8" t="s">
        <v>16</v>
      </c>
      <c r="B3237" s="8">
        <v>7.9</v>
      </c>
      <c r="F3237" s="4"/>
      <c r="G3237" s="4"/>
      <c r="H3237" s="4"/>
      <c r="I3237" s="15"/>
      <c r="J3237" s="4"/>
    </row>
    <row r="3238" ht="14.25" customHeight="1">
      <c r="A3238" s="8" t="s">
        <v>16</v>
      </c>
      <c r="B3238" s="8">
        <v>6.9</v>
      </c>
      <c r="F3238" s="4"/>
      <c r="G3238" s="4"/>
      <c r="H3238" s="4"/>
      <c r="I3238" s="15"/>
      <c r="J3238" s="4"/>
    </row>
    <row r="3239" ht="14.25" customHeight="1">
      <c r="A3239" s="8" t="s">
        <v>16</v>
      </c>
      <c r="B3239" s="8">
        <v>7.7</v>
      </c>
      <c r="F3239" s="4"/>
      <c r="G3239" s="4"/>
      <c r="H3239" s="4"/>
      <c r="I3239" s="15"/>
      <c r="J3239" s="4"/>
    </row>
    <row r="3240" ht="14.25" customHeight="1">
      <c r="A3240" s="8" t="s">
        <v>1189</v>
      </c>
      <c r="B3240" s="8">
        <v>7.2</v>
      </c>
      <c r="F3240" s="4"/>
      <c r="G3240" s="4"/>
      <c r="H3240" s="4"/>
      <c r="I3240" s="15"/>
      <c r="J3240" s="4"/>
    </row>
    <row r="3241" ht="14.25" customHeight="1">
      <c r="A3241" s="8" t="s">
        <v>16</v>
      </c>
      <c r="B3241" s="8">
        <v>6.8</v>
      </c>
      <c r="F3241" s="4"/>
      <c r="G3241" s="4"/>
      <c r="H3241" s="4"/>
      <c r="I3241" s="15"/>
      <c r="J3241" s="4"/>
    </row>
    <row r="3242" ht="14.25" customHeight="1">
      <c r="A3242" s="8" t="s">
        <v>16</v>
      </c>
      <c r="B3242" s="8">
        <v>7.4</v>
      </c>
      <c r="F3242" s="4"/>
      <c r="G3242" s="4"/>
      <c r="H3242" s="4"/>
      <c r="I3242" s="15"/>
      <c r="J3242" s="4"/>
    </row>
    <row r="3243" ht="14.25" customHeight="1">
      <c r="A3243" s="8" t="s">
        <v>16</v>
      </c>
      <c r="B3243" s="8">
        <v>4.6</v>
      </c>
      <c r="F3243" s="4"/>
      <c r="G3243" s="4"/>
      <c r="H3243" s="4"/>
      <c r="I3243" s="15"/>
      <c r="J3243" s="4"/>
    </row>
    <row r="3244" ht="14.25" customHeight="1">
      <c r="A3244" s="8" t="s">
        <v>16</v>
      </c>
      <c r="B3244" s="8">
        <v>6.4</v>
      </c>
      <c r="F3244" s="4"/>
      <c r="G3244" s="4"/>
      <c r="H3244" s="4"/>
      <c r="I3244" s="15"/>
      <c r="J3244" s="4"/>
    </row>
    <row r="3245" ht="14.25" customHeight="1">
      <c r="A3245" s="8" t="s">
        <v>16</v>
      </c>
      <c r="B3245" s="8">
        <v>7.0</v>
      </c>
      <c r="F3245" s="4"/>
      <c r="G3245" s="4"/>
      <c r="H3245" s="4"/>
      <c r="I3245" s="15"/>
      <c r="J3245" s="4"/>
    </row>
    <row r="3246" ht="14.25" customHeight="1">
      <c r="A3246" s="8" t="s">
        <v>16</v>
      </c>
      <c r="B3246" s="8">
        <v>7.7</v>
      </c>
      <c r="F3246" s="4"/>
      <c r="G3246" s="4"/>
      <c r="H3246" s="4"/>
      <c r="I3246" s="15"/>
      <c r="J3246" s="4"/>
    </row>
    <row r="3247" ht="14.25" customHeight="1">
      <c r="A3247" s="8" t="s">
        <v>16</v>
      </c>
      <c r="B3247" s="8">
        <v>6.8</v>
      </c>
      <c r="F3247" s="4"/>
      <c r="G3247" s="4"/>
      <c r="H3247" s="4"/>
      <c r="I3247" s="15"/>
      <c r="J3247" s="4"/>
    </row>
    <row r="3248" ht="14.25" customHeight="1">
      <c r="A3248" s="8" t="s">
        <v>16</v>
      </c>
      <c r="B3248" s="8">
        <v>7.0</v>
      </c>
      <c r="F3248" s="4"/>
      <c r="G3248" s="4"/>
      <c r="H3248" s="4"/>
      <c r="I3248" s="15"/>
      <c r="J3248" s="4"/>
    </row>
    <row r="3249" ht="14.25" customHeight="1">
      <c r="A3249" s="8" t="s">
        <v>16</v>
      </c>
      <c r="B3249" s="8">
        <v>7.0</v>
      </c>
      <c r="F3249" s="4"/>
      <c r="G3249" s="4"/>
      <c r="H3249" s="4"/>
      <c r="I3249" s="15"/>
      <c r="J3249" s="4"/>
    </row>
    <row r="3250" ht="14.25" customHeight="1">
      <c r="A3250" s="8" t="s">
        <v>16</v>
      </c>
      <c r="B3250" s="8">
        <v>6.3</v>
      </c>
      <c r="F3250" s="4"/>
      <c r="G3250" s="4"/>
      <c r="H3250" s="4"/>
      <c r="I3250" s="15"/>
      <c r="J3250" s="4"/>
    </row>
    <row r="3251" ht="14.25" customHeight="1">
      <c r="A3251" s="8" t="s">
        <v>16</v>
      </c>
      <c r="B3251" s="8">
        <v>7.1</v>
      </c>
      <c r="F3251" s="4"/>
      <c r="G3251" s="4"/>
      <c r="H3251" s="4"/>
      <c r="I3251" s="15"/>
      <c r="J3251" s="4"/>
    </row>
    <row r="3252" ht="14.25" customHeight="1">
      <c r="A3252" s="8" t="s">
        <v>16</v>
      </c>
      <c r="B3252" s="8">
        <v>4.4</v>
      </c>
      <c r="F3252" s="4"/>
      <c r="G3252" s="4"/>
      <c r="H3252" s="4"/>
      <c r="I3252" s="15"/>
      <c r="J3252" s="4"/>
    </row>
    <row r="3253" ht="14.25" customHeight="1">
      <c r="A3253" s="8" t="s">
        <v>16</v>
      </c>
      <c r="B3253" s="8">
        <v>7.1</v>
      </c>
      <c r="F3253" s="4"/>
      <c r="G3253" s="4"/>
      <c r="H3253" s="4"/>
      <c r="I3253" s="15"/>
      <c r="J3253" s="4"/>
    </row>
    <row r="3254" ht="14.25" customHeight="1">
      <c r="A3254" s="8" t="s">
        <v>16</v>
      </c>
      <c r="B3254" s="8">
        <v>6.1</v>
      </c>
      <c r="F3254" s="4"/>
      <c r="G3254" s="4"/>
      <c r="H3254" s="4"/>
      <c r="I3254" s="15"/>
      <c r="J3254" s="4"/>
    </row>
    <row r="3255" ht="14.25" customHeight="1">
      <c r="A3255" s="8" t="s">
        <v>16</v>
      </c>
      <c r="B3255" s="8">
        <v>7.3</v>
      </c>
      <c r="F3255" s="4"/>
      <c r="G3255" s="4"/>
      <c r="H3255" s="4"/>
      <c r="I3255" s="15"/>
      <c r="J3255" s="4"/>
    </row>
    <row r="3256" ht="14.25" customHeight="1">
      <c r="A3256" s="8" t="s">
        <v>16</v>
      </c>
      <c r="B3256" s="8">
        <v>6.2</v>
      </c>
      <c r="F3256" s="4"/>
      <c r="G3256" s="4"/>
      <c r="H3256" s="4"/>
      <c r="I3256" s="15"/>
      <c r="J3256" s="4"/>
    </row>
    <row r="3257" ht="14.25" customHeight="1">
      <c r="A3257" s="8" t="s">
        <v>16</v>
      </c>
      <c r="B3257" s="8">
        <v>6.2</v>
      </c>
      <c r="F3257" s="4"/>
      <c r="G3257" s="4"/>
      <c r="H3257" s="4"/>
      <c r="I3257" s="15"/>
      <c r="J3257" s="4"/>
    </row>
    <row r="3258" ht="14.25" customHeight="1">
      <c r="A3258" s="8" t="s">
        <v>16</v>
      </c>
      <c r="B3258" s="8">
        <v>6.2</v>
      </c>
      <c r="F3258" s="4"/>
      <c r="G3258" s="4"/>
      <c r="H3258" s="4"/>
      <c r="I3258" s="15"/>
      <c r="J3258" s="4"/>
    </row>
    <row r="3259" ht="14.25" customHeight="1">
      <c r="A3259" s="8" t="s">
        <v>16</v>
      </c>
      <c r="B3259" s="8">
        <v>3.3</v>
      </c>
      <c r="F3259" s="4"/>
      <c r="G3259" s="4"/>
      <c r="H3259" s="4"/>
      <c r="I3259" s="15"/>
      <c r="J3259" s="4"/>
    </row>
    <row r="3260" ht="14.25" customHeight="1">
      <c r="A3260" s="8" t="s">
        <v>16</v>
      </c>
      <c r="B3260" s="8">
        <v>7.5</v>
      </c>
      <c r="F3260" s="4"/>
      <c r="G3260" s="4"/>
      <c r="H3260" s="4"/>
      <c r="I3260" s="15"/>
      <c r="J3260" s="4"/>
    </row>
    <row r="3261" ht="14.25" customHeight="1">
      <c r="A3261" s="8" t="s">
        <v>6539</v>
      </c>
      <c r="B3261" s="8">
        <v>7.4</v>
      </c>
      <c r="F3261" s="4"/>
      <c r="G3261" s="4"/>
      <c r="H3261" s="4"/>
      <c r="I3261" s="15"/>
      <c r="J3261" s="4"/>
    </row>
    <row r="3262" ht="14.25" customHeight="1">
      <c r="A3262" s="8" t="s">
        <v>4449</v>
      </c>
      <c r="B3262" s="8">
        <v>7.3</v>
      </c>
      <c r="F3262" s="4"/>
      <c r="G3262" s="4"/>
      <c r="H3262" s="4"/>
      <c r="I3262" s="15"/>
      <c r="J3262" s="4"/>
    </row>
    <row r="3263" ht="14.25" customHeight="1">
      <c r="A3263" s="8" t="s">
        <v>16</v>
      </c>
      <c r="B3263" s="8">
        <v>8.0</v>
      </c>
      <c r="F3263" s="4"/>
      <c r="G3263" s="4"/>
      <c r="H3263" s="4"/>
      <c r="I3263" s="15"/>
      <c r="J3263" s="4"/>
    </row>
    <row r="3264" ht="14.25" customHeight="1">
      <c r="A3264" s="8" t="s">
        <v>16</v>
      </c>
      <c r="B3264" s="8">
        <v>5.9</v>
      </c>
      <c r="F3264" s="4"/>
      <c r="G3264" s="4"/>
      <c r="H3264" s="4"/>
      <c r="I3264" s="15"/>
      <c r="J3264" s="4"/>
    </row>
    <row r="3265" ht="14.25" customHeight="1">
      <c r="A3265" s="8" t="s">
        <v>16</v>
      </c>
      <c r="B3265" s="8">
        <v>6.8</v>
      </c>
      <c r="F3265" s="4"/>
      <c r="G3265" s="4"/>
      <c r="H3265" s="4"/>
      <c r="I3265" s="15"/>
      <c r="J3265" s="4"/>
    </row>
    <row r="3266" ht="14.25" customHeight="1">
      <c r="A3266" s="8" t="s">
        <v>16</v>
      </c>
      <c r="B3266" s="8">
        <v>7.4</v>
      </c>
      <c r="F3266" s="4"/>
      <c r="G3266" s="4"/>
      <c r="H3266" s="4"/>
      <c r="I3266" s="15"/>
      <c r="J3266" s="4"/>
    </row>
    <row r="3267" ht="14.25" customHeight="1">
      <c r="A3267" s="8" t="s">
        <v>16</v>
      </c>
      <c r="B3267" s="8">
        <v>6.7</v>
      </c>
      <c r="F3267" s="4"/>
      <c r="G3267" s="4"/>
      <c r="H3267" s="4"/>
      <c r="I3267" s="15"/>
      <c r="J3267" s="4"/>
    </row>
    <row r="3268" ht="14.25" customHeight="1">
      <c r="A3268" s="8" t="s">
        <v>16</v>
      </c>
      <c r="B3268" s="8">
        <v>5.5</v>
      </c>
      <c r="F3268" s="4"/>
      <c r="G3268" s="4"/>
      <c r="H3268" s="4"/>
      <c r="I3268" s="15"/>
      <c r="J3268" s="4"/>
    </row>
    <row r="3269" ht="14.25" customHeight="1">
      <c r="A3269" s="8" t="s">
        <v>16</v>
      </c>
      <c r="B3269" s="8">
        <v>5.7</v>
      </c>
      <c r="F3269" s="4"/>
      <c r="G3269" s="4"/>
      <c r="H3269" s="4"/>
      <c r="I3269" s="15"/>
      <c r="J3269" s="4"/>
    </row>
    <row r="3270" ht="14.25" customHeight="1">
      <c r="A3270" s="8" t="s">
        <v>1189</v>
      </c>
      <c r="B3270" s="8">
        <v>7.2</v>
      </c>
      <c r="F3270" s="4"/>
      <c r="G3270" s="4"/>
      <c r="H3270" s="4"/>
      <c r="I3270" s="15"/>
      <c r="J3270" s="4"/>
    </row>
    <row r="3271" ht="14.25" customHeight="1">
      <c r="A3271" s="8" t="s">
        <v>16</v>
      </c>
      <c r="B3271" s="8">
        <v>5.9</v>
      </c>
      <c r="F3271" s="4"/>
      <c r="G3271" s="4"/>
      <c r="H3271" s="4"/>
      <c r="I3271" s="15"/>
      <c r="J3271" s="4"/>
    </row>
    <row r="3272" ht="14.25" customHeight="1">
      <c r="A3272" s="8" t="s">
        <v>16</v>
      </c>
      <c r="B3272" s="8">
        <v>6.7</v>
      </c>
      <c r="F3272" s="4"/>
      <c r="G3272" s="4"/>
      <c r="H3272" s="4"/>
      <c r="I3272" s="15"/>
      <c r="J3272" s="4"/>
    </row>
    <row r="3273" ht="14.25" customHeight="1">
      <c r="A3273" s="8" t="s">
        <v>16</v>
      </c>
      <c r="B3273" s="8">
        <v>7.1</v>
      </c>
      <c r="F3273" s="4"/>
      <c r="G3273" s="4"/>
      <c r="H3273" s="4"/>
      <c r="I3273" s="15"/>
      <c r="J3273" s="4"/>
    </row>
    <row r="3274" ht="14.25" customHeight="1">
      <c r="A3274" s="8" t="s">
        <v>16</v>
      </c>
      <c r="B3274" s="8">
        <v>7.7</v>
      </c>
      <c r="F3274" s="4"/>
      <c r="G3274" s="4"/>
      <c r="H3274" s="4"/>
      <c r="I3274" s="15"/>
      <c r="J3274" s="4"/>
    </row>
    <row r="3275" ht="14.25" customHeight="1">
      <c r="A3275" s="8" t="s">
        <v>16</v>
      </c>
      <c r="B3275" s="8">
        <v>7.4</v>
      </c>
      <c r="F3275" s="4"/>
      <c r="G3275" s="4"/>
      <c r="H3275" s="4"/>
      <c r="I3275" s="15"/>
      <c r="J3275" s="4"/>
    </row>
    <row r="3276" ht="14.25" customHeight="1">
      <c r="A3276" s="8" t="s">
        <v>16</v>
      </c>
      <c r="B3276" s="8">
        <v>8.4</v>
      </c>
      <c r="F3276" s="4"/>
      <c r="G3276" s="4"/>
      <c r="H3276" s="4"/>
      <c r="I3276" s="15"/>
      <c r="J3276" s="4"/>
    </row>
    <row r="3277" ht="14.25" customHeight="1">
      <c r="A3277" s="8" t="s">
        <v>1144</v>
      </c>
      <c r="B3277" s="8">
        <v>7.2</v>
      </c>
      <c r="F3277" s="4"/>
      <c r="G3277" s="4"/>
      <c r="H3277" s="4"/>
      <c r="I3277" s="15"/>
      <c r="J3277" s="4"/>
    </row>
    <row r="3278" ht="14.25" customHeight="1">
      <c r="A3278" s="8" t="s">
        <v>16</v>
      </c>
      <c r="B3278" s="8">
        <v>5.4</v>
      </c>
      <c r="F3278" s="4"/>
      <c r="G3278" s="4"/>
      <c r="H3278" s="4"/>
      <c r="I3278" s="15"/>
      <c r="J3278" s="4"/>
    </row>
    <row r="3279" ht="14.25" customHeight="1">
      <c r="A3279" s="8" t="s">
        <v>16</v>
      </c>
      <c r="B3279" s="8">
        <v>8.1</v>
      </c>
      <c r="F3279" s="4"/>
      <c r="G3279" s="4"/>
      <c r="H3279" s="4"/>
      <c r="I3279" s="15"/>
      <c r="J3279" s="4"/>
    </row>
    <row r="3280" ht="14.25" customHeight="1">
      <c r="A3280" s="8" t="s">
        <v>4061</v>
      </c>
      <c r="B3280" s="8">
        <v>7.8</v>
      </c>
      <c r="F3280" s="4"/>
      <c r="G3280" s="4"/>
      <c r="H3280" s="4"/>
      <c r="I3280" s="15"/>
      <c r="J3280" s="4"/>
    </row>
    <row r="3281" ht="14.25" customHeight="1">
      <c r="A3281" s="8" t="s">
        <v>16</v>
      </c>
      <c r="B3281" s="8">
        <v>6.8</v>
      </c>
      <c r="F3281" s="4"/>
      <c r="G3281" s="4"/>
      <c r="H3281" s="4"/>
      <c r="I3281" s="15"/>
      <c r="J3281" s="4"/>
    </row>
    <row r="3282" ht="14.25" customHeight="1">
      <c r="A3282" s="8" t="s">
        <v>5316</v>
      </c>
      <c r="B3282" s="8">
        <v>7.7</v>
      </c>
      <c r="F3282" s="4"/>
      <c r="G3282" s="4"/>
      <c r="H3282" s="4"/>
      <c r="I3282" s="15"/>
      <c r="J3282" s="4"/>
    </row>
    <row r="3283" ht="14.25" customHeight="1">
      <c r="A3283" s="8" t="s">
        <v>16</v>
      </c>
      <c r="B3283" s="8">
        <v>6.5</v>
      </c>
      <c r="F3283" s="4"/>
      <c r="G3283" s="4"/>
      <c r="H3283" s="4"/>
      <c r="I3283" s="15"/>
      <c r="J3283" s="4"/>
    </row>
    <row r="3284" ht="14.25" customHeight="1">
      <c r="A3284" s="8" t="s">
        <v>2884</v>
      </c>
      <c r="B3284" s="8">
        <v>7.3</v>
      </c>
      <c r="F3284" s="4"/>
      <c r="G3284" s="4"/>
      <c r="H3284" s="4"/>
      <c r="I3284" s="15"/>
      <c r="J3284" s="4"/>
    </row>
    <row r="3285" ht="14.25" customHeight="1">
      <c r="A3285" s="8" t="s">
        <v>16</v>
      </c>
      <c r="B3285" s="8">
        <v>5.9</v>
      </c>
      <c r="F3285" s="4"/>
      <c r="G3285" s="4"/>
      <c r="H3285" s="4"/>
      <c r="I3285" s="15"/>
      <c r="J3285" s="4"/>
    </row>
    <row r="3286" ht="14.25" customHeight="1">
      <c r="A3286" s="8" t="s">
        <v>16</v>
      </c>
      <c r="B3286" s="8">
        <v>8.7</v>
      </c>
      <c r="F3286" s="4"/>
      <c r="G3286" s="4"/>
      <c r="H3286" s="4"/>
      <c r="I3286" s="15"/>
      <c r="J3286" s="4"/>
    </row>
    <row r="3287" ht="14.25" customHeight="1">
      <c r="A3287" s="8" t="s">
        <v>16</v>
      </c>
      <c r="B3287" s="8">
        <v>5.8</v>
      </c>
      <c r="F3287" s="4"/>
      <c r="G3287" s="4"/>
      <c r="H3287" s="4"/>
      <c r="I3287" s="15"/>
      <c r="J3287" s="4"/>
    </row>
    <row r="3288" ht="14.25" customHeight="1">
      <c r="A3288" s="8" t="s">
        <v>16</v>
      </c>
      <c r="B3288" s="8">
        <v>6.1</v>
      </c>
      <c r="F3288" s="4"/>
      <c r="G3288" s="4"/>
      <c r="H3288" s="4"/>
      <c r="I3288" s="15"/>
      <c r="J3288" s="4"/>
    </row>
    <row r="3289" ht="14.25" customHeight="1">
      <c r="A3289" s="8" t="s">
        <v>16</v>
      </c>
      <c r="B3289" s="8">
        <v>7.6</v>
      </c>
      <c r="F3289" s="4"/>
      <c r="G3289" s="4"/>
      <c r="H3289" s="4"/>
      <c r="I3289" s="15"/>
      <c r="J3289" s="4"/>
    </row>
    <row r="3290" ht="14.25" customHeight="1">
      <c r="A3290" s="8" t="s">
        <v>5555</v>
      </c>
      <c r="B3290" s="8">
        <v>7.2</v>
      </c>
      <c r="F3290" s="4"/>
      <c r="G3290" s="4"/>
      <c r="H3290" s="4"/>
      <c r="I3290" s="15"/>
      <c r="J3290" s="4"/>
    </row>
    <row r="3291" ht="14.25" customHeight="1">
      <c r="A3291" s="8" t="s">
        <v>16</v>
      </c>
      <c r="B3291" s="8">
        <v>5.8</v>
      </c>
      <c r="F3291" s="4"/>
      <c r="G3291" s="4"/>
      <c r="H3291" s="4"/>
      <c r="I3291" s="15"/>
      <c r="J3291" s="4"/>
    </row>
    <row r="3292" ht="14.25" customHeight="1">
      <c r="A3292" s="8" t="s">
        <v>6599</v>
      </c>
      <c r="B3292" s="8">
        <v>6.5</v>
      </c>
      <c r="F3292" s="4"/>
      <c r="G3292" s="4"/>
      <c r="H3292" s="4"/>
      <c r="I3292" s="15"/>
      <c r="J3292" s="4"/>
    </row>
    <row r="3293" ht="14.25" customHeight="1">
      <c r="A3293" s="8" t="s">
        <v>16</v>
      </c>
      <c r="B3293" s="8">
        <v>7.3</v>
      </c>
      <c r="F3293" s="4"/>
      <c r="G3293" s="4"/>
      <c r="H3293" s="4"/>
      <c r="I3293" s="15"/>
      <c r="J3293" s="4"/>
    </row>
    <row r="3294" ht="14.25" customHeight="1">
      <c r="A3294" s="8" t="s">
        <v>16</v>
      </c>
      <c r="B3294" s="8">
        <v>6.2</v>
      </c>
      <c r="F3294" s="4"/>
      <c r="G3294" s="4"/>
      <c r="H3294" s="4"/>
      <c r="I3294" s="15"/>
      <c r="J3294" s="4"/>
    </row>
    <row r="3295" ht="14.25" customHeight="1">
      <c r="A3295" s="8" t="s">
        <v>16</v>
      </c>
      <c r="B3295" s="8">
        <v>5.0</v>
      </c>
      <c r="F3295" s="4"/>
      <c r="G3295" s="4"/>
      <c r="H3295" s="4"/>
      <c r="I3295" s="15"/>
      <c r="J3295" s="4"/>
    </row>
    <row r="3296" ht="14.25" customHeight="1">
      <c r="A3296" s="8" t="s">
        <v>16</v>
      </c>
      <c r="B3296" s="8">
        <v>7.8</v>
      </c>
      <c r="F3296" s="4"/>
      <c r="G3296" s="4"/>
      <c r="H3296" s="4"/>
      <c r="I3296" s="15"/>
      <c r="J3296" s="4"/>
    </row>
    <row r="3297" ht="14.25" customHeight="1">
      <c r="A3297" s="8" t="s">
        <v>16</v>
      </c>
      <c r="B3297" s="8">
        <v>8.1</v>
      </c>
      <c r="F3297" s="4"/>
      <c r="G3297" s="4"/>
      <c r="H3297" s="4"/>
      <c r="I3297" s="15"/>
      <c r="J3297" s="4"/>
    </row>
    <row r="3298" ht="14.25" customHeight="1">
      <c r="A3298" s="8" t="s">
        <v>16</v>
      </c>
      <c r="B3298" s="8">
        <v>6.7</v>
      </c>
      <c r="F3298" s="4"/>
      <c r="G3298" s="4"/>
      <c r="H3298" s="4"/>
      <c r="I3298" s="15"/>
      <c r="J3298" s="4"/>
    </row>
    <row r="3299" ht="14.25" customHeight="1">
      <c r="A3299" s="8" t="s">
        <v>16</v>
      </c>
      <c r="B3299" s="8">
        <v>6.1</v>
      </c>
      <c r="F3299" s="4"/>
      <c r="G3299" s="4"/>
      <c r="H3299" s="4"/>
      <c r="I3299" s="15"/>
      <c r="J3299" s="4"/>
    </row>
    <row r="3300" ht="14.25" customHeight="1">
      <c r="A3300" s="8" t="s">
        <v>16</v>
      </c>
      <c r="B3300" s="8">
        <v>7.1</v>
      </c>
      <c r="F3300" s="4"/>
      <c r="G3300" s="4"/>
      <c r="H3300" s="4"/>
      <c r="I3300" s="15"/>
      <c r="J3300" s="4"/>
    </row>
    <row r="3301" ht="14.25" customHeight="1">
      <c r="A3301" s="8" t="s">
        <v>16</v>
      </c>
      <c r="B3301" s="8">
        <v>5.6</v>
      </c>
      <c r="F3301" s="4"/>
      <c r="G3301" s="4"/>
      <c r="H3301" s="4"/>
      <c r="I3301" s="15"/>
      <c r="J3301" s="4"/>
    </row>
    <row r="3302" ht="14.25" customHeight="1">
      <c r="A3302" s="8" t="s">
        <v>16</v>
      </c>
      <c r="B3302" s="8">
        <v>7.6</v>
      </c>
      <c r="F3302" s="4"/>
      <c r="G3302" s="4"/>
      <c r="H3302" s="4"/>
      <c r="I3302" s="15"/>
      <c r="J3302" s="4"/>
    </row>
    <row r="3303" ht="14.25" customHeight="1">
      <c r="A3303" s="8" t="s">
        <v>16</v>
      </c>
      <c r="B3303" s="8">
        <v>4.6</v>
      </c>
      <c r="F3303" s="4"/>
      <c r="G3303" s="4"/>
      <c r="H3303" s="4"/>
      <c r="I3303" s="15"/>
      <c r="J3303" s="4"/>
    </row>
    <row r="3304" ht="14.25" customHeight="1">
      <c r="A3304" s="8" t="s">
        <v>16</v>
      </c>
      <c r="B3304" s="8">
        <v>7.1</v>
      </c>
      <c r="F3304" s="4"/>
      <c r="G3304" s="4"/>
      <c r="H3304" s="4"/>
      <c r="I3304" s="15"/>
      <c r="J3304" s="4"/>
    </row>
    <row r="3305" ht="14.25" customHeight="1">
      <c r="A3305" s="8" t="s">
        <v>16</v>
      </c>
      <c r="B3305" s="8">
        <v>7.3</v>
      </c>
      <c r="F3305" s="4"/>
      <c r="G3305" s="4"/>
      <c r="H3305" s="4"/>
      <c r="I3305" s="15"/>
      <c r="J3305" s="4"/>
    </row>
    <row r="3306" ht="14.25" customHeight="1">
      <c r="A3306" s="8" t="s">
        <v>16</v>
      </c>
      <c r="B3306" s="8">
        <v>4.0</v>
      </c>
      <c r="F3306" s="4"/>
      <c r="G3306" s="4"/>
      <c r="H3306" s="4"/>
      <c r="I3306" s="15"/>
      <c r="J3306" s="4"/>
    </row>
    <row r="3307" ht="14.25" customHeight="1">
      <c r="A3307" s="8" t="s">
        <v>16</v>
      </c>
      <c r="B3307" s="8">
        <v>8.0</v>
      </c>
      <c r="F3307" s="4"/>
      <c r="G3307" s="4"/>
      <c r="H3307" s="4"/>
      <c r="I3307" s="15"/>
      <c r="J3307" s="4"/>
    </row>
    <row r="3308" ht="14.25" customHeight="1">
      <c r="A3308" s="8" t="s">
        <v>16</v>
      </c>
      <c r="B3308" s="8">
        <v>6.7</v>
      </c>
      <c r="F3308" s="4"/>
      <c r="G3308" s="4"/>
      <c r="H3308" s="4"/>
      <c r="I3308" s="15"/>
      <c r="J3308" s="4"/>
    </row>
    <row r="3309" ht="14.25" customHeight="1">
      <c r="A3309" s="8" t="s">
        <v>16</v>
      </c>
      <c r="B3309" s="8">
        <v>5.7</v>
      </c>
      <c r="F3309" s="4"/>
      <c r="G3309" s="4"/>
      <c r="H3309" s="4"/>
      <c r="I3309" s="15"/>
      <c r="J3309" s="4"/>
    </row>
    <row r="3310" ht="14.25" customHeight="1">
      <c r="A3310" s="8" t="s">
        <v>16</v>
      </c>
      <c r="B3310" s="8">
        <v>4.6</v>
      </c>
      <c r="F3310" s="4"/>
      <c r="G3310" s="4"/>
      <c r="H3310" s="4"/>
      <c r="I3310" s="15"/>
      <c r="J3310" s="4"/>
    </row>
    <row r="3311" ht="14.25" customHeight="1">
      <c r="A3311" s="8" t="s">
        <v>16</v>
      </c>
      <c r="B3311" s="8">
        <v>4.0</v>
      </c>
      <c r="F3311" s="4"/>
      <c r="G3311" s="4"/>
      <c r="H3311" s="4"/>
      <c r="I3311" s="15"/>
      <c r="J3311" s="4"/>
    </row>
    <row r="3312" ht="14.25" customHeight="1">
      <c r="A3312" s="8" t="s">
        <v>16</v>
      </c>
      <c r="B3312" s="8">
        <v>7.0</v>
      </c>
      <c r="F3312" s="4"/>
      <c r="G3312" s="4"/>
      <c r="H3312" s="4"/>
      <c r="I3312" s="15"/>
      <c r="J3312" s="4"/>
    </row>
    <row r="3313" ht="14.25" customHeight="1">
      <c r="A3313" s="8" t="s">
        <v>16</v>
      </c>
      <c r="B3313" s="8">
        <v>5.9</v>
      </c>
      <c r="F3313" s="4"/>
      <c r="G3313" s="4"/>
      <c r="H3313" s="4"/>
      <c r="I3313" s="15"/>
      <c r="J3313" s="4"/>
    </row>
    <row r="3314" ht="14.25" customHeight="1">
      <c r="A3314" s="8" t="s">
        <v>1144</v>
      </c>
      <c r="B3314" s="8">
        <v>7.5</v>
      </c>
      <c r="F3314" s="4"/>
      <c r="G3314" s="4"/>
      <c r="H3314" s="4"/>
      <c r="I3314" s="15"/>
      <c r="J3314" s="4"/>
    </row>
    <row r="3315" ht="14.25" customHeight="1">
      <c r="A3315" s="8" t="s">
        <v>16</v>
      </c>
      <c r="B3315" s="8">
        <v>4.7</v>
      </c>
      <c r="F3315" s="4"/>
      <c r="G3315" s="4"/>
      <c r="H3315" s="4"/>
      <c r="I3315" s="15"/>
      <c r="J3315" s="4"/>
    </row>
    <row r="3316" ht="14.25" customHeight="1">
      <c r="A3316" s="8" t="s">
        <v>16</v>
      </c>
      <c r="B3316" s="8">
        <v>6.7</v>
      </c>
      <c r="F3316" s="4"/>
      <c r="G3316" s="4"/>
      <c r="H3316" s="4"/>
      <c r="I3316" s="15"/>
      <c r="J3316" s="4"/>
    </row>
    <row r="3317" ht="14.25" customHeight="1">
      <c r="A3317" s="8" t="s">
        <v>16</v>
      </c>
      <c r="B3317" s="8">
        <v>6.7</v>
      </c>
      <c r="F3317" s="4"/>
      <c r="G3317" s="4"/>
      <c r="H3317" s="4"/>
      <c r="I3317" s="15"/>
      <c r="J3317" s="4"/>
    </row>
    <row r="3318" ht="14.25" customHeight="1">
      <c r="A3318" s="8" t="s">
        <v>16</v>
      </c>
      <c r="B3318" s="8">
        <v>7.1</v>
      </c>
      <c r="F3318" s="4"/>
      <c r="G3318" s="4"/>
      <c r="H3318" s="4"/>
      <c r="I3318" s="15"/>
      <c r="J3318" s="4"/>
    </row>
    <row r="3319" ht="14.25" customHeight="1">
      <c r="A3319" s="8" t="s">
        <v>16</v>
      </c>
      <c r="B3319" s="8">
        <v>2.7</v>
      </c>
      <c r="F3319" s="4"/>
      <c r="G3319" s="4"/>
      <c r="H3319" s="4"/>
      <c r="I3319" s="15"/>
      <c r="J3319" s="4"/>
    </row>
    <row r="3320" ht="14.25" customHeight="1">
      <c r="A3320" s="8" t="s">
        <v>16</v>
      </c>
      <c r="B3320" s="8">
        <v>7.3</v>
      </c>
      <c r="F3320" s="4"/>
      <c r="G3320" s="4"/>
      <c r="H3320" s="4"/>
      <c r="I3320" s="15"/>
      <c r="J3320" s="4"/>
    </row>
    <row r="3321" ht="14.25" customHeight="1">
      <c r="A3321" s="8" t="s">
        <v>16</v>
      </c>
      <c r="B3321" s="8">
        <v>7.6</v>
      </c>
      <c r="F3321" s="4"/>
      <c r="G3321" s="4"/>
      <c r="H3321" s="4"/>
      <c r="I3321" s="15"/>
      <c r="J3321" s="4"/>
    </row>
    <row r="3322" ht="14.25" customHeight="1">
      <c r="A3322" s="8" t="s">
        <v>16</v>
      </c>
      <c r="B3322" s="8">
        <v>5.8</v>
      </c>
      <c r="F3322" s="4"/>
      <c r="G3322" s="4"/>
      <c r="H3322" s="4"/>
      <c r="I3322" s="15"/>
      <c r="J3322" s="4"/>
    </row>
    <row r="3323" ht="14.25" customHeight="1">
      <c r="A3323" s="8" t="s">
        <v>16</v>
      </c>
      <c r="B3323" s="8">
        <v>6.5</v>
      </c>
      <c r="F3323" s="4"/>
      <c r="G3323" s="4"/>
      <c r="H3323" s="4"/>
      <c r="I3323" s="15"/>
      <c r="J3323" s="4"/>
    </row>
    <row r="3324" ht="14.25" customHeight="1">
      <c r="A3324" s="8" t="s">
        <v>16</v>
      </c>
      <c r="B3324" s="8">
        <v>6.6</v>
      </c>
      <c r="F3324" s="4"/>
      <c r="G3324" s="4"/>
      <c r="H3324" s="4"/>
      <c r="I3324" s="15"/>
      <c r="J3324" s="4"/>
    </row>
    <row r="3325" ht="14.25" customHeight="1">
      <c r="A3325" s="8" t="s">
        <v>16</v>
      </c>
      <c r="B3325" s="8">
        <v>6.9</v>
      </c>
      <c r="F3325" s="4"/>
      <c r="G3325" s="4"/>
      <c r="H3325" s="4"/>
      <c r="I3325" s="15"/>
      <c r="J3325" s="4"/>
    </row>
    <row r="3326" ht="14.25" customHeight="1">
      <c r="A3326" s="8" t="s">
        <v>16</v>
      </c>
      <c r="B3326" s="8">
        <v>4.8</v>
      </c>
      <c r="F3326" s="4"/>
      <c r="G3326" s="4"/>
      <c r="H3326" s="4"/>
      <c r="I3326" s="15"/>
      <c r="J3326" s="4"/>
    </row>
    <row r="3327" ht="14.25" customHeight="1">
      <c r="A3327" s="8" t="s">
        <v>16</v>
      </c>
      <c r="B3327" s="8">
        <v>7.0</v>
      </c>
      <c r="F3327" s="4"/>
      <c r="G3327" s="4"/>
      <c r="H3327" s="4"/>
      <c r="I3327" s="15"/>
      <c r="J3327" s="4"/>
    </row>
    <row r="3328" ht="14.25" customHeight="1">
      <c r="A3328" s="8" t="s">
        <v>16</v>
      </c>
      <c r="B3328" s="8">
        <v>5.4</v>
      </c>
      <c r="F3328" s="4"/>
      <c r="G3328" s="4"/>
      <c r="H3328" s="4"/>
      <c r="I3328" s="15"/>
      <c r="J3328" s="4"/>
    </row>
    <row r="3329" ht="14.25" customHeight="1">
      <c r="A3329" s="8" t="s">
        <v>16</v>
      </c>
      <c r="B3329" s="8">
        <v>6.9</v>
      </c>
      <c r="F3329" s="4"/>
      <c r="G3329" s="4"/>
      <c r="H3329" s="4"/>
      <c r="I3329" s="15"/>
      <c r="J3329" s="4"/>
    </row>
    <row r="3330" ht="14.25" customHeight="1">
      <c r="A3330" s="8" t="s">
        <v>16</v>
      </c>
      <c r="B3330" s="8">
        <v>6.6</v>
      </c>
      <c r="F3330" s="4"/>
      <c r="G3330" s="4"/>
      <c r="H3330" s="4"/>
      <c r="I3330" s="15"/>
      <c r="J3330" s="4"/>
    </row>
    <row r="3331" ht="14.25" customHeight="1">
      <c r="A3331" s="8" t="s">
        <v>16</v>
      </c>
      <c r="B3331" s="8">
        <v>5.9</v>
      </c>
      <c r="F3331" s="4"/>
      <c r="G3331" s="4"/>
      <c r="H3331" s="4"/>
      <c r="I3331" s="15"/>
      <c r="J3331" s="4"/>
    </row>
    <row r="3332" ht="14.25" customHeight="1">
      <c r="A3332" s="8" t="s">
        <v>16</v>
      </c>
      <c r="B3332" s="8">
        <v>6.3</v>
      </c>
      <c r="F3332" s="4"/>
      <c r="G3332" s="4"/>
      <c r="H3332" s="4"/>
      <c r="I3332" s="15"/>
      <c r="J3332" s="4"/>
    </row>
    <row r="3333" ht="14.25" customHeight="1">
      <c r="A3333" s="8" t="s">
        <v>16</v>
      </c>
      <c r="B3333" s="8">
        <v>6.3</v>
      </c>
      <c r="F3333" s="4"/>
      <c r="G3333" s="4"/>
      <c r="H3333" s="4"/>
      <c r="I3333" s="15"/>
      <c r="J3333" s="4"/>
    </row>
    <row r="3334" ht="14.25" customHeight="1">
      <c r="A3334" s="8" t="s">
        <v>4449</v>
      </c>
      <c r="B3334" s="8">
        <v>7.7</v>
      </c>
      <c r="F3334" s="4"/>
      <c r="G3334" s="4"/>
      <c r="H3334" s="4"/>
      <c r="I3334" s="15"/>
      <c r="J3334" s="4"/>
    </row>
    <row r="3335" ht="14.25" customHeight="1">
      <c r="A3335" s="8" t="s">
        <v>16</v>
      </c>
      <c r="B3335" s="8">
        <v>7.0</v>
      </c>
      <c r="F3335" s="4"/>
      <c r="G3335" s="4"/>
      <c r="H3335" s="4"/>
      <c r="I3335" s="15"/>
      <c r="J3335" s="4"/>
    </row>
    <row r="3336" ht="14.25" customHeight="1">
      <c r="A3336" s="8" t="s">
        <v>16</v>
      </c>
      <c r="B3336" s="8">
        <v>6.3</v>
      </c>
      <c r="F3336" s="4"/>
      <c r="G3336" s="4"/>
      <c r="H3336" s="4"/>
      <c r="I3336" s="15"/>
      <c r="J3336" s="4"/>
    </row>
    <row r="3337" ht="14.25" customHeight="1">
      <c r="A3337" s="8" t="s">
        <v>16</v>
      </c>
      <c r="B3337" s="8">
        <v>5.9</v>
      </c>
      <c r="F3337" s="4"/>
      <c r="G3337" s="4"/>
      <c r="H3337" s="4"/>
      <c r="I3337" s="15"/>
      <c r="J3337" s="4"/>
    </row>
    <row r="3338" ht="14.25" customHeight="1">
      <c r="A3338" s="8" t="s">
        <v>16</v>
      </c>
      <c r="B3338" s="8">
        <v>6.2</v>
      </c>
      <c r="F3338" s="4"/>
      <c r="G3338" s="4"/>
      <c r="H3338" s="4"/>
      <c r="I3338" s="15"/>
      <c r="J3338" s="4"/>
    </row>
    <row r="3339" ht="14.25" customHeight="1">
      <c r="A3339" s="8" t="s">
        <v>1144</v>
      </c>
      <c r="B3339" s="8">
        <v>7.7</v>
      </c>
      <c r="F3339" s="4"/>
      <c r="G3339" s="4"/>
      <c r="H3339" s="4"/>
      <c r="I3339" s="15"/>
      <c r="J3339" s="4"/>
    </row>
    <row r="3340" ht="14.25" customHeight="1">
      <c r="A3340" s="8" t="s">
        <v>16</v>
      </c>
      <c r="B3340" s="8">
        <v>6.5</v>
      </c>
      <c r="F3340" s="4"/>
      <c r="G3340" s="4"/>
      <c r="H3340" s="4"/>
      <c r="I3340" s="15"/>
      <c r="J3340" s="4"/>
    </row>
    <row r="3341" ht="14.25" customHeight="1">
      <c r="A3341" s="8" t="s">
        <v>16</v>
      </c>
      <c r="B3341" s="8">
        <v>5.8</v>
      </c>
      <c r="F3341" s="4"/>
      <c r="G3341" s="4"/>
      <c r="H3341" s="4"/>
      <c r="I3341" s="15"/>
      <c r="J3341" s="4"/>
    </row>
    <row r="3342" ht="14.25" customHeight="1">
      <c r="A3342" s="8" t="s">
        <v>6182</v>
      </c>
      <c r="B3342" s="8">
        <v>6.1</v>
      </c>
      <c r="F3342" s="4"/>
      <c r="G3342" s="4"/>
      <c r="H3342" s="4"/>
      <c r="I3342" s="15"/>
      <c r="J3342" s="4"/>
    </row>
    <row r="3343" ht="14.25" customHeight="1">
      <c r="A3343" s="8" t="s">
        <v>16</v>
      </c>
      <c r="B3343" s="8">
        <v>5.2</v>
      </c>
      <c r="F3343" s="4"/>
      <c r="G3343" s="4"/>
      <c r="H3343" s="4"/>
      <c r="I3343" s="15"/>
      <c r="J3343" s="4"/>
    </row>
    <row r="3344" ht="14.25" customHeight="1">
      <c r="A3344" s="8" t="s">
        <v>16</v>
      </c>
      <c r="B3344" s="8">
        <v>8.2</v>
      </c>
      <c r="F3344" s="4"/>
      <c r="G3344" s="4"/>
      <c r="H3344" s="4"/>
      <c r="I3344" s="15"/>
      <c r="J3344" s="4"/>
    </row>
    <row r="3345" ht="14.25" customHeight="1">
      <c r="A3345" s="8" t="s">
        <v>16</v>
      </c>
      <c r="B3345" s="8">
        <v>6.0</v>
      </c>
      <c r="F3345" s="4"/>
      <c r="G3345" s="4"/>
      <c r="H3345" s="4"/>
      <c r="I3345" s="15"/>
      <c r="J3345" s="4"/>
    </row>
    <row r="3346" ht="14.25" customHeight="1">
      <c r="A3346" s="8" t="s">
        <v>16</v>
      </c>
      <c r="B3346" s="8">
        <v>6.8</v>
      </c>
      <c r="F3346" s="4"/>
      <c r="G3346" s="4"/>
      <c r="H3346" s="4"/>
      <c r="I3346" s="15"/>
      <c r="J3346" s="4"/>
    </row>
    <row r="3347" ht="14.25" customHeight="1">
      <c r="A3347" s="8" t="s">
        <v>16</v>
      </c>
      <c r="B3347" s="8">
        <v>7.0</v>
      </c>
      <c r="F3347" s="4"/>
      <c r="G3347" s="4"/>
      <c r="H3347" s="4"/>
      <c r="I3347" s="15"/>
      <c r="J3347" s="4"/>
    </row>
    <row r="3348" ht="14.25" customHeight="1">
      <c r="A3348" s="8" t="s">
        <v>16</v>
      </c>
      <c r="B3348" s="8">
        <v>6.8</v>
      </c>
      <c r="F3348" s="4"/>
      <c r="G3348" s="4"/>
      <c r="H3348" s="4"/>
      <c r="I3348" s="15"/>
      <c r="J3348" s="4"/>
    </row>
    <row r="3349" ht="14.25" customHeight="1">
      <c r="A3349" s="8" t="s">
        <v>16</v>
      </c>
      <c r="B3349" s="8">
        <v>7.1</v>
      </c>
      <c r="F3349" s="4"/>
      <c r="G3349" s="4"/>
      <c r="H3349" s="4"/>
      <c r="I3349" s="15"/>
      <c r="J3349" s="4"/>
    </row>
    <row r="3350" ht="14.25" customHeight="1">
      <c r="A3350" s="8" t="s">
        <v>16</v>
      </c>
      <c r="B3350" s="8">
        <v>6.9</v>
      </c>
      <c r="F3350" s="4"/>
      <c r="G3350" s="4"/>
      <c r="H3350" s="4"/>
      <c r="I3350" s="15"/>
      <c r="J3350" s="4"/>
    </row>
    <row r="3351" ht="14.25" customHeight="1">
      <c r="A3351" s="8" t="s">
        <v>16</v>
      </c>
      <c r="B3351" s="8">
        <v>6.9</v>
      </c>
      <c r="F3351" s="4"/>
      <c r="G3351" s="4"/>
      <c r="H3351" s="4"/>
      <c r="I3351" s="15"/>
      <c r="J3351" s="4"/>
    </row>
    <row r="3352" ht="14.25" customHeight="1">
      <c r="A3352" s="8" t="s">
        <v>16</v>
      </c>
      <c r="B3352" s="8">
        <v>6.9</v>
      </c>
      <c r="F3352" s="4"/>
      <c r="G3352" s="4"/>
      <c r="H3352" s="4"/>
      <c r="I3352" s="15"/>
      <c r="J3352" s="4"/>
    </row>
    <row r="3353" ht="14.25" customHeight="1">
      <c r="A3353" s="8" t="s">
        <v>16</v>
      </c>
      <c r="B3353" s="8">
        <v>7.2</v>
      </c>
      <c r="F3353" s="4"/>
      <c r="G3353" s="4"/>
      <c r="H3353" s="4"/>
      <c r="I3353" s="15"/>
      <c r="J3353" s="4"/>
    </row>
    <row r="3354" ht="14.25" customHeight="1">
      <c r="A3354" s="8" t="s">
        <v>16</v>
      </c>
      <c r="B3354" s="8">
        <v>7.8</v>
      </c>
      <c r="F3354" s="4"/>
      <c r="G3354" s="4"/>
      <c r="H3354" s="4"/>
      <c r="I3354" s="15"/>
      <c r="J3354" s="4"/>
    </row>
    <row r="3355" ht="14.25" customHeight="1">
      <c r="A3355" s="8" t="s">
        <v>16</v>
      </c>
      <c r="B3355" s="8">
        <v>7.3</v>
      </c>
      <c r="F3355" s="4"/>
      <c r="G3355" s="4"/>
      <c r="H3355" s="4"/>
      <c r="I3355" s="15"/>
      <c r="J3355" s="4"/>
    </row>
    <row r="3356" ht="14.25" customHeight="1">
      <c r="A3356" s="8" t="s">
        <v>16</v>
      </c>
      <c r="B3356" s="8">
        <v>7.5</v>
      </c>
      <c r="F3356" s="4"/>
      <c r="G3356" s="4"/>
      <c r="H3356" s="4"/>
      <c r="I3356" s="15"/>
      <c r="J3356" s="4"/>
    </row>
    <row r="3357" ht="14.25" customHeight="1">
      <c r="A3357" s="8" t="s">
        <v>16</v>
      </c>
      <c r="B3357" s="8">
        <v>6.0</v>
      </c>
      <c r="F3357" s="4"/>
      <c r="G3357" s="4"/>
      <c r="H3357" s="4"/>
      <c r="I3357" s="15"/>
      <c r="J3357" s="4"/>
    </row>
    <row r="3358" ht="14.25" customHeight="1">
      <c r="A3358" s="8" t="s">
        <v>16</v>
      </c>
      <c r="B3358" s="8">
        <v>6.8</v>
      </c>
      <c r="F3358" s="4"/>
      <c r="G3358" s="4"/>
      <c r="H3358" s="4"/>
      <c r="I3358" s="15"/>
      <c r="J3358" s="4"/>
    </row>
    <row r="3359" ht="14.25" customHeight="1">
      <c r="A3359" s="8" t="s">
        <v>16</v>
      </c>
      <c r="B3359" s="8">
        <v>3.9</v>
      </c>
      <c r="F3359" s="4"/>
      <c r="G3359" s="4"/>
      <c r="H3359" s="4"/>
      <c r="I3359" s="15"/>
      <c r="J3359" s="4"/>
    </row>
    <row r="3360" ht="14.25" customHeight="1">
      <c r="A3360" s="8" t="s">
        <v>16</v>
      </c>
      <c r="B3360" s="8">
        <v>6.1</v>
      </c>
      <c r="F3360" s="4"/>
      <c r="G3360" s="4"/>
      <c r="H3360" s="4"/>
      <c r="I3360" s="15"/>
      <c r="J3360" s="4"/>
    </row>
    <row r="3361" ht="14.25" customHeight="1">
      <c r="A3361" s="8" t="s">
        <v>16</v>
      </c>
      <c r="B3361" s="8">
        <v>7.5</v>
      </c>
      <c r="F3361" s="4"/>
      <c r="G3361" s="4"/>
      <c r="H3361" s="4"/>
      <c r="I3361" s="15"/>
      <c r="J3361" s="4"/>
    </row>
    <row r="3362" ht="14.25" customHeight="1">
      <c r="A3362" s="8" t="s">
        <v>1144</v>
      </c>
      <c r="B3362" s="8">
        <v>8.2</v>
      </c>
      <c r="F3362" s="4"/>
      <c r="G3362" s="4"/>
      <c r="H3362" s="4"/>
      <c r="I3362" s="15"/>
      <c r="J3362" s="4"/>
    </row>
    <row r="3363" ht="14.25" customHeight="1">
      <c r="A3363" s="8" t="s">
        <v>16</v>
      </c>
      <c r="B3363" s="8">
        <v>7.8</v>
      </c>
      <c r="F3363" s="4"/>
      <c r="G3363" s="4"/>
      <c r="H3363" s="4"/>
      <c r="I3363" s="15"/>
      <c r="J3363" s="4"/>
    </row>
    <row r="3364" ht="14.25" customHeight="1">
      <c r="A3364" s="8" t="s">
        <v>16</v>
      </c>
      <c r="B3364" s="8">
        <v>5.2</v>
      </c>
      <c r="F3364" s="4"/>
      <c r="G3364" s="4"/>
      <c r="H3364" s="4"/>
      <c r="I3364" s="15"/>
      <c r="J3364" s="4"/>
    </row>
    <row r="3365" ht="14.25" customHeight="1">
      <c r="A3365" s="8" t="s">
        <v>1144</v>
      </c>
      <c r="B3365" s="8">
        <v>6.8</v>
      </c>
      <c r="F3365" s="4"/>
      <c r="G3365" s="4"/>
      <c r="H3365" s="4"/>
      <c r="I3365" s="15"/>
      <c r="J3365" s="4"/>
    </row>
    <row r="3366" ht="14.25" customHeight="1">
      <c r="A3366" s="8" t="s">
        <v>6375</v>
      </c>
      <c r="B3366" s="8">
        <v>7.0</v>
      </c>
      <c r="F3366" s="4"/>
      <c r="G3366" s="4"/>
      <c r="H3366" s="4"/>
      <c r="I3366" s="15"/>
      <c r="J3366" s="4"/>
    </row>
    <row r="3367" ht="14.25" customHeight="1">
      <c r="A3367" s="8" t="s">
        <v>16</v>
      </c>
      <c r="B3367" s="8">
        <v>6.5</v>
      </c>
      <c r="F3367" s="4"/>
      <c r="G3367" s="4"/>
      <c r="H3367" s="4"/>
      <c r="I3367" s="15"/>
      <c r="J3367" s="4"/>
    </row>
    <row r="3368" ht="14.25" customHeight="1">
      <c r="A3368" s="8" t="s">
        <v>16</v>
      </c>
      <c r="B3368" s="8">
        <v>5.7</v>
      </c>
      <c r="F3368" s="4"/>
      <c r="G3368" s="4"/>
      <c r="H3368" s="4"/>
      <c r="I3368" s="15"/>
      <c r="J3368" s="4"/>
    </row>
    <row r="3369" ht="14.25" customHeight="1">
      <c r="A3369" s="8" t="s">
        <v>16</v>
      </c>
      <c r="B3369" s="8">
        <v>6.4</v>
      </c>
      <c r="F3369" s="4"/>
      <c r="G3369" s="4"/>
      <c r="H3369" s="4"/>
      <c r="I3369" s="15"/>
      <c r="J3369" s="4"/>
    </row>
    <row r="3370" ht="14.25" customHeight="1">
      <c r="A3370" s="8" t="s">
        <v>16</v>
      </c>
      <c r="B3370" s="8">
        <v>5.3</v>
      </c>
      <c r="F3370" s="4"/>
      <c r="G3370" s="4"/>
      <c r="H3370" s="4"/>
      <c r="I3370" s="15"/>
      <c r="J3370" s="4"/>
    </row>
    <row r="3371" ht="14.25" customHeight="1">
      <c r="A3371" s="8" t="s">
        <v>16</v>
      </c>
      <c r="B3371" s="8">
        <v>4.7</v>
      </c>
      <c r="F3371" s="4"/>
      <c r="G3371" s="4"/>
      <c r="H3371" s="4"/>
      <c r="I3371" s="15"/>
      <c r="J3371" s="4"/>
    </row>
    <row r="3372" ht="14.25" customHeight="1">
      <c r="A3372" s="8" t="s">
        <v>16</v>
      </c>
      <c r="B3372" s="8">
        <v>7.0</v>
      </c>
      <c r="F3372" s="4"/>
      <c r="G3372" s="4"/>
      <c r="H3372" s="4"/>
      <c r="I3372" s="15"/>
      <c r="J3372" s="4"/>
    </row>
    <row r="3373" ht="14.25" customHeight="1">
      <c r="A3373" s="8" t="s">
        <v>1189</v>
      </c>
      <c r="B3373" s="8">
        <v>7.6</v>
      </c>
      <c r="F3373" s="4"/>
      <c r="G3373" s="4"/>
      <c r="H3373" s="4"/>
      <c r="I3373" s="15"/>
      <c r="J3373" s="4"/>
    </row>
    <row r="3374" ht="14.25" customHeight="1">
      <c r="A3374" s="8" t="s">
        <v>16</v>
      </c>
      <c r="B3374" s="8">
        <v>7.1</v>
      </c>
      <c r="F3374" s="4"/>
      <c r="G3374" s="4"/>
      <c r="H3374" s="4"/>
      <c r="I3374" s="15"/>
      <c r="J3374" s="4"/>
    </row>
    <row r="3375" ht="14.25" customHeight="1">
      <c r="A3375" s="8" t="s">
        <v>16</v>
      </c>
      <c r="B3375" s="8">
        <v>6.5</v>
      </c>
      <c r="F3375" s="4"/>
      <c r="G3375" s="4"/>
      <c r="H3375" s="4"/>
      <c r="I3375" s="15"/>
      <c r="J3375" s="4"/>
    </row>
    <row r="3376" ht="14.25" customHeight="1">
      <c r="A3376" s="8" t="s">
        <v>16</v>
      </c>
      <c r="B3376" s="8">
        <v>8.5</v>
      </c>
      <c r="F3376" s="4"/>
      <c r="G3376" s="4"/>
      <c r="H3376" s="4"/>
      <c r="I3376" s="15"/>
      <c r="J3376" s="4"/>
    </row>
    <row r="3377" ht="14.25" customHeight="1">
      <c r="A3377" s="8" t="s">
        <v>6182</v>
      </c>
      <c r="B3377" s="8">
        <v>8.7</v>
      </c>
      <c r="F3377" s="4"/>
      <c r="G3377" s="4"/>
      <c r="H3377" s="4"/>
      <c r="I3377" s="15"/>
      <c r="J3377" s="4"/>
    </row>
    <row r="3378" ht="14.25" customHeight="1">
      <c r="A3378" s="8" t="s">
        <v>16</v>
      </c>
      <c r="B3378" s="8">
        <v>7.1</v>
      </c>
      <c r="F3378" s="4"/>
      <c r="G3378" s="4"/>
      <c r="H3378" s="4"/>
      <c r="I3378" s="15"/>
      <c r="J3378" s="4"/>
    </row>
    <row r="3379" ht="14.25" customHeight="1">
      <c r="A3379" s="8" t="s">
        <v>5892</v>
      </c>
      <c r="B3379" s="8">
        <v>8.3</v>
      </c>
      <c r="F3379" s="4"/>
      <c r="G3379" s="4"/>
      <c r="H3379" s="4"/>
      <c r="I3379" s="15"/>
      <c r="J3379" s="4"/>
    </row>
    <row r="3380" ht="14.25" customHeight="1">
      <c r="A3380" s="8" t="s">
        <v>16</v>
      </c>
      <c r="B3380" s="8">
        <v>7.4</v>
      </c>
      <c r="F3380" s="4"/>
      <c r="G3380" s="4"/>
      <c r="H3380" s="4"/>
      <c r="I3380" s="15"/>
      <c r="J3380" s="4"/>
    </row>
    <row r="3381" ht="14.25" customHeight="1">
      <c r="A3381" s="8" t="s">
        <v>16</v>
      </c>
      <c r="B3381" s="8">
        <v>6.4</v>
      </c>
      <c r="F3381" s="4"/>
      <c r="G3381" s="4"/>
      <c r="H3381" s="4"/>
      <c r="I3381" s="15"/>
      <c r="J3381" s="4"/>
    </row>
    <row r="3382" ht="14.25" customHeight="1">
      <c r="A3382" s="8" t="s">
        <v>1144</v>
      </c>
      <c r="B3382" s="8">
        <v>7.5</v>
      </c>
      <c r="F3382" s="4"/>
      <c r="G3382" s="4"/>
      <c r="H3382" s="4"/>
      <c r="I3382" s="15"/>
      <c r="J3382" s="4"/>
    </row>
    <row r="3383" ht="14.25" customHeight="1">
      <c r="A3383" s="8" t="s">
        <v>16</v>
      </c>
      <c r="B3383" s="8">
        <v>7.2</v>
      </c>
      <c r="F3383" s="4"/>
      <c r="G3383" s="4"/>
      <c r="H3383" s="4"/>
      <c r="I3383" s="15"/>
      <c r="J3383" s="4"/>
    </row>
    <row r="3384" ht="14.25" customHeight="1">
      <c r="A3384" s="8" t="s">
        <v>16</v>
      </c>
      <c r="B3384" s="8">
        <v>7.6</v>
      </c>
      <c r="F3384" s="4"/>
      <c r="G3384" s="4"/>
      <c r="H3384" s="4"/>
      <c r="I3384" s="15"/>
      <c r="J3384" s="4"/>
    </row>
    <row r="3385" ht="14.25" customHeight="1">
      <c r="A3385" s="8" t="s">
        <v>16</v>
      </c>
      <c r="B3385" s="8">
        <v>7.8</v>
      </c>
      <c r="F3385" s="4"/>
      <c r="G3385" s="4"/>
      <c r="H3385" s="4"/>
      <c r="I3385" s="15"/>
      <c r="J3385" s="4"/>
    </row>
    <row r="3386" ht="14.25" customHeight="1">
      <c r="A3386" s="8" t="s">
        <v>16</v>
      </c>
      <c r="B3386" s="8">
        <v>8.2</v>
      </c>
      <c r="F3386" s="4"/>
      <c r="G3386" s="4"/>
      <c r="H3386" s="4"/>
      <c r="I3386" s="15"/>
      <c r="J3386" s="4"/>
    </row>
    <row r="3387" ht="14.25" customHeight="1">
      <c r="A3387" s="8" t="s">
        <v>16</v>
      </c>
      <c r="B3387" s="8">
        <v>6.6</v>
      </c>
      <c r="F3387" s="4"/>
      <c r="G3387" s="4"/>
      <c r="H3387" s="4"/>
      <c r="I3387" s="15"/>
      <c r="J3387" s="4"/>
    </row>
    <row r="3388" ht="14.25" customHeight="1">
      <c r="A3388" s="8" t="s">
        <v>16</v>
      </c>
      <c r="B3388" s="8">
        <v>5.7</v>
      </c>
      <c r="F3388" s="4"/>
      <c r="G3388" s="4"/>
      <c r="H3388" s="4"/>
      <c r="I3388" s="15"/>
      <c r="J3388" s="4"/>
    </row>
    <row r="3389" ht="14.25" customHeight="1">
      <c r="A3389" s="8" t="s">
        <v>16</v>
      </c>
      <c r="B3389" s="8">
        <v>7.4</v>
      </c>
      <c r="F3389" s="4"/>
      <c r="G3389" s="4"/>
      <c r="H3389" s="4"/>
      <c r="I3389" s="15"/>
      <c r="J3389" s="4"/>
    </row>
    <row r="3390" ht="14.25" customHeight="1">
      <c r="A3390" s="8" t="s">
        <v>16</v>
      </c>
      <c r="B3390" s="8">
        <v>8.0</v>
      </c>
      <c r="F3390" s="4"/>
      <c r="G3390" s="4"/>
      <c r="H3390" s="4"/>
      <c r="I3390" s="15"/>
      <c r="J3390" s="4"/>
    </row>
    <row r="3391" ht="14.25" customHeight="1">
      <c r="A3391" s="8" t="s">
        <v>16</v>
      </c>
      <c r="B3391" s="8">
        <v>5.4</v>
      </c>
      <c r="F3391" s="4"/>
      <c r="G3391" s="4"/>
      <c r="H3391" s="4"/>
      <c r="I3391" s="15"/>
      <c r="J3391" s="4"/>
    </row>
    <row r="3392" ht="14.25" customHeight="1">
      <c r="A3392" s="8" t="s">
        <v>16</v>
      </c>
      <c r="B3392" s="8">
        <v>7.4</v>
      </c>
      <c r="F3392" s="4"/>
      <c r="G3392" s="4"/>
      <c r="H3392" s="4"/>
      <c r="I3392" s="15"/>
      <c r="J3392" s="4"/>
    </row>
    <row r="3393" ht="14.25" customHeight="1">
      <c r="A3393" s="8" t="s">
        <v>16</v>
      </c>
      <c r="B3393" s="8">
        <v>5.7</v>
      </c>
      <c r="F3393" s="4"/>
      <c r="G3393" s="4"/>
      <c r="H3393" s="4"/>
      <c r="I3393" s="15"/>
      <c r="J3393" s="4"/>
    </row>
    <row r="3394" ht="14.25" customHeight="1">
      <c r="A3394" s="8" t="s">
        <v>16</v>
      </c>
      <c r="B3394" s="8">
        <v>6.8</v>
      </c>
      <c r="F3394" s="4"/>
      <c r="G3394" s="4"/>
      <c r="H3394" s="4"/>
      <c r="I3394" s="15"/>
      <c r="J3394" s="4"/>
    </row>
    <row r="3395" ht="14.25" customHeight="1">
      <c r="A3395" s="8" t="s">
        <v>16</v>
      </c>
      <c r="B3395" s="8">
        <v>5.4</v>
      </c>
      <c r="F3395" s="4"/>
      <c r="G3395" s="4"/>
      <c r="H3395" s="4"/>
      <c r="I3395" s="15"/>
      <c r="J3395" s="4"/>
    </row>
    <row r="3396" ht="14.25" customHeight="1">
      <c r="A3396" s="8" t="s">
        <v>16</v>
      </c>
      <c r="B3396" s="8">
        <v>5.1</v>
      </c>
      <c r="F3396" s="4"/>
      <c r="G3396" s="4"/>
      <c r="H3396" s="4"/>
      <c r="I3396" s="15"/>
      <c r="J3396" s="4"/>
    </row>
    <row r="3397" ht="14.25" customHeight="1">
      <c r="A3397" s="8" t="s">
        <v>16</v>
      </c>
      <c r="B3397" s="8">
        <v>5.9</v>
      </c>
      <c r="F3397" s="4"/>
      <c r="G3397" s="4"/>
      <c r="H3397" s="4"/>
      <c r="I3397" s="15"/>
      <c r="J3397" s="4"/>
    </row>
    <row r="3398" ht="14.25" customHeight="1">
      <c r="A3398" s="8" t="s">
        <v>16</v>
      </c>
      <c r="B3398" s="8">
        <v>8.2</v>
      </c>
      <c r="F3398" s="4"/>
      <c r="G3398" s="4"/>
      <c r="H3398" s="4"/>
      <c r="I3398" s="15"/>
      <c r="J3398" s="4"/>
    </row>
    <row r="3399" ht="14.25" customHeight="1">
      <c r="A3399" s="8" t="s">
        <v>16</v>
      </c>
      <c r="B3399" s="8">
        <v>5.3</v>
      </c>
      <c r="F3399" s="4"/>
      <c r="G3399" s="4"/>
      <c r="H3399" s="4"/>
      <c r="I3399" s="15"/>
      <c r="J3399" s="4"/>
    </row>
    <row r="3400" ht="14.25" customHeight="1">
      <c r="A3400" s="8" t="s">
        <v>16</v>
      </c>
      <c r="B3400" s="8">
        <v>4.3</v>
      </c>
      <c r="F3400" s="4"/>
      <c r="G3400" s="4"/>
      <c r="H3400" s="4"/>
      <c r="I3400" s="15"/>
      <c r="J3400" s="4"/>
    </row>
    <row r="3401" ht="14.25" customHeight="1">
      <c r="A3401" s="8" t="s">
        <v>16</v>
      </c>
      <c r="B3401" s="8">
        <v>7.2</v>
      </c>
      <c r="F3401" s="4"/>
      <c r="G3401" s="4"/>
      <c r="H3401" s="4"/>
      <c r="I3401" s="15"/>
      <c r="J3401" s="4"/>
    </row>
    <row r="3402" ht="14.25" customHeight="1">
      <c r="A3402" s="8" t="s">
        <v>16</v>
      </c>
      <c r="B3402" s="8">
        <v>5.9</v>
      </c>
      <c r="F3402" s="4"/>
      <c r="G3402" s="4"/>
      <c r="H3402" s="4"/>
      <c r="I3402" s="15"/>
      <c r="J3402" s="4"/>
    </row>
    <row r="3403" ht="14.25" customHeight="1">
      <c r="A3403" s="8" t="s">
        <v>16</v>
      </c>
      <c r="B3403" s="8">
        <v>3.0</v>
      </c>
      <c r="F3403" s="4"/>
      <c r="G3403" s="4"/>
      <c r="H3403" s="4"/>
      <c r="I3403" s="15"/>
      <c r="J3403" s="4"/>
    </row>
    <row r="3404" ht="14.25" customHeight="1">
      <c r="A3404" s="8" t="s">
        <v>16</v>
      </c>
      <c r="B3404" s="8">
        <v>7.9</v>
      </c>
      <c r="F3404" s="4"/>
      <c r="G3404" s="4"/>
      <c r="H3404" s="4"/>
      <c r="I3404" s="15"/>
      <c r="J3404" s="4"/>
    </row>
    <row r="3405" ht="14.25" customHeight="1">
      <c r="A3405" s="8" t="s">
        <v>16</v>
      </c>
      <c r="B3405" s="8">
        <v>3.2</v>
      </c>
      <c r="F3405" s="4"/>
      <c r="G3405" s="4"/>
      <c r="H3405" s="4"/>
      <c r="I3405" s="15"/>
      <c r="J3405" s="4"/>
    </row>
    <row r="3406" ht="14.25" customHeight="1">
      <c r="A3406" s="8" t="s">
        <v>16</v>
      </c>
      <c r="B3406" s="8">
        <v>6.5</v>
      </c>
      <c r="F3406" s="4"/>
      <c r="G3406" s="4"/>
      <c r="H3406" s="4"/>
      <c r="I3406" s="15"/>
      <c r="J3406" s="4"/>
    </row>
    <row r="3407" ht="14.25" customHeight="1">
      <c r="A3407" s="8" t="s">
        <v>16</v>
      </c>
      <c r="B3407" s="8">
        <v>7.0</v>
      </c>
      <c r="F3407" s="4"/>
      <c r="G3407" s="4"/>
      <c r="H3407" s="4"/>
      <c r="I3407" s="15"/>
      <c r="J3407" s="4"/>
    </row>
    <row r="3408" ht="14.25" customHeight="1">
      <c r="A3408" s="8" t="s">
        <v>16</v>
      </c>
      <c r="B3408" s="8">
        <v>6.9</v>
      </c>
      <c r="F3408" s="4"/>
      <c r="G3408" s="4"/>
      <c r="H3408" s="4"/>
      <c r="I3408" s="15"/>
      <c r="J3408" s="4"/>
    </row>
    <row r="3409" ht="14.25" customHeight="1">
      <c r="A3409" s="8" t="s">
        <v>16</v>
      </c>
      <c r="B3409" s="8">
        <v>4.4</v>
      </c>
      <c r="F3409" s="4"/>
      <c r="G3409" s="4"/>
      <c r="H3409" s="4"/>
      <c r="I3409" s="15"/>
      <c r="J3409" s="4"/>
    </row>
    <row r="3410" ht="14.25" customHeight="1">
      <c r="A3410" s="8" t="s">
        <v>16</v>
      </c>
      <c r="B3410" s="8">
        <v>6.0</v>
      </c>
      <c r="F3410" s="4"/>
      <c r="G3410" s="4"/>
      <c r="H3410" s="4"/>
      <c r="I3410" s="15"/>
      <c r="J3410" s="4"/>
    </row>
    <row r="3411" ht="14.25" customHeight="1">
      <c r="A3411" s="8" t="s">
        <v>16</v>
      </c>
      <c r="B3411" s="8">
        <v>5.3</v>
      </c>
      <c r="F3411" s="4"/>
      <c r="G3411" s="4"/>
      <c r="H3411" s="4"/>
      <c r="I3411" s="15"/>
      <c r="J3411" s="4"/>
    </row>
    <row r="3412" ht="14.25" customHeight="1">
      <c r="A3412" s="8" t="s">
        <v>16</v>
      </c>
      <c r="B3412" s="8">
        <v>5.3</v>
      </c>
      <c r="F3412" s="4"/>
      <c r="G3412" s="4"/>
      <c r="H3412" s="4"/>
      <c r="I3412" s="15"/>
      <c r="J3412" s="4"/>
    </row>
    <row r="3413" ht="14.25" customHeight="1">
      <c r="A3413" s="8" t="s">
        <v>16</v>
      </c>
      <c r="B3413" s="8">
        <v>7.1</v>
      </c>
      <c r="F3413" s="4"/>
      <c r="G3413" s="4"/>
      <c r="H3413" s="4"/>
      <c r="I3413" s="15"/>
      <c r="J3413" s="4"/>
    </row>
    <row r="3414" ht="14.25" customHeight="1">
      <c r="A3414" s="8" t="s">
        <v>16</v>
      </c>
      <c r="B3414" s="8">
        <v>5.4</v>
      </c>
      <c r="F3414" s="4"/>
      <c r="G3414" s="4"/>
      <c r="H3414" s="4"/>
      <c r="I3414" s="15"/>
      <c r="J3414" s="4"/>
    </row>
    <row r="3415" ht="14.25" customHeight="1">
      <c r="A3415" s="8" t="s">
        <v>16</v>
      </c>
      <c r="B3415" s="8">
        <v>6.9</v>
      </c>
      <c r="F3415" s="4"/>
      <c r="G3415" s="4"/>
      <c r="H3415" s="4"/>
      <c r="I3415" s="15"/>
      <c r="J3415" s="4"/>
    </row>
    <row r="3416" ht="14.25" customHeight="1">
      <c r="A3416" s="8" t="s">
        <v>6846</v>
      </c>
      <c r="B3416" s="8">
        <v>7.3</v>
      </c>
      <c r="F3416" s="4"/>
      <c r="G3416" s="4"/>
      <c r="H3416" s="4"/>
      <c r="I3416" s="15"/>
      <c r="J3416" s="4"/>
    </row>
    <row r="3417" ht="14.25" customHeight="1">
      <c r="A3417" s="8" t="s">
        <v>16</v>
      </c>
      <c r="B3417" s="8">
        <v>7.8</v>
      </c>
      <c r="F3417" s="4"/>
      <c r="G3417" s="4"/>
      <c r="H3417" s="4"/>
      <c r="I3417" s="15"/>
      <c r="J3417" s="4"/>
    </row>
    <row r="3418" ht="14.25" customHeight="1">
      <c r="A3418" s="8" t="s">
        <v>16</v>
      </c>
      <c r="B3418" s="8">
        <v>6.6</v>
      </c>
      <c r="F3418" s="4"/>
      <c r="G3418" s="4"/>
      <c r="H3418" s="4"/>
      <c r="I3418" s="15"/>
      <c r="J3418" s="4"/>
    </row>
    <row r="3419" ht="14.25" customHeight="1">
      <c r="A3419" s="8" t="s">
        <v>16</v>
      </c>
      <c r="B3419" s="8">
        <v>5.4</v>
      </c>
      <c r="F3419" s="4"/>
      <c r="G3419" s="4"/>
      <c r="H3419" s="4"/>
      <c r="I3419" s="15"/>
      <c r="J3419" s="4"/>
    </row>
    <row r="3420" ht="14.25" customHeight="1">
      <c r="A3420" s="8" t="s">
        <v>5316</v>
      </c>
      <c r="B3420" s="8">
        <v>8.4</v>
      </c>
      <c r="F3420" s="4"/>
      <c r="G3420" s="4"/>
      <c r="H3420" s="4"/>
      <c r="I3420" s="15"/>
      <c r="J3420" s="4"/>
    </row>
    <row r="3421" ht="14.25" customHeight="1">
      <c r="A3421" s="8" t="s">
        <v>16</v>
      </c>
      <c r="B3421" s="8">
        <v>6.3</v>
      </c>
      <c r="F3421" s="4"/>
      <c r="G3421" s="4"/>
      <c r="H3421" s="4"/>
      <c r="I3421" s="15"/>
      <c r="J3421" s="4"/>
    </row>
    <row r="3422" ht="14.25" customHeight="1">
      <c r="A3422" s="8" t="s">
        <v>16</v>
      </c>
      <c r="B3422" s="8">
        <v>6.1</v>
      </c>
      <c r="F3422" s="4"/>
      <c r="G3422" s="4"/>
      <c r="H3422" s="4"/>
      <c r="I3422" s="15"/>
      <c r="J3422" s="4"/>
    </row>
    <row r="3423" ht="14.25" customHeight="1">
      <c r="A3423" s="8" t="s">
        <v>16</v>
      </c>
      <c r="B3423" s="8">
        <v>5.0</v>
      </c>
      <c r="F3423" s="4"/>
      <c r="G3423" s="4"/>
      <c r="H3423" s="4"/>
      <c r="I3423" s="15"/>
      <c r="J3423" s="4"/>
    </row>
    <row r="3424" ht="14.25" customHeight="1">
      <c r="A3424" s="8" t="s">
        <v>16</v>
      </c>
      <c r="B3424" s="8">
        <v>5.3</v>
      </c>
      <c r="F3424" s="4"/>
      <c r="G3424" s="4"/>
      <c r="H3424" s="4"/>
      <c r="I3424" s="15"/>
      <c r="J3424" s="4"/>
    </row>
    <row r="3425" ht="14.25" customHeight="1">
      <c r="A3425" s="8" t="s">
        <v>16</v>
      </c>
      <c r="B3425" s="8">
        <v>5.3</v>
      </c>
      <c r="F3425" s="4"/>
      <c r="G3425" s="4"/>
      <c r="H3425" s="4"/>
      <c r="I3425" s="15"/>
      <c r="J3425" s="4"/>
    </row>
    <row r="3426" ht="14.25" customHeight="1">
      <c r="A3426" s="8" t="s">
        <v>16</v>
      </c>
      <c r="B3426" s="8">
        <v>6.0</v>
      </c>
      <c r="F3426" s="4"/>
      <c r="G3426" s="4"/>
      <c r="H3426" s="4"/>
      <c r="I3426" s="15"/>
      <c r="J3426" s="4"/>
    </row>
    <row r="3427" ht="14.25" customHeight="1">
      <c r="A3427" s="8" t="s">
        <v>4449</v>
      </c>
      <c r="B3427" s="8">
        <v>7.4</v>
      </c>
      <c r="F3427" s="4"/>
      <c r="G3427" s="4"/>
      <c r="H3427" s="4"/>
      <c r="I3427" s="15"/>
      <c r="J3427" s="4"/>
    </row>
    <row r="3428" ht="14.25" customHeight="1">
      <c r="A3428" s="8" t="s">
        <v>16</v>
      </c>
      <c r="B3428" s="8">
        <v>5.9</v>
      </c>
      <c r="F3428" s="4"/>
      <c r="G3428" s="4"/>
      <c r="H3428" s="4"/>
      <c r="I3428" s="15"/>
      <c r="J3428" s="4"/>
    </row>
    <row r="3429" ht="14.25" customHeight="1">
      <c r="A3429" s="8" t="s">
        <v>16</v>
      </c>
      <c r="B3429" s="8">
        <v>4.1</v>
      </c>
      <c r="F3429" s="4"/>
      <c r="G3429" s="4"/>
      <c r="H3429" s="4"/>
      <c r="I3429" s="15"/>
      <c r="J3429" s="4"/>
    </row>
    <row r="3430" ht="14.25" customHeight="1">
      <c r="A3430" s="8" t="s">
        <v>16</v>
      </c>
      <c r="B3430" s="8">
        <v>6.7</v>
      </c>
      <c r="F3430" s="4"/>
      <c r="G3430" s="4"/>
      <c r="H3430" s="4"/>
      <c r="I3430" s="15"/>
      <c r="J3430" s="4"/>
    </row>
    <row r="3431" ht="14.25" customHeight="1">
      <c r="A3431" s="8" t="s">
        <v>16</v>
      </c>
      <c r="B3431" s="8">
        <v>5.8</v>
      </c>
      <c r="F3431" s="4"/>
      <c r="G3431" s="4"/>
      <c r="H3431" s="4"/>
      <c r="I3431" s="15"/>
      <c r="J3431" s="4"/>
    </row>
    <row r="3432" ht="14.25" customHeight="1">
      <c r="A3432" s="8" t="s">
        <v>16</v>
      </c>
      <c r="B3432" s="8">
        <v>6.5</v>
      </c>
      <c r="F3432" s="4"/>
      <c r="G3432" s="4"/>
      <c r="H3432" s="4"/>
      <c r="I3432" s="15"/>
      <c r="J3432" s="4"/>
    </row>
    <row r="3433" ht="14.25" customHeight="1">
      <c r="A3433" s="8" t="s">
        <v>16</v>
      </c>
      <c r="B3433" s="8">
        <v>5.9</v>
      </c>
      <c r="F3433" s="4"/>
      <c r="G3433" s="4"/>
      <c r="H3433" s="4"/>
      <c r="I3433" s="15"/>
      <c r="J3433" s="4"/>
    </row>
    <row r="3434" ht="14.25" customHeight="1">
      <c r="A3434" s="8" t="s">
        <v>16</v>
      </c>
      <c r="B3434" s="8">
        <v>7.0</v>
      </c>
      <c r="F3434" s="4"/>
      <c r="G3434" s="4"/>
      <c r="H3434" s="4"/>
      <c r="I3434" s="15"/>
      <c r="J3434" s="4"/>
    </row>
    <row r="3435" ht="14.25" customHeight="1">
      <c r="A3435" s="8" t="s">
        <v>6182</v>
      </c>
      <c r="B3435" s="8">
        <v>8.0</v>
      </c>
      <c r="F3435" s="4"/>
      <c r="G3435" s="4"/>
      <c r="H3435" s="4"/>
      <c r="I3435" s="15"/>
      <c r="J3435" s="4"/>
    </row>
    <row r="3436" ht="14.25" customHeight="1">
      <c r="A3436" s="8" t="s">
        <v>16</v>
      </c>
      <c r="B3436" s="8">
        <v>6.5</v>
      </c>
      <c r="F3436" s="4"/>
      <c r="G3436" s="4"/>
      <c r="H3436" s="4"/>
      <c r="I3436" s="15"/>
      <c r="J3436" s="4"/>
    </row>
    <row r="3437" ht="14.25" customHeight="1">
      <c r="A3437" s="8" t="s">
        <v>16</v>
      </c>
      <c r="B3437" s="8">
        <v>6.4</v>
      </c>
      <c r="F3437" s="4"/>
      <c r="G3437" s="4"/>
      <c r="H3437" s="4"/>
      <c r="I3437" s="15"/>
      <c r="J3437" s="4"/>
    </row>
    <row r="3438" ht="14.25" customHeight="1">
      <c r="A3438" s="8" t="s">
        <v>1189</v>
      </c>
      <c r="B3438" s="8">
        <v>6.8</v>
      </c>
      <c r="F3438" s="4"/>
      <c r="G3438" s="4"/>
      <c r="H3438" s="4"/>
      <c r="I3438" s="15"/>
      <c r="J3438" s="4"/>
    </row>
    <row r="3439" ht="14.25" customHeight="1">
      <c r="A3439" s="8" t="s">
        <v>16</v>
      </c>
      <c r="B3439" s="8">
        <v>7.4</v>
      </c>
      <c r="F3439" s="4"/>
      <c r="G3439" s="4"/>
      <c r="H3439" s="4"/>
      <c r="I3439" s="15"/>
      <c r="J3439" s="4"/>
    </row>
    <row r="3440" ht="14.25" customHeight="1">
      <c r="A3440" s="8" t="s">
        <v>16</v>
      </c>
      <c r="B3440" s="8">
        <v>8.3</v>
      </c>
      <c r="F3440" s="4"/>
      <c r="G3440" s="4"/>
      <c r="H3440" s="4"/>
      <c r="I3440" s="15"/>
      <c r="J3440" s="4"/>
    </row>
    <row r="3441" ht="14.25" customHeight="1">
      <c r="A3441" s="8" t="s">
        <v>16</v>
      </c>
      <c r="B3441" s="8">
        <v>5.3</v>
      </c>
      <c r="F3441" s="4"/>
      <c r="G3441" s="4"/>
      <c r="H3441" s="4"/>
      <c r="I3441" s="15"/>
      <c r="J3441" s="4"/>
    </row>
    <row r="3442" ht="14.25" customHeight="1">
      <c r="A3442" s="8" t="s">
        <v>16</v>
      </c>
      <c r="B3442" s="8">
        <v>8.1</v>
      </c>
      <c r="F3442" s="4"/>
      <c r="G3442" s="4"/>
      <c r="H3442" s="4"/>
      <c r="I3442" s="15"/>
      <c r="J3442" s="4"/>
    </row>
    <row r="3443" ht="14.25" customHeight="1">
      <c r="A3443" s="8" t="s">
        <v>16</v>
      </c>
      <c r="B3443" s="8">
        <v>8.0</v>
      </c>
      <c r="F3443" s="4"/>
      <c r="G3443" s="4"/>
      <c r="H3443" s="4"/>
      <c r="I3443" s="15"/>
      <c r="J3443" s="4"/>
    </row>
    <row r="3444" ht="14.25" customHeight="1">
      <c r="A3444" s="8" t="s">
        <v>16</v>
      </c>
      <c r="B3444" s="8">
        <v>5.7</v>
      </c>
      <c r="F3444" s="4"/>
      <c r="G3444" s="4"/>
      <c r="H3444" s="4"/>
      <c r="I3444" s="15"/>
      <c r="J3444" s="4"/>
    </row>
    <row r="3445" ht="14.25" customHeight="1">
      <c r="A3445" s="8" t="s">
        <v>16</v>
      </c>
      <c r="B3445" s="8">
        <v>7.1</v>
      </c>
      <c r="F3445" s="4"/>
      <c r="G3445" s="4"/>
      <c r="H3445" s="4"/>
      <c r="I3445" s="15"/>
      <c r="J3445" s="4"/>
    </row>
    <row r="3446" ht="14.25" customHeight="1">
      <c r="A3446" s="8" t="s">
        <v>16</v>
      </c>
      <c r="B3446" s="8">
        <v>7.8</v>
      </c>
      <c r="F3446" s="4"/>
      <c r="G3446" s="4"/>
      <c r="H3446" s="4"/>
      <c r="I3446" s="15"/>
      <c r="J3446" s="4"/>
    </row>
    <row r="3447" ht="14.25" customHeight="1">
      <c r="A3447" s="8" t="s">
        <v>16</v>
      </c>
      <c r="B3447" s="8">
        <v>5.9</v>
      </c>
      <c r="F3447" s="4"/>
      <c r="G3447" s="4"/>
      <c r="H3447" s="4"/>
      <c r="I3447" s="15"/>
      <c r="J3447" s="4"/>
    </row>
    <row r="3448" ht="14.25" customHeight="1">
      <c r="A3448" s="8" t="s">
        <v>16</v>
      </c>
      <c r="B3448" s="8">
        <v>7.8</v>
      </c>
      <c r="F3448" s="4"/>
      <c r="G3448" s="4"/>
      <c r="H3448" s="4"/>
      <c r="I3448" s="15"/>
      <c r="J3448" s="4"/>
    </row>
    <row r="3449" ht="14.25" customHeight="1">
      <c r="A3449" s="8" t="s">
        <v>16</v>
      </c>
      <c r="B3449" s="8">
        <v>6.0</v>
      </c>
      <c r="F3449" s="4"/>
      <c r="G3449" s="4"/>
      <c r="H3449" s="4"/>
      <c r="I3449" s="15"/>
      <c r="J3449" s="4"/>
    </row>
    <row r="3450" ht="14.25" customHeight="1">
      <c r="A3450" s="8" t="s">
        <v>16</v>
      </c>
      <c r="B3450" s="8">
        <v>5.3</v>
      </c>
      <c r="F3450" s="4"/>
      <c r="G3450" s="4"/>
      <c r="H3450" s="4"/>
      <c r="I3450" s="15"/>
      <c r="J3450" s="4"/>
    </row>
    <row r="3451" ht="14.25" customHeight="1">
      <c r="A3451" s="8" t="s">
        <v>1144</v>
      </c>
      <c r="B3451" s="8">
        <v>7.2</v>
      </c>
      <c r="F3451" s="4"/>
      <c r="G3451" s="4"/>
      <c r="H3451" s="4"/>
      <c r="I3451" s="15"/>
      <c r="J3451" s="4"/>
    </row>
    <row r="3452" ht="14.25" customHeight="1">
      <c r="A3452" s="8" t="s">
        <v>16</v>
      </c>
      <c r="B3452" s="8">
        <v>5.1</v>
      </c>
      <c r="F3452" s="4"/>
      <c r="G3452" s="4"/>
      <c r="H3452" s="4"/>
      <c r="I3452" s="15"/>
      <c r="J3452" s="4"/>
    </row>
    <row r="3453" ht="14.25" customHeight="1">
      <c r="A3453" s="8" t="s">
        <v>16</v>
      </c>
      <c r="B3453" s="8">
        <v>5.1</v>
      </c>
      <c r="F3453" s="4"/>
      <c r="G3453" s="4"/>
      <c r="H3453" s="4"/>
      <c r="I3453" s="15"/>
      <c r="J3453" s="4"/>
    </row>
    <row r="3454" ht="14.25" customHeight="1">
      <c r="A3454" s="8" t="s">
        <v>16</v>
      </c>
      <c r="B3454" s="8">
        <v>6.9</v>
      </c>
      <c r="F3454" s="4"/>
      <c r="G3454" s="4"/>
      <c r="H3454" s="4"/>
      <c r="I3454" s="15"/>
      <c r="J3454" s="4"/>
    </row>
    <row r="3455" ht="14.25" customHeight="1">
      <c r="A3455" s="8" t="s">
        <v>16</v>
      </c>
      <c r="B3455" s="8">
        <v>4.6</v>
      </c>
      <c r="F3455" s="4"/>
      <c r="G3455" s="4"/>
      <c r="H3455" s="4"/>
      <c r="I3455" s="15"/>
      <c r="J3455" s="4"/>
    </row>
    <row r="3456" ht="14.25" customHeight="1">
      <c r="A3456" s="8" t="s">
        <v>16</v>
      </c>
      <c r="B3456" s="8">
        <v>6.7</v>
      </c>
      <c r="F3456" s="4"/>
      <c r="G3456" s="4"/>
      <c r="H3456" s="4"/>
      <c r="I3456" s="15"/>
      <c r="J3456" s="4"/>
    </row>
    <row r="3457" ht="14.25" customHeight="1">
      <c r="A3457" s="8" t="s">
        <v>16</v>
      </c>
      <c r="B3457" s="8">
        <v>7.1</v>
      </c>
      <c r="F3457" s="4"/>
      <c r="G3457" s="4"/>
      <c r="H3457" s="4"/>
      <c r="I3457" s="15"/>
      <c r="J3457" s="4"/>
    </row>
    <row r="3458" ht="14.25" customHeight="1">
      <c r="A3458" s="8" t="s">
        <v>16</v>
      </c>
      <c r="B3458" s="8">
        <v>7.6</v>
      </c>
      <c r="F3458" s="4"/>
      <c r="G3458" s="4"/>
      <c r="H3458" s="4"/>
      <c r="I3458" s="15"/>
      <c r="J3458" s="4"/>
    </row>
    <row r="3459" ht="14.25" customHeight="1">
      <c r="A3459" s="8" t="s">
        <v>16</v>
      </c>
      <c r="B3459" s="8">
        <v>8.1</v>
      </c>
      <c r="F3459" s="4"/>
      <c r="G3459" s="4"/>
      <c r="H3459" s="4"/>
      <c r="I3459" s="15"/>
      <c r="J3459" s="4"/>
    </row>
    <row r="3460" ht="14.25" customHeight="1">
      <c r="A3460" s="8" t="s">
        <v>16</v>
      </c>
      <c r="B3460" s="8">
        <v>7.0</v>
      </c>
      <c r="F3460" s="4"/>
      <c r="G3460" s="4"/>
      <c r="H3460" s="4"/>
      <c r="I3460" s="15"/>
      <c r="J3460" s="4"/>
    </row>
    <row r="3461" ht="14.25" customHeight="1">
      <c r="A3461" s="8" t="s">
        <v>16</v>
      </c>
      <c r="B3461" s="8">
        <v>7.1</v>
      </c>
      <c r="F3461" s="4"/>
      <c r="G3461" s="4"/>
      <c r="H3461" s="4"/>
      <c r="I3461" s="15"/>
      <c r="J3461" s="4"/>
    </row>
    <row r="3462" ht="14.25" customHeight="1">
      <c r="A3462" s="8" t="s">
        <v>16</v>
      </c>
      <c r="B3462" s="8">
        <v>7.6</v>
      </c>
      <c r="F3462" s="4"/>
      <c r="G3462" s="4"/>
      <c r="H3462" s="4"/>
      <c r="I3462" s="15"/>
      <c r="J3462" s="4"/>
    </row>
    <row r="3463" ht="14.25" customHeight="1">
      <c r="A3463" s="8" t="s">
        <v>16</v>
      </c>
      <c r="B3463" s="8">
        <v>7.1</v>
      </c>
      <c r="F3463" s="4"/>
      <c r="G3463" s="4"/>
      <c r="H3463" s="4"/>
      <c r="I3463" s="15"/>
      <c r="J3463" s="4"/>
    </row>
    <row r="3464" ht="14.25" customHeight="1">
      <c r="A3464" s="8" t="s">
        <v>16</v>
      </c>
      <c r="B3464" s="8">
        <v>7.1</v>
      </c>
      <c r="F3464" s="4"/>
      <c r="G3464" s="4"/>
      <c r="H3464" s="4"/>
      <c r="I3464" s="15"/>
      <c r="J3464" s="4"/>
    </row>
    <row r="3465" ht="14.25" customHeight="1">
      <c r="A3465" s="8" t="s">
        <v>16</v>
      </c>
      <c r="B3465" s="8">
        <v>7.7</v>
      </c>
      <c r="F3465" s="4"/>
      <c r="G3465" s="4"/>
      <c r="H3465" s="4"/>
      <c r="I3465" s="15"/>
      <c r="J3465" s="4"/>
    </row>
    <row r="3466" ht="14.25" customHeight="1">
      <c r="A3466" s="8" t="s">
        <v>16</v>
      </c>
      <c r="B3466" s="8">
        <v>7.6</v>
      </c>
      <c r="F3466" s="4"/>
      <c r="G3466" s="4"/>
      <c r="H3466" s="4"/>
      <c r="I3466" s="15"/>
      <c r="J3466" s="4"/>
    </row>
    <row r="3467" ht="14.25" customHeight="1">
      <c r="A3467" s="8" t="s">
        <v>16</v>
      </c>
      <c r="B3467" s="8">
        <v>6.6</v>
      </c>
      <c r="F3467" s="4"/>
      <c r="G3467" s="4"/>
      <c r="H3467" s="4"/>
      <c r="I3467" s="15"/>
      <c r="J3467" s="4"/>
    </row>
    <row r="3468" ht="14.25" customHeight="1">
      <c r="A3468" s="8" t="s">
        <v>16</v>
      </c>
      <c r="B3468" s="8">
        <v>6.7</v>
      </c>
      <c r="F3468" s="4"/>
      <c r="G3468" s="4"/>
      <c r="H3468" s="4"/>
      <c r="I3468" s="15"/>
      <c r="J3468" s="4"/>
    </row>
    <row r="3469" ht="14.25" customHeight="1">
      <c r="A3469" s="8" t="s">
        <v>16</v>
      </c>
      <c r="B3469" s="8">
        <v>5.7</v>
      </c>
      <c r="F3469" s="4"/>
      <c r="G3469" s="4"/>
      <c r="H3469" s="4"/>
      <c r="I3469" s="15"/>
      <c r="J3469" s="4"/>
    </row>
    <row r="3470" ht="14.25" customHeight="1">
      <c r="A3470" s="8" t="s">
        <v>16</v>
      </c>
      <c r="B3470" s="8">
        <v>7.1</v>
      </c>
      <c r="F3470" s="4"/>
      <c r="G3470" s="4"/>
      <c r="H3470" s="4"/>
      <c r="I3470" s="15"/>
      <c r="J3470" s="4"/>
    </row>
    <row r="3471" ht="14.25" customHeight="1">
      <c r="A3471" s="8" t="s">
        <v>16</v>
      </c>
      <c r="B3471" s="8">
        <v>6.2</v>
      </c>
      <c r="F3471" s="4"/>
      <c r="G3471" s="4"/>
      <c r="H3471" s="4"/>
      <c r="I3471" s="15"/>
      <c r="J3471" s="4"/>
    </row>
    <row r="3472" ht="14.25" customHeight="1">
      <c r="A3472" s="8" t="s">
        <v>4449</v>
      </c>
      <c r="B3472" s="8">
        <v>6.1</v>
      </c>
      <c r="F3472" s="4"/>
      <c r="G3472" s="4"/>
      <c r="H3472" s="4"/>
      <c r="I3472" s="15"/>
      <c r="J3472" s="4"/>
    </row>
    <row r="3473" ht="14.25" customHeight="1">
      <c r="A3473" s="8" t="s">
        <v>1144</v>
      </c>
      <c r="B3473" s="8">
        <v>5.9</v>
      </c>
      <c r="F3473" s="4"/>
      <c r="G3473" s="4"/>
      <c r="H3473" s="4"/>
      <c r="I3473" s="15"/>
      <c r="J3473" s="4"/>
    </row>
    <row r="3474" ht="14.25" customHeight="1">
      <c r="A3474" s="8" t="s">
        <v>16</v>
      </c>
      <c r="B3474" s="8">
        <v>6.8</v>
      </c>
      <c r="F3474" s="4"/>
      <c r="G3474" s="4"/>
      <c r="H3474" s="4"/>
      <c r="I3474" s="15"/>
      <c r="J3474" s="4"/>
    </row>
    <row r="3475" ht="14.25" customHeight="1">
      <c r="A3475" s="8" t="s">
        <v>16</v>
      </c>
      <c r="B3475" s="8">
        <v>6.8</v>
      </c>
      <c r="F3475" s="4"/>
      <c r="G3475" s="4"/>
      <c r="H3475" s="4"/>
      <c r="I3475" s="15"/>
      <c r="J3475" s="4"/>
    </row>
    <row r="3476" ht="14.25" customHeight="1">
      <c r="A3476" s="8" t="s">
        <v>16</v>
      </c>
      <c r="B3476" s="8">
        <v>5.1</v>
      </c>
      <c r="F3476" s="4"/>
      <c r="G3476" s="4"/>
      <c r="H3476" s="4"/>
      <c r="I3476" s="15"/>
      <c r="J3476" s="4"/>
    </row>
    <row r="3477" ht="14.25" customHeight="1">
      <c r="A3477" s="8" t="s">
        <v>16</v>
      </c>
      <c r="B3477" s="8">
        <v>7.7</v>
      </c>
      <c r="F3477" s="4"/>
      <c r="G3477" s="4"/>
      <c r="H3477" s="4"/>
      <c r="I3477" s="15"/>
      <c r="J3477" s="4"/>
    </row>
    <row r="3478" ht="14.25" customHeight="1">
      <c r="A3478" s="8" t="s">
        <v>16</v>
      </c>
      <c r="B3478" s="8">
        <v>3.9</v>
      </c>
      <c r="F3478" s="4"/>
      <c r="G3478" s="4"/>
      <c r="H3478" s="4"/>
      <c r="I3478" s="15"/>
      <c r="J3478" s="4"/>
    </row>
    <row r="3479" ht="14.25" customHeight="1">
      <c r="A3479" s="8" t="s">
        <v>16</v>
      </c>
      <c r="B3479" s="8">
        <v>7.8</v>
      </c>
      <c r="F3479" s="4"/>
      <c r="G3479" s="4"/>
      <c r="H3479" s="4"/>
      <c r="I3479" s="15"/>
      <c r="J3479" s="4"/>
    </row>
    <row r="3480" ht="14.25" customHeight="1">
      <c r="A3480" s="8" t="s">
        <v>16</v>
      </c>
      <c r="B3480" s="8">
        <v>5.7</v>
      </c>
      <c r="F3480" s="4"/>
      <c r="G3480" s="4"/>
      <c r="H3480" s="4"/>
      <c r="I3480" s="15"/>
      <c r="J3480" s="4"/>
    </row>
    <row r="3481" ht="14.25" customHeight="1">
      <c r="A3481" s="8" t="s">
        <v>16</v>
      </c>
      <c r="B3481" s="8">
        <v>4.7</v>
      </c>
      <c r="F3481" s="4"/>
      <c r="G3481" s="4"/>
      <c r="H3481" s="4"/>
      <c r="I3481" s="15"/>
      <c r="J3481" s="4"/>
    </row>
    <row r="3482" ht="14.25" customHeight="1">
      <c r="A3482" s="8" t="s">
        <v>16</v>
      </c>
      <c r="B3482" s="8">
        <v>5.9</v>
      </c>
      <c r="F3482" s="4"/>
      <c r="G3482" s="4"/>
      <c r="H3482" s="4"/>
      <c r="I3482" s="15"/>
      <c r="J3482" s="4"/>
    </row>
    <row r="3483" ht="14.25" customHeight="1">
      <c r="A3483" s="8" t="s">
        <v>16</v>
      </c>
      <c r="B3483" s="8">
        <v>5.9</v>
      </c>
      <c r="F3483" s="4"/>
      <c r="G3483" s="4"/>
      <c r="H3483" s="4"/>
      <c r="I3483" s="15"/>
      <c r="J3483" s="4"/>
    </row>
    <row r="3484" ht="14.25" customHeight="1">
      <c r="A3484" s="8" t="s">
        <v>16</v>
      </c>
      <c r="B3484" s="8">
        <v>8.1</v>
      </c>
      <c r="F3484" s="4"/>
      <c r="G3484" s="4"/>
      <c r="H3484" s="4"/>
      <c r="I3484" s="15"/>
      <c r="J3484" s="4"/>
    </row>
    <row r="3485" ht="14.25" customHeight="1">
      <c r="A3485" s="8" t="s">
        <v>6375</v>
      </c>
      <c r="B3485" s="8">
        <v>7.6</v>
      </c>
      <c r="F3485" s="4"/>
      <c r="G3485" s="4"/>
      <c r="H3485" s="4"/>
      <c r="I3485" s="15"/>
      <c r="J3485" s="4"/>
    </row>
    <row r="3486" ht="14.25" customHeight="1">
      <c r="A3486" s="8" t="s">
        <v>16</v>
      </c>
      <c r="B3486" s="8">
        <v>7.2</v>
      </c>
      <c r="F3486" s="4"/>
      <c r="G3486" s="4"/>
      <c r="H3486" s="4"/>
      <c r="I3486" s="15"/>
      <c r="J3486" s="4"/>
    </row>
    <row r="3487" ht="14.25" customHeight="1">
      <c r="A3487" s="8" t="s">
        <v>16</v>
      </c>
      <c r="B3487" s="8">
        <v>7.5</v>
      </c>
      <c r="F3487" s="4"/>
      <c r="G3487" s="4"/>
      <c r="H3487" s="4"/>
      <c r="I3487" s="15"/>
      <c r="J3487" s="4"/>
    </row>
    <row r="3488" ht="14.25" customHeight="1">
      <c r="A3488" s="8" t="s">
        <v>16</v>
      </c>
      <c r="B3488" s="8">
        <v>5.1</v>
      </c>
      <c r="F3488" s="4"/>
      <c r="G3488" s="4"/>
      <c r="H3488" s="4"/>
      <c r="I3488" s="15"/>
      <c r="J3488" s="4"/>
    </row>
    <row r="3489" ht="14.25" customHeight="1">
      <c r="A3489" s="8" t="s">
        <v>16</v>
      </c>
      <c r="B3489" s="8">
        <v>6.9</v>
      </c>
      <c r="F3489" s="4"/>
      <c r="G3489" s="4"/>
      <c r="H3489" s="4"/>
      <c r="I3489" s="15"/>
      <c r="J3489" s="4"/>
    </row>
    <row r="3490" ht="14.25" customHeight="1">
      <c r="A3490" s="8" t="s">
        <v>16</v>
      </c>
      <c r="B3490" s="8">
        <v>7.6</v>
      </c>
      <c r="F3490" s="4"/>
      <c r="G3490" s="4"/>
      <c r="H3490" s="4"/>
      <c r="I3490" s="15"/>
      <c r="J3490" s="4"/>
    </row>
    <row r="3491" ht="14.25" customHeight="1">
      <c r="A3491" s="8" t="s">
        <v>2884</v>
      </c>
      <c r="B3491" s="8">
        <v>7.6</v>
      </c>
      <c r="F3491" s="4"/>
      <c r="G3491" s="4"/>
      <c r="H3491" s="4"/>
      <c r="I3491" s="15"/>
      <c r="J3491" s="4"/>
    </row>
    <row r="3492" ht="14.25" customHeight="1">
      <c r="A3492" s="8" t="s">
        <v>16</v>
      </c>
      <c r="B3492" s="8">
        <v>7.6</v>
      </c>
      <c r="F3492" s="4"/>
      <c r="G3492" s="4"/>
      <c r="H3492" s="4"/>
      <c r="I3492" s="15"/>
      <c r="J3492" s="4"/>
    </row>
    <row r="3493" ht="14.25" customHeight="1">
      <c r="A3493" s="8" t="s">
        <v>16</v>
      </c>
      <c r="B3493" s="8">
        <v>5.3</v>
      </c>
      <c r="F3493" s="4"/>
      <c r="G3493" s="4"/>
      <c r="H3493" s="4"/>
      <c r="I3493" s="15"/>
      <c r="J3493" s="4"/>
    </row>
    <row r="3494" ht="14.25" customHeight="1">
      <c r="A3494" s="8" t="s">
        <v>4449</v>
      </c>
      <c r="B3494" s="8">
        <v>8.5</v>
      </c>
      <c r="F3494" s="4"/>
      <c r="G3494" s="4"/>
      <c r="H3494" s="4"/>
      <c r="I3494" s="15"/>
      <c r="J3494" s="4"/>
    </row>
    <row r="3495" ht="14.25" customHeight="1">
      <c r="A3495" s="8" t="s">
        <v>16</v>
      </c>
      <c r="B3495" s="8">
        <v>7.0</v>
      </c>
      <c r="F3495" s="4"/>
      <c r="G3495" s="4"/>
      <c r="H3495" s="4"/>
      <c r="I3495" s="15"/>
      <c r="J3495" s="4"/>
    </row>
    <row r="3496" ht="14.25" customHeight="1">
      <c r="A3496" s="8" t="s">
        <v>1189</v>
      </c>
      <c r="B3496" s="8">
        <v>7.8</v>
      </c>
      <c r="F3496" s="4"/>
      <c r="G3496" s="4"/>
      <c r="H3496" s="4"/>
      <c r="I3496" s="15"/>
      <c r="J3496" s="4"/>
    </row>
    <row r="3497" ht="14.25" customHeight="1">
      <c r="A3497" s="8" t="s">
        <v>16</v>
      </c>
      <c r="B3497" s="8">
        <v>7.2</v>
      </c>
      <c r="F3497" s="4"/>
      <c r="G3497" s="4"/>
      <c r="H3497" s="4"/>
      <c r="I3497" s="15"/>
      <c r="J3497" s="4"/>
    </row>
    <row r="3498" ht="14.25" customHeight="1">
      <c r="A3498" s="8" t="s">
        <v>16</v>
      </c>
      <c r="B3498" s="8">
        <v>8.0</v>
      </c>
      <c r="F3498" s="4"/>
      <c r="G3498" s="4"/>
      <c r="H3498" s="4"/>
      <c r="I3498" s="15"/>
      <c r="J3498" s="4"/>
    </row>
    <row r="3499" ht="14.25" customHeight="1">
      <c r="A3499" s="8" t="s">
        <v>1144</v>
      </c>
      <c r="B3499" s="8">
        <v>8.1</v>
      </c>
      <c r="F3499" s="4"/>
      <c r="G3499" s="4"/>
      <c r="H3499" s="4"/>
      <c r="I3499" s="15"/>
      <c r="J3499" s="4"/>
    </row>
    <row r="3500" ht="14.25" customHeight="1">
      <c r="A3500" s="8" t="s">
        <v>16</v>
      </c>
      <c r="B3500" s="8">
        <v>6.8</v>
      </c>
      <c r="F3500" s="4"/>
      <c r="G3500" s="4"/>
      <c r="H3500" s="4"/>
      <c r="I3500" s="15"/>
      <c r="J3500" s="4"/>
    </row>
    <row r="3501" ht="14.25" customHeight="1">
      <c r="A3501" s="8" t="s">
        <v>16</v>
      </c>
      <c r="B3501" s="8">
        <v>7.2</v>
      </c>
      <c r="F3501" s="4"/>
      <c r="G3501" s="4"/>
      <c r="H3501" s="4"/>
      <c r="I3501" s="15"/>
      <c r="J3501" s="4"/>
    </row>
    <row r="3502" ht="14.25" customHeight="1">
      <c r="A3502" s="8" t="s">
        <v>16</v>
      </c>
      <c r="B3502" s="8">
        <v>7.4</v>
      </c>
      <c r="F3502" s="4"/>
      <c r="G3502" s="4"/>
      <c r="H3502" s="4"/>
      <c r="I3502" s="15"/>
      <c r="J3502" s="4"/>
    </row>
    <row r="3503" ht="14.25" customHeight="1">
      <c r="A3503" s="8" t="s">
        <v>16</v>
      </c>
      <c r="B3503" s="8">
        <v>6.1</v>
      </c>
      <c r="F3503" s="4"/>
      <c r="G3503" s="4"/>
      <c r="H3503" s="4"/>
      <c r="I3503" s="15"/>
      <c r="J3503" s="4"/>
    </row>
    <row r="3504" ht="14.25" customHeight="1">
      <c r="A3504" s="8" t="s">
        <v>16</v>
      </c>
      <c r="B3504" s="8">
        <v>7.0</v>
      </c>
      <c r="F3504" s="4"/>
      <c r="G3504" s="4"/>
      <c r="H3504" s="4"/>
      <c r="I3504" s="15"/>
      <c r="J3504" s="4"/>
    </row>
    <row r="3505" ht="14.25" customHeight="1">
      <c r="A3505" s="8" t="s">
        <v>16</v>
      </c>
      <c r="B3505" s="8">
        <v>5.3</v>
      </c>
      <c r="F3505" s="4"/>
      <c r="G3505" s="4"/>
      <c r="H3505" s="4"/>
      <c r="I3505" s="15"/>
      <c r="J3505" s="4"/>
    </row>
    <row r="3506" ht="14.25" customHeight="1">
      <c r="A3506" s="8" t="s">
        <v>16</v>
      </c>
      <c r="B3506" s="8">
        <v>4.7</v>
      </c>
      <c r="F3506" s="4"/>
      <c r="G3506" s="4"/>
      <c r="H3506" s="4"/>
      <c r="I3506" s="15"/>
      <c r="J3506" s="4"/>
    </row>
    <row r="3507" ht="14.25" customHeight="1">
      <c r="A3507" s="8" t="s">
        <v>16</v>
      </c>
      <c r="B3507" s="8">
        <v>5.7</v>
      </c>
      <c r="F3507" s="4"/>
      <c r="G3507" s="4"/>
      <c r="H3507" s="4"/>
      <c r="I3507" s="15"/>
      <c r="J3507" s="4"/>
    </row>
    <row r="3508" ht="14.25" customHeight="1">
      <c r="A3508" s="8" t="s">
        <v>16</v>
      </c>
      <c r="B3508" s="8">
        <v>6.5</v>
      </c>
      <c r="F3508" s="4"/>
      <c r="G3508" s="4"/>
      <c r="H3508" s="4"/>
      <c r="I3508" s="15"/>
      <c r="J3508" s="4"/>
    </row>
    <row r="3509" ht="14.25" customHeight="1">
      <c r="A3509" s="8" t="s">
        <v>7043</v>
      </c>
      <c r="B3509" s="8">
        <v>8.0</v>
      </c>
      <c r="F3509" s="4"/>
      <c r="G3509" s="4"/>
      <c r="H3509" s="4"/>
      <c r="I3509" s="15"/>
      <c r="J3509" s="4"/>
    </row>
    <row r="3510" ht="14.25" customHeight="1">
      <c r="A3510" s="8" t="s">
        <v>16</v>
      </c>
      <c r="B3510" s="8">
        <v>3.3</v>
      </c>
      <c r="F3510" s="4"/>
      <c r="G3510" s="4"/>
      <c r="H3510" s="4"/>
      <c r="I3510" s="15"/>
      <c r="J3510" s="4"/>
    </row>
    <row r="3511" ht="14.25" customHeight="1">
      <c r="A3511" s="8" t="s">
        <v>16</v>
      </c>
      <c r="B3511" s="8">
        <v>8.3</v>
      </c>
      <c r="F3511" s="4"/>
      <c r="G3511" s="4"/>
      <c r="H3511" s="4"/>
      <c r="I3511" s="15"/>
      <c r="J3511" s="4"/>
    </row>
    <row r="3512" ht="14.25" customHeight="1">
      <c r="A3512" s="8" t="s">
        <v>16</v>
      </c>
      <c r="B3512" s="8">
        <v>6.9</v>
      </c>
      <c r="F3512" s="4"/>
      <c r="G3512" s="4"/>
      <c r="H3512" s="4"/>
      <c r="I3512" s="15"/>
      <c r="J3512" s="4"/>
    </row>
    <row r="3513" ht="14.25" customHeight="1">
      <c r="A3513" s="8" t="s">
        <v>16</v>
      </c>
      <c r="B3513" s="8">
        <v>8.1</v>
      </c>
      <c r="F3513" s="4"/>
      <c r="G3513" s="4"/>
      <c r="H3513" s="4"/>
      <c r="I3513" s="15"/>
      <c r="J3513" s="4"/>
    </row>
    <row r="3514" ht="14.25" customHeight="1">
      <c r="A3514" s="8" t="s">
        <v>16</v>
      </c>
      <c r="B3514" s="8">
        <v>6.8</v>
      </c>
      <c r="F3514" s="4"/>
      <c r="G3514" s="4"/>
      <c r="H3514" s="4"/>
      <c r="I3514" s="15"/>
      <c r="J3514" s="4"/>
    </row>
    <row r="3515" ht="14.25" customHeight="1">
      <c r="A3515" s="8" t="s">
        <v>16</v>
      </c>
      <c r="B3515" s="8">
        <v>4.6</v>
      </c>
      <c r="F3515" s="4"/>
      <c r="G3515" s="4"/>
      <c r="H3515" s="4"/>
      <c r="I3515" s="15"/>
      <c r="J3515" s="4"/>
    </row>
    <row r="3516" ht="14.25" customHeight="1">
      <c r="A3516" s="8" t="s">
        <v>16</v>
      </c>
      <c r="B3516" s="8">
        <v>7.0</v>
      </c>
      <c r="F3516" s="4"/>
      <c r="G3516" s="4"/>
      <c r="H3516" s="4"/>
      <c r="I3516" s="15"/>
      <c r="J3516" s="4"/>
    </row>
    <row r="3517" ht="14.25" customHeight="1">
      <c r="A3517" s="8" t="s">
        <v>16</v>
      </c>
      <c r="B3517" s="8">
        <v>6.7</v>
      </c>
      <c r="F3517" s="4"/>
      <c r="G3517" s="4"/>
      <c r="H3517" s="4"/>
      <c r="I3517" s="15"/>
      <c r="J3517" s="4"/>
    </row>
    <row r="3518" ht="14.25" customHeight="1">
      <c r="A3518" s="8" t="s">
        <v>16</v>
      </c>
      <c r="B3518" s="8">
        <v>5.8</v>
      </c>
      <c r="F3518" s="4"/>
      <c r="G3518" s="4"/>
      <c r="H3518" s="4"/>
      <c r="I3518" s="15"/>
      <c r="J3518" s="4"/>
    </row>
    <row r="3519" ht="14.25" customHeight="1">
      <c r="A3519" s="8" t="s">
        <v>16</v>
      </c>
      <c r="B3519" s="8">
        <v>4.5</v>
      </c>
      <c r="F3519" s="4"/>
      <c r="G3519" s="4"/>
      <c r="H3519" s="4"/>
      <c r="I3519" s="15"/>
      <c r="J3519" s="4"/>
    </row>
    <row r="3520" ht="14.25" customHeight="1">
      <c r="A3520" s="8" t="s">
        <v>16</v>
      </c>
      <c r="B3520" s="8">
        <v>6.2</v>
      </c>
      <c r="F3520" s="4"/>
      <c r="G3520" s="4"/>
      <c r="H3520" s="4"/>
      <c r="I3520" s="15"/>
      <c r="J3520" s="4"/>
    </row>
    <row r="3521" ht="14.25" customHeight="1">
      <c r="A3521" s="8" t="s">
        <v>16</v>
      </c>
      <c r="B3521" s="8">
        <v>6.6</v>
      </c>
      <c r="F3521" s="4"/>
      <c r="G3521" s="4"/>
      <c r="H3521" s="4"/>
      <c r="I3521" s="15"/>
      <c r="J3521" s="4"/>
    </row>
    <row r="3522" ht="14.25" customHeight="1">
      <c r="A3522" s="8" t="s">
        <v>16</v>
      </c>
      <c r="B3522" s="8">
        <v>6.6</v>
      </c>
      <c r="F3522" s="4"/>
      <c r="G3522" s="4"/>
      <c r="H3522" s="4"/>
      <c r="I3522" s="15"/>
      <c r="J3522" s="4"/>
    </row>
    <row r="3523" ht="14.25" customHeight="1">
      <c r="A3523" s="8" t="s">
        <v>16</v>
      </c>
      <c r="B3523" s="8">
        <v>7.8</v>
      </c>
      <c r="F3523" s="4"/>
      <c r="G3523" s="4"/>
      <c r="H3523" s="4"/>
      <c r="I3523" s="15"/>
      <c r="J3523" s="4"/>
    </row>
    <row r="3524" ht="14.25" customHeight="1">
      <c r="A3524" s="8" t="s">
        <v>16</v>
      </c>
      <c r="B3524" s="8">
        <v>7.7</v>
      </c>
      <c r="F3524" s="4"/>
      <c r="G3524" s="4"/>
      <c r="H3524" s="4"/>
      <c r="I3524" s="15"/>
      <c r="J3524" s="4"/>
    </row>
    <row r="3525" ht="14.25" customHeight="1">
      <c r="A3525" s="8" t="s">
        <v>16</v>
      </c>
      <c r="B3525" s="8">
        <v>5.7</v>
      </c>
      <c r="F3525" s="4"/>
      <c r="G3525" s="4"/>
      <c r="H3525" s="4"/>
      <c r="I3525" s="15"/>
      <c r="J3525" s="4"/>
    </row>
    <row r="3526" ht="14.25" customHeight="1">
      <c r="A3526" s="8" t="s">
        <v>16</v>
      </c>
      <c r="B3526" s="8">
        <v>7.1</v>
      </c>
      <c r="F3526" s="4"/>
      <c r="G3526" s="4"/>
      <c r="H3526" s="4"/>
      <c r="I3526" s="15"/>
      <c r="J3526" s="4"/>
    </row>
    <row r="3527" ht="14.25" customHeight="1">
      <c r="A3527" s="8" t="s">
        <v>16</v>
      </c>
      <c r="B3527" s="8">
        <v>6.4</v>
      </c>
      <c r="F3527" s="4"/>
      <c r="G3527" s="4"/>
      <c r="H3527" s="4"/>
      <c r="I3527" s="15"/>
      <c r="J3527" s="4"/>
    </row>
    <row r="3528" ht="14.25" customHeight="1">
      <c r="A3528" s="8" t="s">
        <v>16</v>
      </c>
      <c r="B3528" s="8">
        <v>7.0</v>
      </c>
      <c r="F3528" s="4"/>
      <c r="G3528" s="4"/>
      <c r="H3528" s="4"/>
      <c r="I3528" s="15"/>
      <c r="J3528" s="4"/>
    </row>
    <row r="3529" ht="14.25" customHeight="1">
      <c r="A3529" s="8" t="s">
        <v>1189</v>
      </c>
      <c r="B3529" s="8">
        <v>5.8</v>
      </c>
      <c r="F3529" s="4"/>
      <c r="G3529" s="4"/>
      <c r="H3529" s="4"/>
      <c r="I3529" s="15"/>
      <c r="J3529" s="4"/>
    </row>
    <row r="3530" ht="14.25" customHeight="1">
      <c r="A3530" s="8" t="s">
        <v>16</v>
      </c>
      <c r="B3530" s="8">
        <v>5.9</v>
      </c>
      <c r="F3530" s="4"/>
      <c r="G3530" s="4"/>
      <c r="H3530" s="4"/>
      <c r="I3530" s="15"/>
      <c r="J3530" s="4"/>
    </row>
    <row r="3531" ht="14.25" customHeight="1">
      <c r="A3531" s="8" t="s">
        <v>16</v>
      </c>
      <c r="B3531" s="8">
        <v>7.5</v>
      </c>
      <c r="F3531" s="4"/>
      <c r="G3531" s="4"/>
      <c r="H3531" s="4"/>
      <c r="I3531" s="15"/>
      <c r="J3531" s="4"/>
    </row>
    <row r="3532" ht="14.25" customHeight="1">
      <c r="A3532" s="8" t="s">
        <v>16</v>
      </c>
      <c r="B3532" s="8">
        <v>7.8</v>
      </c>
      <c r="F3532" s="4"/>
      <c r="G3532" s="4"/>
      <c r="H3532" s="4"/>
      <c r="I3532" s="15"/>
      <c r="J3532" s="4"/>
    </row>
    <row r="3533" ht="14.25" customHeight="1">
      <c r="A3533" s="8" t="s">
        <v>16</v>
      </c>
      <c r="B3533" s="8">
        <v>7.2</v>
      </c>
      <c r="F3533" s="4"/>
      <c r="G3533" s="4"/>
      <c r="H3533" s="4"/>
      <c r="I3533" s="15"/>
      <c r="J3533" s="4"/>
    </row>
    <row r="3534" ht="14.25" customHeight="1">
      <c r="A3534" s="8" t="s">
        <v>16</v>
      </c>
      <c r="B3534" s="8">
        <v>5.6</v>
      </c>
      <c r="F3534" s="4"/>
      <c r="G3534" s="4"/>
      <c r="H3534" s="4"/>
      <c r="I3534" s="15"/>
      <c r="J3534" s="4"/>
    </row>
    <row r="3535" ht="14.25" customHeight="1">
      <c r="A3535" s="8" t="s">
        <v>1144</v>
      </c>
      <c r="B3535" s="8">
        <v>6.8</v>
      </c>
      <c r="F3535" s="4"/>
      <c r="G3535" s="4"/>
      <c r="H3535" s="4"/>
      <c r="I3535" s="15"/>
      <c r="J3535" s="4"/>
    </row>
    <row r="3536" ht="14.25" customHeight="1">
      <c r="A3536" s="8" t="s">
        <v>16</v>
      </c>
      <c r="B3536" s="8">
        <v>7.3</v>
      </c>
      <c r="F3536" s="4"/>
      <c r="G3536" s="4"/>
      <c r="H3536" s="4"/>
      <c r="I3536" s="15"/>
      <c r="J3536" s="4"/>
    </row>
    <row r="3537" ht="14.25" customHeight="1">
      <c r="A3537" s="8" t="s">
        <v>16</v>
      </c>
      <c r="B3537" s="8">
        <v>7.3</v>
      </c>
      <c r="F3537" s="4"/>
      <c r="G3537" s="4"/>
      <c r="H3537" s="4"/>
      <c r="I3537" s="15"/>
      <c r="J3537" s="4"/>
    </row>
    <row r="3538" ht="14.25" customHeight="1">
      <c r="A3538" s="8" t="s">
        <v>16</v>
      </c>
      <c r="B3538" s="8">
        <v>6.6</v>
      </c>
      <c r="F3538" s="4"/>
      <c r="G3538" s="4"/>
      <c r="H3538" s="4"/>
      <c r="I3538" s="15"/>
      <c r="J3538" s="4"/>
    </row>
    <row r="3539" ht="14.25" customHeight="1">
      <c r="A3539" s="8" t="s">
        <v>7116</v>
      </c>
      <c r="B3539" s="8">
        <v>7.5</v>
      </c>
      <c r="F3539" s="4"/>
      <c r="G3539" s="4"/>
      <c r="H3539" s="4"/>
      <c r="I3539" s="15"/>
      <c r="J3539" s="4"/>
    </row>
    <row r="3540" ht="14.25" customHeight="1">
      <c r="A3540" s="8" t="s">
        <v>4449</v>
      </c>
      <c r="B3540" s="8">
        <v>7.8</v>
      </c>
      <c r="F3540" s="4"/>
      <c r="G3540" s="4"/>
      <c r="H3540" s="4"/>
      <c r="I3540" s="15"/>
      <c r="J3540" s="4"/>
    </row>
    <row r="3541" ht="14.25" customHeight="1">
      <c r="A3541" s="8" t="s">
        <v>16</v>
      </c>
      <c r="B3541" s="8">
        <v>6.7</v>
      </c>
      <c r="F3541" s="4"/>
      <c r="G3541" s="4"/>
      <c r="H3541" s="4"/>
      <c r="I3541" s="15"/>
      <c r="J3541" s="4"/>
    </row>
    <row r="3542" ht="14.25" customHeight="1">
      <c r="A3542" s="8" t="s">
        <v>16</v>
      </c>
      <c r="B3542" s="8">
        <v>7.5</v>
      </c>
      <c r="F3542" s="4"/>
      <c r="G3542" s="4"/>
      <c r="H3542" s="4"/>
      <c r="I3542" s="15"/>
      <c r="J3542" s="4"/>
    </row>
    <row r="3543" ht="14.25" customHeight="1">
      <c r="A3543" s="8" t="s">
        <v>16</v>
      </c>
      <c r="B3543" s="8">
        <v>6.3</v>
      </c>
      <c r="F3543" s="4"/>
      <c r="G3543" s="4"/>
      <c r="H3543" s="4"/>
      <c r="I3543" s="15"/>
      <c r="J3543" s="4"/>
    </row>
    <row r="3544" ht="14.25" customHeight="1">
      <c r="A3544" s="8" t="s">
        <v>16</v>
      </c>
      <c r="B3544" s="8">
        <v>6.3</v>
      </c>
      <c r="F3544" s="4"/>
      <c r="G3544" s="4"/>
      <c r="H3544" s="4"/>
      <c r="I3544" s="15"/>
      <c r="J3544" s="4"/>
    </row>
    <row r="3545" ht="14.25" customHeight="1">
      <c r="A3545" s="8" t="s">
        <v>16</v>
      </c>
      <c r="B3545" s="8">
        <v>6.8</v>
      </c>
      <c r="F3545" s="4"/>
      <c r="G3545" s="4"/>
      <c r="H3545" s="4"/>
      <c r="I3545" s="15"/>
      <c r="J3545" s="4"/>
    </row>
    <row r="3546" ht="14.25" customHeight="1">
      <c r="A3546" s="8" t="s">
        <v>5555</v>
      </c>
      <c r="B3546" s="8">
        <v>7.8</v>
      </c>
      <c r="F3546" s="4"/>
      <c r="G3546" s="4"/>
      <c r="H3546" s="4"/>
      <c r="I3546" s="15"/>
      <c r="J3546" s="4"/>
    </row>
    <row r="3547" ht="14.25" customHeight="1">
      <c r="A3547" s="8" t="s">
        <v>16</v>
      </c>
      <c r="B3547" s="8">
        <v>6.9</v>
      </c>
      <c r="F3547" s="4"/>
      <c r="G3547" s="4"/>
      <c r="H3547" s="4"/>
      <c r="I3547" s="15"/>
      <c r="J3547" s="4"/>
    </row>
    <row r="3548" ht="14.25" customHeight="1">
      <c r="A3548" s="8" t="s">
        <v>16</v>
      </c>
      <c r="B3548" s="8">
        <v>4.3</v>
      </c>
      <c r="F3548" s="4"/>
      <c r="G3548" s="4"/>
      <c r="H3548" s="4"/>
      <c r="I3548" s="15"/>
      <c r="J3548" s="4"/>
    </row>
    <row r="3549" ht="14.25" customHeight="1">
      <c r="A3549" s="8" t="s">
        <v>7140</v>
      </c>
      <c r="B3549" s="8">
        <v>7.2</v>
      </c>
      <c r="F3549" s="4"/>
      <c r="G3549" s="4"/>
      <c r="H3549" s="4"/>
      <c r="I3549" s="15"/>
      <c r="J3549" s="4"/>
    </row>
    <row r="3550" ht="14.25" customHeight="1">
      <c r="A3550" s="8" t="s">
        <v>7043</v>
      </c>
      <c r="B3550" s="8">
        <v>7.3</v>
      </c>
      <c r="F3550" s="4"/>
      <c r="G3550" s="4"/>
      <c r="H3550" s="4"/>
      <c r="I3550" s="15"/>
      <c r="J3550" s="4"/>
    </row>
    <row r="3551" ht="14.25" customHeight="1">
      <c r="A3551" s="8" t="s">
        <v>1189</v>
      </c>
      <c r="B3551" s="8">
        <v>7.2</v>
      </c>
      <c r="F3551" s="4"/>
      <c r="G3551" s="4"/>
      <c r="H3551" s="4"/>
      <c r="I3551" s="15"/>
      <c r="J3551" s="4"/>
    </row>
    <row r="3552" ht="14.25" customHeight="1">
      <c r="A3552" s="8" t="s">
        <v>16</v>
      </c>
      <c r="B3552" s="8">
        <v>5.4</v>
      </c>
      <c r="F3552" s="4"/>
      <c r="G3552" s="4"/>
      <c r="H3552" s="4"/>
      <c r="I3552" s="15"/>
      <c r="J3552" s="4"/>
    </row>
    <row r="3553" ht="14.25" customHeight="1">
      <c r="A3553" s="8" t="s">
        <v>16</v>
      </c>
      <c r="B3553" s="8">
        <v>7.4</v>
      </c>
      <c r="F3553" s="4"/>
      <c r="G3553" s="4"/>
      <c r="H3553" s="4"/>
      <c r="I3553" s="15"/>
      <c r="J3553" s="4"/>
    </row>
    <row r="3554" ht="14.25" customHeight="1">
      <c r="A3554" s="8" t="s">
        <v>16</v>
      </c>
      <c r="B3554" s="8">
        <v>7.1</v>
      </c>
      <c r="F3554" s="4"/>
      <c r="G3554" s="4"/>
      <c r="H3554" s="4"/>
      <c r="I3554" s="15"/>
      <c r="J3554" s="4"/>
    </row>
    <row r="3555" ht="14.25" customHeight="1">
      <c r="A3555" s="8" t="s">
        <v>16</v>
      </c>
      <c r="B3555" s="8">
        <v>6.8</v>
      </c>
      <c r="F3555" s="4"/>
      <c r="G3555" s="4"/>
      <c r="H3555" s="4"/>
      <c r="I3555" s="15"/>
      <c r="J3555" s="4"/>
    </row>
    <row r="3556" ht="14.25" customHeight="1">
      <c r="A3556" s="8" t="s">
        <v>16</v>
      </c>
      <c r="B3556" s="8">
        <v>7.0</v>
      </c>
      <c r="F3556" s="4"/>
      <c r="G3556" s="4"/>
      <c r="H3556" s="4"/>
      <c r="I3556" s="15"/>
      <c r="J3556" s="4"/>
    </row>
    <row r="3557" ht="14.25" customHeight="1">
      <c r="A3557" s="8" t="s">
        <v>16</v>
      </c>
      <c r="B3557" s="8">
        <v>7.4</v>
      </c>
      <c r="F3557" s="4"/>
      <c r="G3557" s="4"/>
      <c r="H3557" s="4"/>
      <c r="I3557" s="15"/>
      <c r="J3557" s="4"/>
    </row>
    <row r="3558" ht="14.25" customHeight="1">
      <c r="A3558" s="8" t="s">
        <v>16</v>
      </c>
      <c r="B3558" s="8">
        <v>6.7</v>
      </c>
      <c r="F3558" s="4"/>
      <c r="G3558" s="4"/>
      <c r="H3558" s="4"/>
      <c r="I3558" s="15"/>
      <c r="J3558" s="4"/>
    </row>
    <row r="3559" ht="14.25" customHeight="1">
      <c r="A3559" s="8" t="s">
        <v>16</v>
      </c>
      <c r="B3559" s="8">
        <v>7.2</v>
      </c>
      <c r="F3559" s="4"/>
      <c r="G3559" s="4"/>
      <c r="H3559" s="4"/>
      <c r="I3559" s="15"/>
      <c r="J3559" s="4"/>
    </row>
    <row r="3560" ht="14.25" customHeight="1">
      <c r="A3560" s="8" t="s">
        <v>16</v>
      </c>
      <c r="B3560" s="8">
        <v>7.5</v>
      </c>
      <c r="F3560" s="4"/>
      <c r="G3560" s="4"/>
      <c r="H3560" s="4"/>
      <c r="I3560" s="15"/>
      <c r="J3560" s="4"/>
    </row>
    <row r="3561" ht="14.25" customHeight="1">
      <c r="A3561" s="8" t="s">
        <v>16</v>
      </c>
      <c r="B3561" s="8">
        <v>6.8</v>
      </c>
      <c r="F3561" s="4"/>
      <c r="G3561" s="4"/>
      <c r="H3561" s="4"/>
      <c r="I3561" s="15"/>
      <c r="J3561" s="4"/>
    </row>
    <row r="3562" ht="14.25" customHeight="1">
      <c r="A3562" s="8" t="s">
        <v>1144</v>
      </c>
      <c r="B3562" s="8">
        <v>7.9</v>
      </c>
      <c r="F3562" s="4"/>
      <c r="G3562" s="4"/>
      <c r="H3562" s="4"/>
      <c r="I3562" s="15"/>
      <c r="J3562" s="4"/>
    </row>
    <row r="3563" ht="14.25" customHeight="1">
      <c r="A3563" s="8" t="s">
        <v>16</v>
      </c>
      <c r="B3563" s="8">
        <v>6.7</v>
      </c>
      <c r="F3563" s="4"/>
      <c r="G3563" s="4"/>
      <c r="H3563" s="4"/>
      <c r="I3563" s="15"/>
      <c r="J3563" s="4"/>
    </row>
    <row r="3564" ht="14.25" customHeight="1">
      <c r="A3564" s="8" t="s">
        <v>16</v>
      </c>
      <c r="B3564" s="8">
        <v>5.8</v>
      </c>
      <c r="F3564" s="4"/>
      <c r="G3564" s="4"/>
      <c r="H3564" s="4"/>
      <c r="I3564" s="15"/>
      <c r="J3564" s="4"/>
    </row>
    <row r="3565" ht="14.25" customHeight="1">
      <c r="A3565" s="8" t="s">
        <v>16</v>
      </c>
      <c r="B3565" s="8">
        <v>6.5</v>
      </c>
      <c r="F3565" s="4"/>
      <c r="G3565" s="4"/>
      <c r="H3565" s="4"/>
      <c r="I3565" s="15"/>
      <c r="J3565" s="4"/>
    </row>
    <row r="3566" ht="14.25" customHeight="1">
      <c r="A3566" s="8" t="s">
        <v>16</v>
      </c>
      <c r="B3566" s="8">
        <v>7.2</v>
      </c>
      <c r="F3566" s="4"/>
      <c r="G3566" s="4"/>
      <c r="H3566" s="4"/>
      <c r="I3566" s="15"/>
      <c r="J3566" s="4"/>
    </row>
    <row r="3567" ht="14.25" customHeight="1">
      <c r="A3567" s="8" t="s">
        <v>16</v>
      </c>
      <c r="B3567" s="8">
        <v>6.5</v>
      </c>
      <c r="F3567" s="4"/>
      <c r="G3567" s="4"/>
      <c r="H3567" s="4"/>
      <c r="I3567" s="15"/>
      <c r="J3567" s="4"/>
    </row>
    <row r="3568" ht="14.25" customHeight="1">
      <c r="A3568" s="8" t="s">
        <v>16</v>
      </c>
      <c r="B3568" s="8">
        <v>6.2</v>
      </c>
      <c r="F3568" s="4"/>
      <c r="G3568" s="4"/>
      <c r="H3568" s="4"/>
      <c r="I3568" s="15"/>
      <c r="J3568" s="4"/>
    </row>
    <row r="3569" ht="14.25" customHeight="1">
      <c r="A3569" s="8" t="s">
        <v>16</v>
      </c>
      <c r="B3569" s="8">
        <v>8.6</v>
      </c>
      <c r="F3569" s="4"/>
      <c r="G3569" s="4"/>
      <c r="H3569" s="4"/>
      <c r="I3569" s="15"/>
      <c r="J3569" s="4"/>
    </row>
    <row r="3570" ht="14.25" customHeight="1">
      <c r="A3570" s="8" t="s">
        <v>16</v>
      </c>
      <c r="B3570" s="8">
        <v>6.5</v>
      </c>
      <c r="F3570" s="4"/>
      <c r="G3570" s="4"/>
      <c r="H3570" s="4"/>
      <c r="I3570" s="15"/>
      <c r="J3570" s="4"/>
    </row>
    <row r="3571" ht="14.25" customHeight="1">
      <c r="A3571" s="8" t="s">
        <v>16</v>
      </c>
      <c r="B3571" s="8">
        <v>6.3</v>
      </c>
      <c r="F3571" s="4"/>
      <c r="G3571" s="4"/>
      <c r="H3571" s="4"/>
      <c r="I3571" s="15"/>
      <c r="J3571" s="4"/>
    </row>
    <row r="3572" ht="14.25" customHeight="1">
      <c r="A3572" s="8" t="s">
        <v>16</v>
      </c>
      <c r="B3572" s="8">
        <v>4.3</v>
      </c>
      <c r="F3572" s="4"/>
      <c r="G3572" s="4"/>
      <c r="H3572" s="4"/>
      <c r="I3572" s="15"/>
      <c r="J3572" s="4"/>
    </row>
    <row r="3573" ht="14.25" customHeight="1">
      <c r="A3573" s="8" t="s">
        <v>16</v>
      </c>
      <c r="B3573" s="8">
        <v>6.1</v>
      </c>
      <c r="F3573" s="4"/>
      <c r="G3573" s="4"/>
      <c r="H3573" s="4"/>
      <c r="I3573" s="15"/>
      <c r="J3573" s="4"/>
    </row>
    <row r="3574" ht="14.25" customHeight="1">
      <c r="A3574" s="8" t="s">
        <v>16</v>
      </c>
      <c r="B3574" s="8">
        <v>5.8</v>
      </c>
      <c r="F3574" s="4"/>
      <c r="G3574" s="4"/>
      <c r="H3574" s="4"/>
      <c r="I3574" s="15"/>
      <c r="J3574" s="4"/>
    </row>
    <row r="3575" ht="14.25" customHeight="1">
      <c r="A3575" s="8" t="s">
        <v>16</v>
      </c>
      <c r="B3575" s="8">
        <v>6.7</v>
      </c>
      <c r="F3575" s="4"/>
      <c r="G3575" s="4"/>
      <c r="H3575" s="4"/>
      <c r="I3575" s="15"/>
      <c r="J3575" s="4"/>
    </row>
    <row r="3576" ht="14.25" customHeight="1">
      <c r="A3576" s="8" t="s">
        <v>16</v>
      </c>
      <c r="B3576" s="8">
        <v>6.7</v>
      </c>
      <c r="F3576" s="4"/>
      <c r="G3576" s="4"/>
      <c r="H3576" s="4"/>
      <c r="I3576" s="15"/>
      <c r="J3576" s="4"/>
    </row>
    <row r="3577" ht="14.25" customHeight="1">
      <c r="A3577" s="8" t="s">
        <v>16</v>
      </c>
      <c r="B3577" s="8">
        <v>5.1</v>
      </c>
      <c r="F3577" s="4"/>
      <c r="G3577" s="4"/>
      <c r="H3577" s="4"/>
      <c r="I3577" s="15"/>
      <c r="J3577" s="4"/>
    </row>
    <row r="3578" ht="14.25" customHeight="1">
      <c r="A3578" s="8" t="s">
        <v>16</v>
      </c>
      <c r="B3578" s="8">
        <v>7.0</v>
      </c>
      <c r="F3578" s="4"/>
      <c r="G3578" s="4"/>
      <c r="H3578" s="4"/>
      <c r="I3578" s="15"/>
      <c r="J3578" s="4"/>
    </row>
    <row r="3579" ht="14.25" customHeight="1">
      <c r="A3579" s="8" t="s">
        <v>16</v>
      </c>
      <c r="B3579" s="8">
        <v>7.7</v>
      </c>
      <c r="F3579" s="4"/>
      <c r="G3579" s="4"/>
      <c r="H3579" s="4"/>
      <c r="I3579" s="15"/>
      <c r="J3579" s="4"/>
    </row>
    <row r="3580" ht="14.25" customHeight="1">
      <c r="A3580" s="8" t="s">
        <v>1144</v>
      </c>
      <c r="B3580" s="8">
        <v>6.7</v>
      </c>
      <c r="F3580" s="4"/>
      <c r="G3580" s="4"/>
      <c r="H3580" s="4"/>
      <c r="I3580" s="15"/>
      <c r="J3580" s="4"/>
    </row>
    <row r="3581" ht="14.25" customHeight="1">
      <c r="A3581" s="8" t="s">
        <v>16</v>
      </c>
      <c r="B3581" s="8">
        <v>6.6</v>
      </c>
      <c r="F3581" s="4"/>
      <c r="G3581" s="4"/>
      <c r="H3581" s="4"/>
      <c r="I3581" s="15"/>
      <c r="J3581" s="4"/>
    </row>
    <row r="3582" ht="14.25" customHeight="1">
      <c r="A3582" s="8" t="s">
        <v>16</v>
      </c>
      <c r="B3582" s="8">
        <v>8.2</v>
      </c>
      <c r="F3582" s="4"/>
      <c r="G3582" s="4"/>
      <c r="H3582" s="4"/>
      <c r="I3582" s="15"/>
      <c r="J3582" s="4"/>
    </row>
    <row r="3583" ht="14.25" customHeight="1">
      <c r="A3583" s="8" t="s">
        <v>5892</v>
      </c>
      <c r="B3583" s="8">
        <v>8.1</v>
      </c>
      <c r="F3583" s="4"/>
      <c r="G3583" s="4"/>
      <c r="H3583" s="4"/>
      <c r="I3583" s="15"/>
      <c r="J3583" s="4"/>
    </row>
    <row r="3584" ht="14.25" customHeight="1">
      <c r="A3584" s="8" t="s">
        <v>16</v>
      </c>
      <c r="B3584" s="8">
        <v>7.2</v>
      </c>
      <c r="F3584" s="4"/>
      <c r="G3584" s="4"/>
      <c r="H3584" s="4"/>
      <c r="I3584" s="15"/>
      <c r="J3584" s="4"/>
    </row>
    <row r="3585" ht="14.25" customHeight="1">
      <c r="A3585" s="8" t="s">
        <v>7211</v>
      </c>
      <c r="B3585" s="8">
        <v>7.4</v>
      </c>
      <c r="F3585" s="4"/>
      <c r="G3585" s="4"/>
      <c r="H3585" s="4"/>
      <c r="I3585" s="15"/>
      <c r="J3585" s="4"/>
    </row>
    <row r="3586" ht="14.25" customHeight="1">
      <c r="A3586" s="8" t="s">
        <v>16</v>
      </c>
      <c r="B3586" s="8">
        <v>6.5</v>
      </c>
      <c r="F3586" s="4"/>
      <c r="G3586" s="4"/>
      <c r="H3586" s="4"/>
      <c r="I3586" s="15"/>
      <c r="J3586" s="4"/>
    </row>
    <row r="3587" ht="14.25" customHeight="1">
      <c r="A3587" s="8" t="s">
        <v>16</v>
      </c>
      <c r="B3587" s="8">
        <v>5.7</v>
      </c>
      <c r="F3587" s="4"/>
      <c r="G3587" s="4"/>
      <c r="H3587" s="4"/>
      <c r="I3587" s="15"/>
      <c r="J3587" s="4"/>
    </row>
    <row r="3588" ht="14.25" customHeight="1">
      <c r="A3588" s="8" t="s">
        <v>16</v>
      </c>
      <c r="B3588" s="8">
        <v>6.1</v>
      </c>
      <c r="F3588" s="4"/>
      <c r="G3588" s="4"/>
      <c r="H3588" s="4"/>
      <c r="I3588" s="15"/>
      <c r="J3588" s="4"/>
    </row>
    <row r="3589" ht="14.25" customHeight="1">
      <c r="A3589" s="8" t="s">
        <v>16</v>
      </c>
      <c r="B3589" s="8">
        <v>6.2</v>
      </c>
      <c r="F3589" s="4"/>
      <c r="G3589" s="4"/>
      <c r="H3589" s="4"/>
      <c r="I3589" s="15"/>
      <c r="J3589" s="4"/>
    </row>
    <row r="3590" ht="14.25" customHeight="1">
      <c r="A3590" s="8" t="s">
        <v>16</v>
      </c>
      <c r="B3590" s="8">
        <v>3.3</v>
      </c>
      <c r="F3590" s="4"/>
      <c r="G3590" s="4"/>
      <c r="H3590" s="4"/>
      <c r="I3590" s="15"/>
      <c r="J3590" s="4"/>
    </row>
    <row r="3591" ht="14.25" customHeight="1">
      <c r="A3591" s="8" t="s">
        <v>16</v>
      </c>
      <c r="B3591" s="8">
        <v>6.1</v>
      </c>
      <c r="F3591" s="4"/>
      <c r="G3591" s="4"/>
      <c r="H3591" s="4"/>
      <c r="I3591" s="15"/>
      <c r="J3591" s="4"/>
    </row>
    <row r="3592" ht="14.25" customHeight="1">
      <c r="A3592" s="8" t="s">
        <v>16</v>
      </c>
      <c r="B3592" s="8">
        <v>5.7</v>
      </c>
      <c r="F3592" s="4"/>
      <c r="G3592" s="4"/>
      <c r="H3592" s="4"/>
      <c r="I3592" s="15"/>
      <c r="J3592" s="4"/>
    </row>
    <row r="3593" ht="14.25" customHeight="1">
      <c r="A3593" s="8" t="s">
        <v>16</v>
      </c>
      <c r="B3593" s="8">
        <v>7.2</v>
      </c>
      <c r="F3593" s="4"/>
      <c r="G3593" s="4"/>
      <c r="H3593" s="4"/>
      <c r="I3593" s="15"/>
      <c r="J3593" s="4"/>
    </row>
    <row r="3594" ht="14.25" customHeight="1">
      <c r="A3594" s="8" t="s">
        <v>16</v>
      </c>
      <c r="B3594" s="8">
        <v>7.7</v>
      </c>
      <c r="F3594" s="4"/>
      <c r="G3594" s="4"/>
      <c r="H3594" s="4"/>
      <c r="I3594" s="15"/>
      <c r="J3594" s="4"/>
    </row>
    <row r="3595" ht="14.25" customHeight="1">
      <c r="A3595" s="8" t="s">
        <v>16</v>
      </c>
      <c r="B3595" s="8">
        <v>7.1</v>
      </c>
      <c r="F3595" s="4"/>
      <c r="G3595" s="4"/>
      <c r="H3595" s="4"/>
      <c r="I3595" s="15"/>
      <c r="J3595" s="4"/>
    </row>
    <row r="3596" ht="14.25" customHeight="1">
      <c r="A3596" s="8" t="s">
        <v>1144</v>
      </c>
      <c r="B3596" s="8">
        <v>7.0</v>
      </c>
      <c r="F3596" s="4"/>
      <c r="G3596" s="4"/>
      <c r="H3596" s="4"/>
      <c r="I3596" s="15"/>
      <c r="J3596" s="4"/>
    </row>
    <row r="3597" ht="14.25" customHeight="1">
      <c r="A3597" s="8" t="s">
        <v>16</v>
      </c>
      <c r="B3597" s="8">
        <v>5.5</v>
      </c>
      <c r="F3597" s="4"/>
      <c r="G3597" s="4"/>
      <c r="H3597" s="4"/>
      <c r="I3597" s="15"/>
      <c r="J3597" s="4"/>
    </row>
    <row r="3598" ht="14.25" customHeight="1">
      <c r="A3598" s="8" t="s">
        <v>5555</v>
      </c>
      <c r="B3598" s="8">
        <v>7.4</v>
      </c>
      <c r="F3598" s="4"/>
      <c r="G3598" s="4"/>
      <c r="H3598" s="4"/>
      <c r="I3598" s="15"/>
      <c r="J3598" s="4"/>
    </row>
    <row r="3599" ht="14.25" customHeight="1">
      <c r="A3599" s="8" t="s">
        <v>16</v>
      </c>
      <c r="B3599" s="8">
        <v>7.7</v>
      </c>
      <c r="F3599" s="4"/>
      <c r="G3599" s="4"/>
      <c r="H3599" s="4"/>
      <c r="I3599" s="15"/>
      <c r="J3599" s="4"/>
    </row>
    <row r="3600" ht="14.25" customHeight="1">
      <c r="A3600" s="8" t="s">
        <v>16</v>
      </c>
      <c r="B3600" s="8">
        <v>7.8</v>
      </c>
      <c r="F3600" s="4"/>
      <c r="G3600" s="4"/>
      <c r="H3600" s="4"/>
      <c r="I3600" s="15"/>
      <c r="J3600" s="4"/>
    </row>
    <row r="3601" ht="14.25" customHeight="1">
      <c r="A3601" s="8" t="s">
        <v>16</v>
      </c>
      <c r="B3601" s="8">
        <v>6.6</v>
      </c>
      <c r="F3601" s="4"/>
      <c r="G3601" s="4"/>
      <c r="H3601" s="4"/>
      <c r="I3601" s="15"/>
      <c r="J3601" s="4"/>
    </row>
    <row r="3602" ht="14.25" customHeight="1">
      <c r="A3602" s="8" t="s">
        <v>16</v>
      </c>
      <c r="B3602" s="8">
        <v>6.0</v>
      </c>
      <c r="F3602" s="4"/>
      <c r="G3602" s="4"/>
      <c r="H3602" s="4"/>
      <c r="I3602" s="15"/>
      <c r="J3602" s="4"/>
    </row>
    <row r="3603" ht="14.25" customHeight="1">
      <c r="A3603" s="8" t="s">
        <v>16</v>
      </c>
      <c r="B3603" s="8">
        <v>8.4</v>
      </c>
      <c r="F3603" s="4"/>
      <c r="G3603" s="4"/>
      <c r="H3603" s="4"/>
      <c r="I3603" s="15"/>
      <c r="J3603" s="4"/>
    </row>
    <row r="3604" ht="14.25" customHeight="1">
      <c r="A3604" s="8" t="s">
        <v>3818</v>
      </c>
      <c r="B3604" s="8">
        <v>8.9</v>
      </c>
      <c r="F3604" s="4"/>
      <c r="G3604" s="4"/>
      <c r="H3604" s="4"/>
      <c r="I3604" s="15"/>
      <c r="J3604" s="4"/>
    </row>
    <row r="3605" ht="14.25" customHeight="1">
      <c r="A3605" s="8" t="s">
        <v>6182</v>
      </c>
      <c r="B3605" s="8">
        <v>7.9</v>
      </c>
      <c r="F3605" s="4"/>
      <c r="G3605" s="4"/>
      <c r="H3605" s="4"/>
      <c r="I3605" s="15"/>
      <c r="J3605" s="4"/>
    </row>
    <row r="3606" ht="14.25" customHeight="1">
      <c r="A3606" s="8" t="s">
        <v>16</v>
      </c>
      <c r="B3606" s="8">
        <v>6.0</v>
      </c>
      <c r="F3606" s="4"/>
      <c r="G3606" s="4"/>
      <c r="H3606" s="4"/>
      <c r="I3606" s="15"/>
      <c r="J3606" s="4"/>
    </row>
    <row r="3607" ht="14.25" customHeight="1">
      <c r="A3607" s="8" t="s">
        <v>16</v>
      </c>
      <c r="B3607" s="8">
        <v>6.1</v>
      </c>
      <c r="F3607" s="4"/>
      <c r="G3607" s="4"/>
      <c r="H3607" s="4"/>
      <c r="I3607" s="15"/>
      <c r="J3607" s="4"/>
    </row>
    <row r="3608" ht="14.25" customHeight="1">
      <c r="A3608" s="8" t="s">
        <v>16</v>
      </c>
      <c r="B3608" s="8">
        <v>6.2</v>
      </c>
      <c r="F3608" s="4"/>
      <c r="G3608" s="4"/>
      <c r="H3608" s="4"/>
      <c r="I3608" s="15"/>
      <c r="J3608" s="4"/>
    </row>
    <row r="3609" ht="14.25" customHeight="1">
      <c r="A3609" s="8" t="s">
        <v>1144</v>
      </c>
      <c r="B3609" s="8">
        <v>7.2</v>
      </c>
      <c r="F3609" s="4"/>
      <c r="G3609" s="4"/>
      <c r="H3609" s="4"/>
      <c r="I3609" s="15"/>
      <c r="J3609" s="4"/>
    </row>
    <row r="3610" ht="14.25" customHeight="1">
      <c r="A3610" s="8" t="s">
        <v>16</v>
      </c>
      <c r="B3610" s="8">
        <v>6.2</v>
      </c>
      <c r="F3610" s="4"/>
      <c r="G3610" s="4"/>
      <c r="H3610" s="4"/>
      <c r="I3610" s="15"/>
      <c r="J3610" s="4"/>
    </row>
    <row r="3611" ht="14.25" customHeight="1">
      <c r="A3611" s="8" t="s">
        <v>16</v>
      </c>
      <c r="B3611" s="8">
        <v>6.8</v>
      </c>
      <c r="F3611" s="4"/>
      <c r="G3611" s="4"/>
      <c r="H3611" s="4"/>
      <c r="I3611" s="15"/>
      <c r="J3611" s="4"/>
    </row>
    <row r="3612" ht="14.25" customHeight="1">
      <c r="A3612" s="8" t="s">
        <v>16</v>
      </c>
      <c r="B3612" s="8">
        <v>7.7</v>
      </c>
      <c r="F3612" s="4"/>
      <c r="G3612" s="4"/>
      <c r="H3612" s="4"/>
      <c r="I3612" s="15"/>
      <c r="J3612" s="4"/>
    </row>
    <row r="3613" ht="14.25" customHeight="1">
      <c r="A3613" s="8" t="s">
        <v>16</v>
      </c>
      <c r="B3613" s="8">
        <v>5.9</v>
      </c>
      <c r="F3613" s="4"/>
      <c r="G3613" s="4"/>
      <c r="H3613" s="4"/>
      <c r="I3613" s="15"/>
      <c r="J3613" s="4"/>
    </row>
    <row r="3614" ht="14.25" customHeight="1">
      <c r="A3614" s="8" t="s">
        <v>16</v>
      </c>
      <c r="B3614" s="8">
        <v>7.0</v>
      </c>
      <c r="F3614" s="4"/>
      <c r="G3614" s="4"/>
      <c r="H3614" s="4"/>
      <c r="I3614" s="15"/>
      <c r="J3614" s="4"/>
    </row>
    <row r="3615" ht="14.25" customHeight="1">
      <c r="A3615" s="8" t="s">
        <v>16</v>
      </c>
      <c r="B3615" s="8">
        <v>6.1</v>
      </c>
      <c r="F3615" s="4"/>
      <c r="G3615" s="4"/>
      <c r="H3615" s="4"/>
      <c r="I3615" s="15"/>
      <c r="J3615" s="4"/>
    </row>
    <row r="3616" ht="14.25" customHeight="1">
      <c r="A3616" s="8" t="s">
        <v>7276</v>
      </c>
      <c r="B3616" s="8">
        <v>7.6</v>
      </c>
      <c r="F3616" s="4"/>
      <c r="G3616" s="4"/>
      <c r="H3616" s="4"/>
      <c r="I3616" s="15"/>
      <c r="J3616" s="4"/>
    </row>
    <row r="3617" ht="14.25" customHeight="1">
      <c r="A3617" s="8" t="s">
        <v>16</v>
      </c>
      <c r="B3617" s="8">
        <v>8.1</v>
      </c>
      <c r="F3617" s="4"/>
      <c r="G3617" s="4"/>
      <c r="H3617" s="4"/>
      <c r="I3617" s="15"/>
      <c r="J3617" s="4"/>
    </row>
    <row r="3618" ht="14.25" customHeight="1">
      <c r="A3618" s="8" t="s">
        <v>16</v>
      </c>
      <c r="B3618" s="8">
        <v>6.8</v>
      </c>
      <c r="F3618" s="4"/>
      <c r="G3618" s="4"/>
      <c r="H3618" s="4"/>
      <c r="I3618" s="15"/>
      <c r="J3618" s="4"/>
    </row>
    <row r="3619" ht="14.25" customHeight="1">
      <c r="A3619" s="8" t="s">
        <v>16</v>
      </c>
      <c r="B3619" s="8">
        <v>5.7</v>
      </c>
      <c r="F3619" s="4"/>
      <c r="G3619" s="4"/>
      <c r="H3619" s="4"/>
      <c r="I3619" s="15"/>
      <c r="J3619" s="4"/>
    </row>
    <row r="3620" ht="14.25" customHeight="1">
      <c r="A3620" s="8" t="s">
        <v>16</v>
      </c>
      <c r="B3620" s="8">
        <v>6.6</v>
      </c>
      <c r="F3620" s="4"/>
      <c r="G3620" s="4"/>
      <c r="H3620" s="4"/>
      <c r="I3620" s="15"/>
      <c r="J3620" s="4"/>
    </row>
    <row r="3621" ht="14.25" customHeight="1">
      <c r="A3621" s="8" t="s">
        <v>16</v>
      </c>
      <c r="B3621" s="8">
        <v>7.3</v>
      </c>
      <c r="F3621" s="4"/>
      <c r="G3621" s="4"/>
      <c r="H3621" s="4"/>
      <c r="I3621" s="15"/>
      <c r="J3621" s="4"/>
    </row>
    <row r="3622" ht="14.25" customHeight="1">
      <c r="A3622" s="8" t="s">
        <v>16</v>
      </c>
      <c r="B3622" s="8">
        <v>5.0</v>
      </c>
      <c r="F3622" s="4"/>
      <c r="G3622" s="4"/>
      <c r="H3622" s="4"/>
      <c r="I3622" s="15"/>
      <c r="J3622" s="4"/>
    </row>
    <row r="3623" ht="14.25" customHeight="1">
      <c r="A3623" s="8" t="s">
        <v>16</v>
      </c>
      <c r="B3623" s="8">
        <v>7.0</v>
      </c>
      <c r="F3623" s="4"/>
      <c r="G3623" s="4"/>
      <c r="H3623" s="4"/>
      <c r="I3623" s="15"/>
      <c r="J3623" s="4"/>
    </row>
    <row r="3624" ht="14.25" customHeight="1">
      <c r="A3624" s="8" t="s">
        <v>16</v>
      </c>
      <c r="B3624" s="8">
        <v>3.4</v>
      </c>
      <c r="F3624" s="4"/>
      <c r="G3624" s="4"/>
      <c r="H3624" s="4"/>
      <c r="I3624" s="15"/>
      <c r="J3624" s="4"/>
    </row>
    <row r="3625" ht="14.25" customHeight="1">
      <c r="A3625" s="8" t="s">
        <v>16</v>
      </c>
      <c r="B3625" s="8">
        <v>5.9</v>
      </c>
      <c r="F3625" s="4"/>
      <c r="G3625" s="4"/>
      <c r="H3625" s="4"/>
      <c r="I3625" s="15"/>
      <c r="J3625" s="4"/>
    </row>
    <row r="3626" ht="14.25" customHeight="1">
      <c r="A3626" s="8" t="s">
        <v>3076</v>
      </c>
      <c r="B3626" s="8">
        <v>6.0</v>
      </c>
      <c r="F3626" s="4"/>
      <c r="G3626" s="4"/>
      <c r="H3626" s="4"/>
      <c r="I3626" s="15"/>
      <c r="J3626" s="4"/>
    </row>
    <row r="3627" ht="14.25" customHeight="1">
      <c r="A3627" s="8" t="s">
        <v>16</v>
      </c>
      <c r="B3627" s="8">
        <v>7.4</v>
      </c>
      <c r="F3627" s="4"/>
      <c r="G3627" s="4"/>
      <c r="H3627" s="4"/>
      <c r="I3627" s="15"/>
      <c r="J3627" s="4"/>
    </row>
    <row r="3628" ht="14.25" customHeight="1">
      <c r="A3628" s="8" t="s">
        <v>16</v>
      </c>
      <c r="B3628" s="8">
        <v>7.4</v>
      </c>
      <c r="F3628" s="4"/>
      <c r="G3628" s="4"/>
      <c r="H3628" s="4"/>
      <c r="I3628" s="15"/>
      <c r="J3628" s="4"/>
    </row>
    <row r="3629" ht="14.25" customHeight="1">
      <c r="A3629" s="8" t="s">
        <v>16</v>
      </c>
      <c r="B3629" s="8">
        <v>4.2</v>
      </c>
      <c r="F3629" s="4"/>
      <c r="G3629" s="4"/>
      <c r="H3629" s="4"/>
      <c r="I3629" s="15"/>
      <c r="J3629" s="4"/>
    </row>
    <row r="3630" ht="14.25" customHeight="1">
      <c r="A3630" s="8" t="s">
        <v>16</v>
      </c>
      <c r="B3630" s="8">
        <v>6.2</v>
      </c>
      <c r="F3630" s="4"/>
      <c r="G3630" s="4"/>
      <c r="H3630" s="4"/>
      <c r="I3630" s="15"/>
      <c r="J3630" s="4"/>
    </row>
    <row r="3631" ht="14.25" customHeight="1">
      <c r="A3631" s="8" t="s">
        <v>16</v>
      </c>
      <c r="B3631" s="8">
        <v>5.4</v>
      </c>
      <c r="F3631" s="4"/>
      <c r="G3631" s="4"/>
      <c r="H3631" s="4"/>
      <c r="I3631" s="15"/>
      <c r="J3631" s="4"/>
    </row>
    <row r="3632" ht="14.25" customHeight="1">
      <c r="A3632" s="8" t="s">
        <v>16</v>
      </c>
      <c r="B3632" s="8">
        <v>7.2</v>
      </c>
      <c r="F3632" s="4"/>
      <c r="G3632" s="4"/>
      <c r="H3632" s="4"/>
      <c r="I3632" s="15"/>
      <c r="J3632" s="4"/>
    </row>
    <row r="3633" ht="14.25" customHeight="1">
      <c r="A3633" s="8" t="s">
        <v>16</v>
      </c>
      <c r="B3633" s="8">
        <v>6.7</v>
      </c>
      <c r="F3633" s="4"/>
      <c r="G3633" s="4"/>
      <c r="H3633" s="4"/>
      <c r="I3633" s="15"/>
      <c r="J3633" s="4"/>
    </row>
    <row r="3634" ht="14.25" customHeight="1">
      <c r="A3634" s="8" t="s">
        <v>16</v>
      </c>
      <c r="B3634" s="8">
        <v>7.5</v>
      </c>
      <c r="F3634" s="4"/>
      <c r="G3634" s="4"/>
      <c r="H3634" s="4"/>
      <c r="I3634" s="15"/>
      <c r="J3634" s="4"/>
    </row>
    <row r="3635" ht="14.25" customHeight="1">
      <c r="A3635" s="8" t="s">
        <v>16</v>
      </c>
      <c r="B3635" s="8">
        <v>7.2</v>
      </c>
      <c r="F3635" s="4"/>
      <c r="G3635" s="4"/>
      <c r="H3635" s="4"/>
      <c r="I3635" s="15"/>
      <c r="J3635" s="4"/>
    </row>
    <row r="3636" ht="14.25" customHeight="1">
      <c r="A3636" s="8" t="s">
        <v>16</v>
      </c>
      <c r="B3636" s="8">
        <v>7.4</v>
      </c>
      <c r="F3636" s="4"/>
      <c r="G3636" s="4"/>
      <c r="H3636" s="4"/>
      <c r="I3636" s="15"/>
      <c r="J3636" s="4"/>
    </row>
    <row r="3637" ht="14.25" customHeight="1">
      <c r="A3637" s="8" t="s">
        <v>16</v>
      </c>
      <c r="B3637" s="8">
        <v>5.6</v>
      </c>
      <c r="F3637" s="4"/>
      <c r="G3637" s="4"/>
      <c r="H3637" s="4"/>
      <c r="I3637" s="15"/>
      <c r="J3637" s="4"/>
    </row>
    <row r="3638" ht="14.25" customHeight="1">
      <c r="A3638" s="8" t="s">
        <v>16</v>
      </c>
      <c r="B3638" s="8">
        <v>6.8</v>
      </c>
      <c r="F3638" s="4"/>
      <c r="G3638" s="4"/>
      <c r="H3638" s="4"/>
      <c r="I3638" s="15"/>
      <c r="J3638" s="4"/>
    </row>
    <row r="3639" ht="14.25" customHeight="1">
      <c r="A3639" s="8" t="s">
        <v>16</v>
      </c>
      <c r="B3639" s="8">
        <v>7.7</v>
      </c>
      <c r="F3639" s="4"/>
      <c r="G3639" s="4"/>
      <c r="H3639" s="4"/>
      <c r="I3639" s="15"/>
      <c r="J3639" s="4"/>
    </row>
    <row r="3640" ht="14.25" customHeight="1">
      <c r="A3640" s="8" t="s">
        <v>16</v>
      </c>
      <c r="B3640" s="8">
        <v>7.0</v>
      </c>
      <c r="F3640" s="4"/>
      <c r="G3640" s="4"/>
      <c r="H3640" s="4"/>
      <c r="I3640" s="15"/>
      <c r="J3640" s="4"/>
    </row>
    <row r="3641" ht="14.25" customHeight="1">
      <c r="A3641" s="8" t="s">
        <v>16</v>
      </c>
      <c r="B3641" s="8">
        <v>6.4</v>
      </c>
      <c r="F3641" s="4"/>
      <c r="G3641" s="4"/>
      <c r="H3641" s="4"/>
      <c r="I3641" s="15"/>
      <c r="J3641" s="4"/>
    </row>
    <row r="3642" ht="14.25" customHeight="1">
      <c r="A3642" s="8" t="s">
        <v>16</v>
      </c>
      <c r="B3642" s="8">
        <v>7.2</v>
      </c>
      <c r="F3642" s="4"/>
      <c r="G3642" s="4"/>
      <c r="H3642" s="4"/>
      <c r="I3642" s="15"/>
      <c r="J3642" s="4"/>
    </row>
    <row r="3643" ht="14.25" customHeight="1">
      <c r="A3643" s="8" t="s">
        <v>16</v>
      </c>
      <c r="B3643" s="8">
        <v>7.2</v>
      </c>
      <c r="F3643" s="4"/>
      <c r="G3643" s="4"/>
      <c r="H3643" s="4"/>
      <c r="I3643" s="15"/>
      <c r="J3643" s="4"/>
    </row>
    <row r="3644" ht="14.25" customHeight="1">
      <c r="A3644" s="8" t="s">
        <v>5555</v>
      </c>
      <c r="B3644" s="8">
        <v>6.2</v>
      </c>
      <c r="F3644" s="4"/>
      <c r="G3644" s="4"/>
      <c r="H3644" s="4"/>
      <c r="I3644" s="15"/>
      <c r="J3644" s="4"/>
    </row>
    <row r="3645" ht="14.25" customHeight="1">
      <c r="A3645" s="8" t="s">
        <v>16</v>
      </c>
      <c r="B3645" s="8">
        <v>6.2</v>
      </c>
      <c r="F3645" s="4"/>
      <c r="G3645" s="4"/>
      <c r="H3645" s="4"/>
      <c r="I3645" s="15"/>
      <c r="J3645" s="4"/>
    </row>
    <row r="3646" ht="14.25" customHeight="1">
      <c r="A3646" s="8" t="s">
        <v>16</v>
      </c>
      <c r="B3646" s="8">
        <v>6.9</v>
      </c>
      <c r="F3646" s="4"/>
      <c r="G3646" s="4"/>
      <c r="H3646" s="4"/>
      <c r="I3646" s="15"/>
      <c r="J3646" s="4"/>
    </row>
    <row r="3647" ht="14.25" customHeight="1">
      <c r="A3647" s="8" t="s">
        <v>16</v>
      </c>
      <c r="B3647" s="8">
        <v>7.0</v>
      </c>
      <c r="F3647" s="4"/>
      <c r="G3647" s="4"/>
      <c r="H3647" s="4"/>
      <c r="I3647" s="15"/>
      <c r="J3647" s="4"/>
    </row>
    <row r="3648" ht="14.25" customHeight="1">
      <c r="A3648" s="8" t="s">
        <v>16</v>
      </c>
      <c r="B3648" s="8">
        <v>6.7</v>
      </c>
      <c r="F3648" s="4"/>
      <c r="G3648" s="4"/>
      <c r="H3648" s="4"/>
      <c r="I3648" s="15"/>
      <c r="J3648" s="4"/>
    </row>
    <row r="3649" ht="14.25" customHeight="1">
      <c r="A3649" s="8" t="s">
        <v>16</v>
      </c>
      <c r="B3649" s="8">
        <v>3.6</v>
      </c>
      <c r="F3649" s="4"/>
      <c r="G3649" s="4"/>
      <c r="H3649" s="4"/>
      <c r="I3649" s="15"/>
      <c r="J3649" s="4"/>
    </row>
    <row r="3650" ht="14.25" customHeight="1">
      <c r="A3650" s="8" t="s">
        <v>16</v>
      </c>
      <c r="B3650" s="8">
        <v>7.4</v>
      </c>
      <c r="F3650" s="4"/>
      <c r="G3650" s="4"/>
      <c r="H3650" s="4"/>
      <c r="I3650" s="15"/>
      <c r="J3650" s="4"/>
    </row>
    <row r="3651" ht="14.25" customHeight="1">
      <c r="A3651" s="8" t="s">
        <v>16</v>
      </c>
      <c r="B3651" s="8">
        <v>6.1</v>
      </c>
      <c r="F3651" s="4"/>
      <c r="G3651" s="4"/>
      <c r="H3651" s="4"/>
      <c r="I3651" s="15"/>
      <c r="J3651" s="4"/>
    </row>
    <row r="3652" ht="14.25" customHeight="1">
      <c r="A3652" s="8" t="s">
        <v>16</v>
      </c>
      <c r="B3652" s="8">
        <v>6.7</v>
      </c>
      <c r="F3652" s="4"/>
      <c r="G3652" s="4"/>
      <c r="H3652" s="4"/>
      <c r="I3652" s="15"/>
      <c r="J3652" s="4"/>
    </row>
    <row r="3653" ht="14.25" customHeight="1">
      <c r="A3653" s="8" t="s">
        <v>7276</v>
      </c>
      <c r="B3653" s="8">
        <v>8.2</v>
      </c>
      <c r="F3653" s="4"/>
      <c r="G3653" s="4"/>
      <c r="H3653" s="4"/>
      <c r="I3653" s="15"/>
      <c r="J3653" s="4"/>
    </row>
    <row r="3654" ht="14.25" customHeight="1">
      <c r="A3654" s="8" t="s">
        <v>16</v>
      </c>
      <c r="B3654" s="8">
        <v>7.7</v>
      </c>
      <c r="F3654" s="4"/>
      <c r="G3654" s="4"/>
      <c r="H3654" s="4"/>
      <c r="I3654" s="15"/>
      <c r="J3654" s="4"/>
    </row>
    <row r="3655" ht="14.25" customHeight="1">
      <c r="A3655" s="8" t="s">
        <v>16</v>
      </c>
      <c r="B3655" s="8">
        <v>7.3</v>
      </c>
      <c r="F3655" s="4"/>
      <c r="G3655" s="4"/>
      <c r="H3655" s="4"/>
      <c r="I3655" s="15"/>
      <c r="J3655" s="4"/>
    </row>
    <row r="3656" ht="14.25" customHeight="1">
      <c r="A3656" s="8" t="s">
        <v>16</v>
      </c>
      <c r="B3656" s="8">
        <v>7.6</v>
      </c>
      <c r="F3656" s="4"/>
      <c r="G3656" s="4"/>
      <c r="H3656" s="4"/>
      <c r="I3656" s="15"/>
      <c r="J3656" s="4"/>
    </row>
    <row r="3657" ht="14.25" customHeight="1">
      <c r="A3657" s="8" t="s">
        <v>16</v>
      </c>
      <c r="B3657" s="8">
        <v>6.8</v>
      </c>
      <c r="F3657" s="4"/>
      <c r="G3657" s="4"/>
      <c r="H3657" s="4"/>
      <c r="I3657" s="15"/>
      <c r="J3657" s="4"/>
    </row>
    <row r="3658" ht="14.25" customHeight="1">
      <c r="A3658" s="8" t="s">
        <v>16</v>
      </c>
      <c r="B3658" s="8">
        <v>5.6</v>
      </c>
      <c r="F3658" s="4"/>
      <c r="G3658" s="4"/>
      <c r="H3658" s="4"/>
      <c r="I3658" s="15"/>
      <c r="J3658" s="4"/>
    </row>
    <row r="3659" ht="14.25" customHeight="1">
      <c r="A3659" s="8" t="s">
        <v>5555</v>
      </c>
      <c r="B3659" s="8">
        <v>4.8</v>
      </c>
      <c r="F3659" s="4"/>
      <c r="G3659" s="4"/>
      <c r="H3659" s="4"/>
      <c r="I3659" s="15"/>
      <c r="J3659" s="4"/>
    </row>
    <row r="3660" ht="14.25" customHeight="1">
      <c r="A3660" s="8" t="s">
        <v>16</v>
      </c>
      <c r="B3660" s="8">
        <v>6.4</v>
      </c>
      <c r="F3660" s="4"/>
      <c r="G3660" s="4"/>
      <c r="H3660" s="4"/>
      <c r="I3660" s="15"/>
      <c r="J3660" s="4"/>
    </row>
    <row r="3661" ht="14.25" customHeight="1">
      <c r="A3661" s="8" t="s">
        <v>16</v>
      </c>
      <c r="B3661" s="8">
        <v>6.8</v>
      </c>
      <c r="F3661" s="4"/>
      <c r="G3661" s="4"/>
      <c r="H3661" s="4"/>
      <c r="I3661" s="15"/>
      <c r="J3661" s="4"/>
    </row>
    <row r="3662" ht="14.25" customHeight="1">
      <c r="A3662" s="8" t="s">
        <v>16</v>
      </c>
      <c r="B3662" s="8">
        <v>6.1</v>
      </c>
      <c r="F3662" s="4"/>
      <c r="G3662" s="4"/>
      <c r="H3662" s="4"/>
      <c r="I3662" s="15"/>
      <c r="J3662" s="4"/>
    </row>
    <row r="3663" ht="14.25" customHeight="1">
      <c r="A3663" s="8" t="s">
        <v>16</v>
      </c>
      <c r="B3663" s="8">
        <v>6.0</v>
      </c>
      <c r="F3663" s="4"/>
      <c r="G3663" s="4"/>
      <c r="H3663" s="4"/>
      <c r="I3663" s="15"/>
      <c r="J3663" s="4"/>
    </row>
    <row r="3664" ht="14.25" customHeight="1">
      <c r="A3664" s="8" t="s">
        <v>16</v>
      </c>
      <c r="B3664" s="8">
        <v>6.1</v>
      </c>
      <c r="F3664" s="4"/>
      <c r="G3664" s="4"/>
      <c r="H3664" s="4"/>
      <c r="I3664" s="15"/>
      <c r="J3664" s="4"/>
    </row>
    <row r="3665" ht="14.25" customHeight="1">
      <c r="A3665" s="8" t="s">
        <v>16</v>
      </c>
      <c r="B3665" s="8">
        <v>5.5</v>
      </c>
      <c r="F3665" s="4"/>
      <c r="G3665" s="4"/>
      <c r="H3665" s="4"/>
      <c r="I3665" s="15"/>
      <c r="J3665" s="4"/>
    </row>
    <row r="3666" ht="14.25" customHeight="1">
      <c r="A3666" s="8" t="s">
        <v>16</v>
      </c>
      <c r="B3666" s="8">
        <v>6.9</v>
      </c>
      <c r="F3666" s="4"/>
      <c r="G3666" s="4"/>
      <c r="H3666" s="4"/>
      <c r="I3666" s="15"/>
      <c r="J3666" s="4"/>
    </row>
    <row r="3667" ht="14.25" customHeight="1">
      <c r="A3667" s="8" t="s">
        <v>16</v>
      </c>
      <c r="B3667" s="8">
        <v>4.1</v>
      </c>
      <c r="F3667" s="4"/>
      <c r="G3667" s="4"/>
      <c r="H3667" s="4"/>
      <c r="I3667" s="15"/>
      <c r="J3667" s="4"/>
    </row>
    <row r="3668" ht="14.25" customHeight="1">
      <c r="A3668" s="8" t="s">
        <v>16</v>
      </c>
      <c r="B3668" s="8">
        <v>5.4</v>
      </c>
      <c r="F3668" s="4"/>
      <c r="G3668" s="4"/>
      <c r="H3668" s="4"/>
      <c r="I3668" s="15"/>
      <c r="J3668" s="4"/>
    </row>
    <row r="3669" ht="14.25" customHeight="1">
      <c r="A3669" s="8" t="s">
        <v>16</v>
      </c>
      <c r="B3669" s="8">
        <v>8.2</v>
      </c>
      <c r="F3669" s="4"/>
      <c r="G3669" s="4"/>
      <c r="H3669" s="4"/>
      <c r="I3669" s="15"/>
      <c r="J3669" s="4"/>
    </row>
    <row r="3670" ht="14.25" customHeight="1">
      <c r="A3670" s="8" t="s">
        <v>16</v>
      </c>
      <c r="B3670" s="8">
        <v>5.7</v>
      </c>
      <c r="F3670" s="4"/>
      <c r="G3670" s="4"/>
      <c r="H3670" s="4"/>
      <c r="I3670" s="15"/>
      <c r="J3670" s="4"/>
    </row>
    <row r="3671" ht="14.25" customHeight="1">
      <c r="A3671" s="8" t="s">
        <v>7391</v>
      </c>
      <c r="B3671" s="8">
        <v>7.9</v>
      </c>
      <c r="F3671" s="4"/>
      <c r="G3671" s="4"/>
      <c r="H3671" s="4"/>
      <c r="I3671" s="15"/>
      <c r="J3671" s="4"/>
    </row>
    <row r="3672" ht="14.25" customHeight="1">
      <c r="A3672" s="8" t="s">
        <v>16</v>
      </c>
      <c r="B3672" s="8">
        <v>7.1</v>
      </c>
      <c r="F3672" s="4"/>
      <c r="G3672" s="4"/>
      <c r="H3672" s="4"/>
      <c r="I3672" s="15"/>
      <c r="J3672" s="4"/>
    </row>
    <row r="3673" ht="14.25" customHeight="1">
      <c r="A3673" s="8" t="s">
        <v>16</v>
      </c>
      <c r="B3673" s="8">
        <v>6.4</v>
      </c>
      <c r="F3673" s="4"/>
      <c r="G3673" s="4"/>
      <c r="H3673" s="4"/>
      <c r="I3673" s="15"/>
      <c r="J3673" s="4"/>
    </row>
    <row r="3674" ht="14.25" customHeight="1">
      <c r="A3674" s="8" t="s">
        <v>16</v>
      </c>
      <c r="B3674" s="8">
        <v>7.5</v>
      </c>
      <c r="F3674" s="4"/>
      <c r="G3674" s="4"/>
      <c r="H3674" s="4"/>
      <c r="I3674" s="15"/>
      <c r="J3674" s="4"/>
    </row>
    <row r="3675" ht="14.25" customHeight="1">
      <c r="A3675" s="8" t="s">
        <v>16</v>
      </c>
      <c r="B3675" s="8">
        <v>6.4</v>
      </c>
      <c r="F3675" s="4"/>
      <c r="G3675" s="4"/>
      <c r="H3675" s="4"/>
      <c r="I3675" s="15"/>
      <c r="J3675" s="4"/>
    </row>
    <row r="3676" ht="14.25" customHeight="1">
      <c r="A3676" s="8" t="s">
        <v>16</v>
      </c>
      <c r="B3676" s="8">
        <v>7.3</v>
      </c>
      <c r="F3676" s="4"/>
      <c r="G3676" s="4"/>
      <c r="H3676" s="4"/>
      <c r="I3676" s="15"/>
      <c r="J3676" s="4"/>
    </row>
    <row r="3677" ht="14.25" customHeight="1">
      <c r="A3677" s="8" t="s">
        <v>16</v>
      </c>
      <c r="B3677" s="8">
        <v>6.5</v>
      </c>
      <c r="F3677" s="4"/>
      <c r="G3677" s="4"/>
      <c r="H3677" s="4"/>
      <c r="I3677" s="15"/>
      <c r="J3677" s="4"/>
    </row>
    <row r="3678" ht="14.25" customHeight="1">
      <c r="A3678" s="8" t="s">
        <v>16</v>
      </c>
      <c r="B3678" s="8">
        <v>7.2</v>
      </c>
      <c r="F3678" s="4"/>
      <c r="G3678" s="4"/>
      <c r="H3678" s="4"/>
      <c r="I3678" s="15"/>
      <c r="J3678" s="4"/>
    </row>
    <row r="3679" ht="14.25" customHeight="1">
      <c r="A3679" s="8" t="s">
        <v>16</v>
      </c>
      <c r="B3679" s="8">
        <v>6.0</v>
      </c>
      <c r="F3679" s="4"/>
      <c r="G3679" s="4"/>
      <c r="H3679" s="4"/>
      <c r="I3679" s="15"/>
      <c r="J3679" s="4"/>
    </row>
    <row r="3680" ht="14.25" customHeight="1">
      <c r="A3680" s="8" t="s">
        <v>16</v>
      </c>
      <c r="B3680" s="8">
        <v>5.6</v>
      </c>
      <c r="F3680" s="4"/>
      <c r="G3680" s="4"/>
      <c r="H3680" s="4"/>
      <c r="I3680" s="15"/>
      <c r="J3680" s="4"/>
    </row>
    <row r="3681" ht="14.25" customHeight="1">
      <c r="A3681" s="8" t="s">
        <v>7414</v>
      </c>
      <c r="B3681" s="8">
        <v>8.4</v>
      </c>
      <c r="F3681" s="4"/>
      <c r="G3681" s="4"/>
      <c r="H3681" s="4"/>
      <c r="I3681" s="15"/>
      <c r="J3681" s="4"/>
    </row>
    <row r="3682" ht="14.25" customHeight="1">
      <c r="A3682" s="8" t="s">
        <v>16</v>
      </c>
      <c r="B3682" s="8">
        <v>7.5</v>
      </c>
      <c r="F3682" s="4"/>
      <c r="G3682" s="4"/>
      <c r="H3682" s="4"/>
      <c r="I3682" s="15"/>
      <c r="J3682" s="4"/>
    </row>
    <row r="3683" ht="14.25" customHeight="1">
      <c r="A3683" s="8" t="s">
        <v>16</v>
      </c>
      <c r="B3683" s="8">
        <v>7.2</v>
      </c>
      <c r="F3683" s="4"/>
      <c r="G3683" s="4"/>
      <c r="H3683" s="4"/>
      <c r="I3683" s="15"/>
      <c r="J3683" s="4"/>
    </row>
    <row r="3684" ht="14.25" customHeight="1">
      <c r="A3684" s="8" t="s">
        <v>16</v>
      </c>
      <c r="B3684" s="8">
        <v>7.2</v>
      </c>
      <c r="F3684" s="4"/>
      <c r="G3684" s="4"/>
      <c r="H3684" s="4"/>
      <c r="I3684" s="15"/>
      <c r="J3684" s="4"/>
    </row>
    <row r="3685" ht="14.25" customHeight="1">
      <c r="A3685" s="8" t="s">
        <v>16</v>
      </c>
      <c r="B3685" s="8">
        <v>6.5</v>
      </c>
      <c r="F3685" s="4"/>
      <c r="G3685" s="4"/>
      <c r="H3685" s="4"/>
      <c r="I3685" s="15"/>
      <c r="J3685" s="4"/>
    </row>
    <row r="3686" ht="14.25" customHeight="1">
      <c r="A3686" s="8" t="s">
        <v>16</v>
      </c>
      <c r="B3686" s="8">
        <v>5.1</v>
      </c>
      <c r="F3686" s="4"/>
      <c r="G3686" s="4"/>
      <c r="H3686" s="4"/>
      <c r="I3686" s="15"/>
      <c r="J3686" s="4"/>
    </row>
    <row r="3687" ht="14.25" customHeight="1">
      <c r="A3687" s="8" t="s">
        <v>6375</v>
      </c>
      <c r="B3687" s="8">
        <v>6.4</v>
      </c>
      <c r="F3687" s="4"/>
      <c r="G3687" s="4"/>
      <c r="H3687" s="4"/>
      <c r="I3687" s="15"/>
      <c r="J3687" s="4"/>
    </row>
    <row r="3688" ht="14.25" customHeight="1">
      <c r="A3688" s="8" t="s">
        <v>16</v>
      </c>
      <c r="B3688" s="8">
        <v>6.8</v>
      </c>
      <c r="F3688" s="4"/>
      <c r="G3688" s="4"/>
      <c r="H3688" s="4"/>
      <c r="I3688" s="15"/>
      <c r="J3688" s="4"/>
    </row>
    <row r="3689" ht="14.25" customHeight="1">
      <c r="A3689" s="8" t="s">
        <v>16</v>
      </c>
      <c r="B3689" s="8">
        <v>7.5</v>
      </c>
      <c r="F3689" s="4"/>
      <c r="G3689" s="4"/>
      <c r="H3689" s="4"/>
      <c r="I3689" s="15"/>
      <c r="J3689" s="4"/>
    </row>
    <row r="3690" ht="14.25" customHeight="1">
      <c r="A3690" s="8" t="s">
        <v>16</v>
      </c>
      <c r="B3690" s="8">
        <v>6.9</v>
      </c>
      <c r="F3690" s="4"/>
      <c r="G3690" s="4"/>
      <c r="H3690" s="4"/>
      <c r="I3690" s="15"/>
      <c r="J3690" s="4"/>
    </row>
    <row r="3691" ht="14.25" customHeight="1">
      <c r="A3691" s="8" t="s">
        <v>16</v>
      </c>
      <c r="B3691" s="8">
        <v>7.0</v>
      </c>
      <c r="F3691" s="4"/>
      <c r="G3691" s="4"/>
      <c r="H3691" s="4"/>
      <c r="I3691" s="15"/>
      <c r="J3691" s="4"/>
    </row>
    <row r="3692" ht="14.25" customHeight="1">
      <c r="A3692" s="8" t="s">
        <v>16</v>
      </c>
      <c r="B3692" s="8">
        <v>6.3</v>
      </c>
      <c r="F3692" s="4"/>
      <c r="G3692" s="4"/>
      <c r="H3692" s="4"/>
      <c r="I3692" s="15"/>
      <c r="J3692" s="4"/>
    </row>
    <row r="3693" ht="14.25" customHeight="1">
      <c r="A3693" s="8" t="s">
        <v>16</v>
      </c>
      <c r="B3693" s="8">
        <v>5.5</v>
      </c>
      <c r="F3693" s="4"/>
      <c r="G3693" s="4"/>
      <c r="H3693" s="4"/>
      <c r="I3693" s="15"/>
      <c r="J3693" s="4"/>
    </row>
    <row r="3694" ht="14.25" customHeight="1">
      <c r="A3694" s="8" t="s">
        <v>16</v>
      </c>
      <c r="B3694" s="8">
        <v>4.8</v>
      </c>
      <c r="F3694" s="4"/>
      <c r="G3694" s="4"/>
      <c r="H3694" s="4"/>
      <c r="I3694" s="15"/>
      <c r="J3694" s="4"/>
    </row>
    <row r="3695" ht="14.25" customHeight="1">
      <c r="A3695" s="8" t="s">
        <v>16</v>
      </c>
      <c r="B3695" s="8">
        <v>6.6</v>
      </c>
      <c r="F3695" s="4"/>
      <c r="G3695" s="4"/>
      <c r="H3695" s="4"/>
      <c r="I3695" s="15"/>
      <c r="J3695" s="4"/>
    </row>
    <row r="3696" ht="14.25" customHeight="1">
      <c r="A3696" s="8" t="s">
        <v>16</v>
      </c>
      <c r="B3696" s="8">
        <v>5.2</v>
      </c>
      <c r="F3696" s="4"/>
      <c r="G3696" s="4"/>
      <c r="H3696" s="4"/>
      <c r="I3696" s="15"/>
      <c r="J3696" s="4"/>
    </row>
    <row r="3697" ht="14.25" customHeight="1">
      <c r="A3697" s="8" t="s">
        <v>16</v>
      </c>
      <c r="B3697" s="8">
        <v>8.3</v>
      </c>
      <c r="F3697" s="4"/>
      <c r="G3697" s="4"/>
      <c r="H3697" s="4"/>
      <c r="I3697" s="15"/>
      <c r="J3697" s="4"/>
    </row>
    <row r="3698" ht="14.25" customHeight="1">
      <c r="A3698" s="8" t="s">
        <v>16</v>
      </c>
      <c r="B3698" s="8">
        <v>7.2</v>
      </c>
      <c r="F3698" s="4"/>
      <c r="G3698" s="4"/>
      <c r="H3698" s="4"/>
      <c r="I3698" s="15"/>
      <c r="J3698" s="4"/>
    </row>
    <row r="3699" ht="14.25" customHeight="1">
      <c r="A3699" s="8" t="s">
        <v>16</v>
      </c>
      <c r="B3699" s="8">
        <v>7.2</v>
      </c>
      <c r="F3699" s="4"/>
      <c r="G3699" s="4"/>
      <c r="H3699" s="4"/>
      <c r="I3699" s="15"/>
      <c r="J3699" s="4"/>
    </row>
    <row r="3700" ht="14.25" customHeight="1">
      <c r="A3700" s="8" t="s">
        <v>16</v>
      </c>
      <c r="B3700" s="8">
        <v>5.3</v>
      </c>
      <c r="F3700" s="4"/>
      <c r="G3700" s="4"/>
      <c r="H3700" s="4"/>
      <c r="I3700" s="15"/>
      <c r="J3700" s="4"/>
    </row>
    <row r="3701" ht="14.25" customHeight="1">
      <c r="A3701" s="8" t="s">
        <v>16</v>
      </c>
      <c r="B3701" s="8">
        <v>7.2</v>
      </c>
      <c r="F3701" s="4"/>
      <c r="G3701" s="4"/>
      <c r="H3701" s="4"/>
      <c r="I3701" s="15"/>
      <c r="J3701" s="4"/>
    </row>
    <row r="3702" ht="14.25" customHeight="1">
      <c r="A3702" s="8" t="s">
        <v>16</v>
      </c>
      <c r="B3702" s="8">
        <v>6.5</v>
      </c>
      <c r="F3702" s="4"/>
      <c r="G3702" s="4"/>
      <c r="H3702" s="4"/>
      <c r="I3702" s="15"/>
      <c r="J3702" s="4"/>
    </row>
    <row r="3703" ht="14.25" customHeight="1">
      <c r="A3703" s="8" t="s">
        <v>16</v>
      </c>
      <c r="B3703" s="8">
        <v>6.5</v>
      </c>
      <c r="F3703" s="4"/>
      <c r="G3703" s="4"/>
      <c r="H3703" s="4"/>
      <c r="I3703" s="15"/>
      <c r="J3703" s="4"/>
    </row>
    <row r="3704" ht="14.25" customHeight="1">
      <c r="A3704" s="8" t="s">
        <v>16</v>
      </c>
      <c r="B3704" s="8">
        <v>7.8</v>
      </c>
      <c r="F3704" s="4"/>
      <c r="G3704" s="4"/>
      <c r="H3704" s="4"/>
      <c r="I3704" s="15"/>
      <c r="J3704" s="4"/>
    </row>
    <row r="3705" ht="14.25" customHeight="1">
      <c r="A3705" s="8" t="s">
        <v>16</v>
      </c>
      <c r="B3705" s="8">
        <v>6.4</v>
      </c>
      <c r="F3705" s="4"/>
      <c r="G3705" s="4"/>
      <c r="H3705" s="4"/>
      <c r="I3705" s="15"/>
      <c r="J3705" s="4"/>
    </row>
    <row r="3706" ht="14.25" customHeight="1">
      <c r="A3706" s="8" t="s">
        <v>16</v>
      </c>
      <c r="B3706" s="8">
        <v>8.1</v>
      </c>
      <c r="F3706" s="4"/>
      <c r="G3706" s="4"/>
      <c r="H3706" s="4"/>
      <c r="I3706" s="15"/>
      <c r="J3706" s="4"/>
    </row>
    <row r="3707" ht="14.25" customHeight="1">
      <c r="A3707" s="8" t="s">
        <v>16</v>
      </c>
      <c r="B3707" s="8">
        <v>5.6</v>
      </c>
      <c r="F3707" s="4"/>
      <c r="G3707" s="4"/>
      <c r="H3707" s="4"/>
      <c r="I3707" s="15"/>
      <c r="J3707" s="4"/>
    </row>
    <row r="3708" ht="14.25" customHeight="1">
      <c r="A3708" s="8" t="s">
        <v>16</v>
      </c>
      <c r="B3708" s="8">
        <v>6.6</v>
      </c>
      <c r="F3708" s="4"/>
      <c r="G3708" s="4"/>
      <c r="H3708" s="4"/>
      <c r="I3708" s="15"/>
      <c r="J3708" s="4"/>
    </row>
    <row r="3709" ht="14.25" customHeight="1">
      <c r="A3709" s="8" t="s">
        <v>16</v>
      </c>
      <c r="B3709" s="8">
        <v>7.7</v>
      </c>
      <c r="F3709" s="4"/>
      <c r="G3709" s="4"/>
      <c r="H3709" s="4"/>
      <c r="I3709" s="15"/>
      <c r="J3709" s="4"/>
    </row>
    <row r="3710" ht="14.25" customHeight="1">
      <c r="A3710" s="8" t="s">
        <v>16</v>
      </c>
      <c r="B3710" s="8">
        <v>6.5</v>
      </c>
      <c r="F3710" s="4"/>
      <c r="G3710" s="4"/>
      <c r="H3710" s="4"/>
      <c r="I3710" s="15"/>
      <c r="J3710" s="4"/>
    </row>
    <row r="3711" ht="14.25" customHeight="1">
      <c r="A3711" s="8" t="s">
        <v>16</v>
      </c>
      <c r="B3711" s="8">
        <v>6.1</v>
      </c>
      <c r="F3711" s="4"/>
      <c r="G3711" s="4"/>
      <c r="H3711" s="4"/>
      <c r="I3711" s="15"/>
      <c r="J3711" s="4"/>
    </row>
    <row r="3712" ht="14.25" customHeight="1">
      <c r="A3712" s="8" t="s">
        <v>16</v>
      </c>
      <c r="B3712" s="8">
        <v>5.7</v>
      </c>
      <c r="F3712" s="4"/>
      <c r="G3712" s="4"/>
      <c r="H3712" s="4"/>
      <c r="I3712" s="15"/>
      <c r="J3712" s="4"/>
    </row>
    <row r="3713" ht="14.25" customHeight="1">
      <c r="A3713" s="8" t="s">
        <v>16</v>
      </c>
      <c r="B3713" s="8">
        <v>5.9</v>
      </c>
      <c r="F3713" s="4"/>
      <c r="G3713" s="4"/>
      <c r="H3713" s="4"/>
      <c r="I3713" s="15"/>
      <c r="J3713" s="4"/>
    </row>
    <row r="3714" ht="14.25" customHeight="1">
      <c r="A3714" s="8" t="s">
        <v>16</v>
      </c>
      <c r="B3714" s="8">
        <v>7.7</v>
      </c>
      <c r="F3714" s="4"/>
      <c r="G3714" s="4"/>
      <c r="H3714" s="4"/>
      <c r="I3714" s="15"/>
      <c r="J3714" s="4"/>
    </row>
    <row r="3715" ht="14.25" customHeight="1">
      <c r="A3715" s="8" t="s">
        <v>16</v>
      </c>
      <c r="B3715" s="8">
        <v>7.1</v>
      </c>
      <c r="F3715" s="4"/>
      <c r="G3715" s="4"/>
      <c r="H3715" s="4"/>
      <c r="I3715" s="15"/>
      <c r="J3715" s="4"/>
    </row>
    <row r="3716" ht="14.25" customHeight="1">
      <c r="A3716" s="8" t="s">
        <v>16</v>
      </c>
      <c r="B3716" s="8">
        <v>7.6</v>
      </c>
      <c r="F3716" s="4"/>
      <c r="G3716" s="4"/>
      <c r="H3716" s="4"/>
      <c r="I3716" s="15"/>
      <c r="J3716" s="4"/>
    </row>
    <row r="3717" ht="14.25" customHeight="1">
      <c r="A3717" s="8" t="s">
        <v>16</v>
      </c>
      <c r="B3717" s="8">
        <v>6.4</v>
      </c>
      <c r="F3717" s="4"/>
      <c r="G3717" s="4"/>
      <c r="H3717" s="4"/>
      <c r="I3717" s="15"/>
      <c r="J3717" s="4"/>
    </row>
    <row r="3718" ht="14.25" customHeight="1">
      <c r="A3718" s="8" t="s">
        <v>4300</v>
      </c>
      <c r="B3718" s="8">
        <v>7.4</v>
      </c>
      <c r="F3718" s="4"/>
      <c r="G3718" s="4"/>
      <c r="H3718" s="4"/>
      <c r="I3718" s="15"/>
      <c r="J3718" s="4"/>
    </row>
    <row r="3719" ht="14.25" customHeight="1">
      <c r="A3719" s="8" t="s">
        <v>16</v>
      </c>
      <c r="B3719" s="8">
        <v>6.8</v>
      </c>
      <c r="F3719" s="4"/>
      <c r="G3719" s="4"/>
      <c r="H3719" s="4"/>
      <c r="I3719" s="15"/>
      <c r="J3719" s="4"/>
    </row>
    <row r="3720" ht="14.25" customHeight="1">
      <c r="A3720" s="8" t="s">
        <v>16</v>
      </c>
      <c r="B3720" s="8">
        <v>6.5</v>
      </c>
      <c r="F3720" s="4"/>
      <c r="G3720" s="4"/>
      <c r="H3720" s="4"/>
      <c r="I3720" s="15"/>
      <c r="J3720" s="4"/>
    </row>
    <row r="3721" ht="14.25" customHeight="1">
      <c r="A3721" s="8" t="s">
        <v>16</v>
      </c>
      <c r="B3721" s="8">
        <v>6.0</v>
      </c>
      <c r="F3721" s="4"/>
      <c r="G3721" s="4"/>
      <c r="H3721" s="4"/>
      <c r="I3721" s="15"/>
      <c r="J3721" s="4"/>
    </row>
    <row r="3722" ht="14.25" customHeight="1">
      <c r="A3722" s="8" t="s">
        <v>16</v>
      </c>
      <c r="B3722" s="8">
        <v>7.3</v>
      </c>
      <c r="F3722" s="4"/>
      <c r="G3722" s="4"/>
      <c r="H3722" s="4"/>
      <c r="I3722" s="15"/>
      <c r="J3722" s="4"/>
    </row>
    <row r="3723" ht="14.25" customHeight="1">
      <c r="A3723" s="8" t="s">
        <v>16</v>
      </c>
      <c r="B3723" s="8">
        <v>7.3</v>
      </c>
      <c r="F3723" s="4"/>
      <c r="G3723" s="4"/>
      <c r="H3723" s="4"/>
      <c r="I3723" s="15"/>
      <c r="J3723" s="4"/>
    </row>
    <row r="3724" ht="14.25" customHeight="1">
      <c r="A3724" s="8" t="s">
        <v>16</v>
      </c>
      <c r="B3724" s="8">
        <v>6.5</v>
      </c>
      <c r="F3724" s="4"/>
      <c r="G3724" s="4"/>
      <c r="H3724" s="4"/>
      <c r="I3724" s="15"/>
      <c r="J3724" s="4"/>
    </row>
    <row r="3725" ht="14.25" customHeight="1">
      <c r="A3725" s="8" t="s">
        <v>16</v>
      </c>
      <c r="B3725" s="8">
        <v>6.0</v>
      </c>
      <c r="F3725" s="4"/>
      <c r="G3725" s="4"/>
      <c r="H3725" s="4"/>
      <c r="I3725" s="15"/>
      <c r="J3725" s="4"/>
    </row>
    <row r="3726" ht="14.25" customHeight="1">
      <c r="A3726" s="8" t="s">
        <v>16</v>
      </c>
      <c r="B3726" s="8">
        <v>5.3</v>
      </c>
      <c r="F3726" s="4"/>
      <c r="G3726" s="4"/>
      <c r="H3726" s="4"/>
      <c r="I3726" s="15"/>
      <c r="J3726" s="4"/>
    </row>
    <row r="3727" ht="14.25" customHeight="1">
      <c r="A3727" s="8" t="s">
        <v>16</v>
      </c>
      <c r="B3727" s="8">
        <v>6.6</v>
      </c>
      <c r="F3727" s="4"/>
      <c r="G3727" s="4"/>
      <c r="H3727" s="4"/>
      <c r="I3727" s="15"/>
      <c r="J3727" s="4"/>
    </row>
    <row r="3728" ht="14.25" customHeight="1">
      <c r="A3728" s="8" t="s">
        <v>16</v>
      </c>
      <c r="B3728" s="8">
        <v>7.1</v>
      </c>
      <c r="F3728" s="4"/>
      <c r="G3728" s="4"/>
      <c r="H3728" s="4"/>
      <c r="I3728" s="15"/>
      <c r="J3728" s="4"/>
    </row>
    <row r="3729" ht="14.25" customHeight="1">
      <c r="A3729" s="8" t="s">
        <v>3076</v>
      </c>
      <c r="B3729" s="8">
        <v>8.7</v>
      </c>
      <c r="F3729" s="4"/>
      <c r="G3729" s="4"/>
      <c r="H3729" s="4"/>
      <c r="I3729" s="15"/>
      <c r="J3729" s="4"/>
    </row>
    <row r="3730" ht="14.25" customHeight="1">
      <c r="A3730" s="8" t="s">
        <v>16</v>
      </c>
      <c r="B3730" s="8">
        <v>8.4</v>
      </c>
      <c r="F3730" s="4"/>
      <c r="G3730" s="4"/>
      <c r="H3730" s="4"/>
      <c r="I3730" s="15"/>
      <c r="J3730" s="4"/>
    </row>
    <row r="3731" ht="14.25" customHeight="1">
      <c r="A3731" s="8" t="s">
        <v>16</v>
      </c>
      <c r="B3731" s="8">
        <v>6.2</v>
      </c>
      <c r="F3731" s="4"/>
      <c r="G3731" s="4"/>
      <c r="H3731" s="4"/>
      <c r="I3731" s="15"/>
      <c r="J3731" s="4"/>
    </row>
    <row r="3732" ht="14.25" customHeight="1">
      <c r="A3732" s="8" t="s">
        <v>16</v>
      </c>
      <c r="B3732" s="8">
        <v>5.8</v>
      </c>
      <c r="F3732" s="4"/>
      <c r="G3732" s="4"/>
      <c r="H3732" s="4"/>
      <c r="I3732" s="15"/>
      <c r="J3732" s="4"/>
    </row>
    <row r="3733" ht="14.25" customHeight="1">
      <c r="A3733" s="8" t="s">
        <v>16</v>
      </c>
      <c r="B3733" s="8">
        <v>6.7</v>
      </c>
      <c r="F3733" s="4"/>
      <c r="G3733" s="4"/>
      <c r="H3733" s="4"/>
      <c r="I3733" s="15"/>
      <c r="J3733" s="4"/>
    </row>
    <row r="3734" ht="14.25" customHeight="1">
      <c r="A3734" s="8" t="s">
        <v>16</v>
      </c>
      <c r="B3734" s="8">
        <v>5.7</v>
      </c>
      <c r="F3734" s="4"/>
      <c r="G3734" s="4"/>
      <c r="H3734" s="4"/>
      <c r="I3734" s="15"/>
      <c r="J3734" s="4"/>
    </row>
    <row r="3735" ht="14.25" customHeight="1">
      <c r="A3735" s="8" t="s">
        <v>16</v>
      </c>
      <c r="B3735" s="8">
        <v>6.1</v>
      </c>
      <c r="F3735" s="4"/>
      <c r="G3735" s="4"/>
      <c r="H3735" s="4"/>
      <c r="I3735" s="15"/>
      <c r="J3735" s="4"/>
    </row>
    <row r="3736" ht="14.25" customHeight="1">
      <c r="A3736" s="8" t="s">
        <v>16</v>
      </c>
      <c r="B3736" s="8">
        <v>6.4</v>
      </c>
      <c r="F3736" s="4"/>
      <c r="G3736" s="4"/>
      <c r="H3736" s="4"/>
      <c r="I3736" s="15"/>
      <c r="J3736" s="4"/>
    </row>
    <row r="3737" ht="14.25" customHeight="1">
      <c r="A3737" s="8" t="s">
        <v>16</v>
      </c>
      <c r="B3737" s="8">
        <v>6.5</v>
      </c>
      <c r="F3737" s="4"/>
      <c r="G3737" s="4"/>
      <c r="H3737" s="4"/>
      <c r="I3737" s="15"/>
      <c r="J3737" s="4"/>
    </row>
    <row r="3738" ht="14.25" customHeight="1">
      <c r="A3738" s="8" t="s">
        <v>16</v>
      </c>
      <c r="B3738" s="8">
        <v>4.6</v>
      </c>
      <c r="F3738" s="4"/>
      <c r="G3738" s="4"/>
      <c r="H3738" s="4"/>
      <c r="I3738" s="15"/>
      <c r="J3738" s="4"/>
    </row>
    <row r="3739" ht="14.25" customHeight="1">
      <c r="A3739" s="8" t="s">
        <v>16</v>
      </c>
      <c r="B3739" s="8">
        <v>6.8</v>
      </c>
      <c r="F3739" s="4"/>
      <c r="G3739" s="4"/>
      <c r="H3739" s="4"/>
      <c r="I3739" s="15"/>
      <c r="J3739" s="4"/>
    </row>
    <row r="3740" ht="14.25" customHeight="1">
      <c r="A3740" s="8" t="s">
        <v>16</v>
      </c>
      <c r="B3740" s="8">
        <v>6.4</v>
      </c>
      <c r="F3740" s="4"/>
      <c r="G3740" s="4"/>
      <c r="H3740" s="4"/>
      <c r="I3740" s="15"/>
      <c r="J3740" s="4"/>
    </row>
    <row r="3741" ht="14.25" customHeight="1">
      <c r="A3741" s="8" t="s">
        <v>16</v>
      </c>
      <c r="B3741" s="8">
        <v>5.9</v>
      </c>
      <c r="F3741" s="4"/>
      <c r="G3741" s="4"/>
      <c r="H3741" s="4"/>
      <c r="I3741" s="15"/>
      <c r="J3741" s="4"/>
    </row>
    <row r="3742" ht="14.25" customHeight="1">
      <c r="A3742" s="8" t="s">
        <v>16</v>
      </c>
      <c r="B3742" s="8">
        <v>7.7</v>
      </c>
      <c r="F3742" s="4"/>
      <c r="G3742" s="4"/>
      <c r="H3742" s="4"/>
      <c r="I3742" s="15"/>
      <c r="J3742" s="4"/>
    </row>
    <row r="3743" ht="14.25" customHeight="1">
      <c r="A3743" s="8" t="s">
        <v>16</v>
      </c>
      <c r="B3743" s="8">
        <v>7.1</v>
      </c>
      <c r="F3743" s="4"/>
      <c r="G3743" s="4"/>
      <c r="H3743" s="4"/>
      <c r="I3743" s="15"/>
      <c r="J3743" s="4"/>
    </row>
    <row r="3744" ht="14.25" customHeight="1">
      <c r="A3744" s="8" t="s">
        <v>16</v>
      </c>
      <c r="B3744" s="8">
        <v>6.2</v>
      </c>
      <c r="F3744" s="4"/>
      <c r="G3744" s="4"/>
      <c r="H3744" s="4"/>
      <c r="I3744" s="15"/>
      <c r="J3744" s="4"/>
    </row>
    <row r="3745" ht="14.25" customHeight="1">
      <c r="A3745" s="8" t="s">
        <v>16</v>
      </c>
      <c r="B3745" s="8">
        <v>7.7</v>
      </c>
      <c r="F3745" s="4"/>
      <c r="G3745" s="4"/>
      <c r="H3745" s="4"/>
      <c r="I3745" s="15"/>
      <c r="J3745" s="4"/>
    </row>
    <row r="3746" ht="14.25" customHeight="1">
      <c r="A3746" s="8" t="s">
        <v>16</v>
      </c>
      <c r="B3746" s="8">
        <v>7.5</v>
      </c>
      <c r="F3746" s="4"/>
      <c r="G3746" s="4"/>
      <c r="H3746" s="4"/>
      <c r="I3746" s="15"/>
      <c r="J3746" s="4"/>
    </row>
    <row r="3747" ht="14.25" customHeight="1">
      <c r="A3747" s="8" t="s">
        <v>7558</v>
      </c>
      <c r="B3747" s="8">
        <v>7.6</v>
      </c>
      <c r="F3747" s="4"/>
      <c r="G3747" s="4"/>
      <c r="H3747" s="4"/>
      <c r="I3747" s="15"/>
      <c r="J3747" s="4"/>
    </row>
    <row r="3748" ht="14.25" customHeight="1">
      <c r="A3748" s="8" t="s">
        <v>16</v>
      </c>
      <c r="B3748" s="8">
        <v>6.9</v>
      </c>
      <c r="F3748" s="4"/>
      <c r="G3748" s="4"/>
      <c r="H3748" s="4"/>
      <c r="I3748" s="15"/>
      <c r="J3748" s="4"/>
    </row>
    <row r="3749" ht="14.25" customHeight="1">
      <c r="A3749" s="8" t="s">
        <v>16</v>
      </c>
      <c r="B3749" s="8">
        <v>7.1</v>
      </c>
      <c r="F3749" s="4"/>
      <c r="G3749" s="4"/>
      <c r="H3749" s="4"/>
      <c r="I3749" s="15"/>
      <c r="J3749" s="4"/>
    </row>
    <row r="3750" ht="14.25" customHeight="1">
      <c r="A3750" s="8" t="s">
        <v>16</v>
      </c>
      <c r="B3750" s="8">
        <v>6.3</v>
      </c>
      <c r="F3750" s="4"/>
      <c r="G3750" s="4"/>
      <c r="H3750" s="4"/>
      <c r="I3750" s="15"/>
      <c r="J3750" s="4"/>
    </row>
    <row r="3751" ht="14.25" customHeight="1">
      <c r="A3751" s="8" t="s">
        <v>16</v>
      </c>
      <c r="B3751" s="8">
        <v>8.3</v>
      </c>
      <c r="F3751" s="4"/>
      <c r="G3751" s="4"/>
      <c r="H3751" s="4"/>
      <c r="I3751" s="15"/>
      <c r="J3751" s="4"/>
    </row>
    <row r="3752" ht="14.25" customHeight="1">
      <c r="A3752" s="8" t="s">
        <v>1144</v>
      </c>
      <c r="B3752" s="8">
        <v>7.1</v>
      </c>
      <c r="F3752" s="4"/>
      <c r="G3752" s="4"/>
      <c r="H3752" s="4"/>
      <c r="I3752" s="15"/>
      <c r="J3752" s="4"/>
    </row>
    <row r="3753" ht="14.25" customHeight="1">
      <c r="A3753" s="8" t="s">
        <v>16</v>
      </c>
      <c r="B3753" s="8">
        <v>4.7</v>
      </c>
      <c r="F3753" s="4"/>
      <c r="G3753" s="4"/>
      <c r="H3753" s="4"/>
      <c r="I3753" s="15"/>
      <c r="J3753" s="4"/>
    </row>
    <row r="3754" ht="14.25" customHeight="1">
      <c r="A3754" s="8" t="s">
        <v>16</v>
      </c>
      <c r="B3754" s="8">
        <v>7.2</v>
      </c>
      <c r="F3754" s="4"/>
      <c r="G3754" s="4"/>
      <c r="H3754" s="4"/>
      <c r="I3754" s="15"/>
      <c r="J3754" s="4"/>
    </row>
    <row r="3755" ht="14.25" customHeight="1">
      <c r="A3755" s="8" t="s">
        <v>16</v>
      </c>
      <c r="B3755" s="8">
        <v>5.1</v>
      </c>
      <c r="F3755" s="4"/>
      <c r="G3755" s="4"/>
      <c r="H3755" s="4"/>
      <c r="I3755" s="15"/>
      <c r="J3755" s="4"/>
    </row>
    <row r="3756" ht="14.25" customHeight="1">
      <c r="A3756" s="8" t="s">
        <v>3818</v>
      </c>
      <c r="B3756" s="8">
        <v>6.9</v>
      </c>
      <c r="F3756" s="4"/>
      <c r="G3756" s="4"/>
      <c r="H3756" s="4"/>
      <c r="I3756" s="15"/>
      <c r="J3756" s="4"/>
    </row>
    <row r="3757" ht="14.25" customHeight="1">
      <c r="A3757" s="8" t="s">
        <v>16</v>
      </c>
      <c r="B3757" s="8">
        <v>6.1</v>
      </c>
      <c r="F3757" s="4"/>
      <c r="G3757" s="4"/>
      <c r="H3757" s="4"/>
      <c r="I3757" s="15"/>
      <c r="J3757" s="4"/>
    </row>
    <row r="3758" ht="14.25" customHeight="1">
      <c r="A3758" s="8" t="s">
        <v>16</v>
      </c>
      <c r="B3758" s="8">
        <v>7.0</v>
      </c>
      <c r="F3758" s="4"/>
      <c r="G3758" s="4"/>
      <c r="H3758" s="4"/>
      <c r="I3758" s="15"/>
      <c r="J3758" s="4"/>
    </row>
    <row r="3759" ht="14.25" customHeight="1">
      <c r="A3759" s="8" t="s">
        <v>16</v>
      </c>
      <c r="B3759" s="8">
        <v>6.3</v>
      </c>
      <c r="F3759" s="4"/>
      <c r="G3759" s="4"/>
      <c r="H3759" s="4"/>
      <c r="I3759" s="15"/>
      <c r="J3759" s="4"/>
    </row>
    <row r="3760" ht="14.25" customHeight="1">
      <c r="A3760" s="8" t="s">
        <v>16</v>
      </c>
      <c r="B3760" s="8">
        <v>6.1</v>
      </c>
      <c r="F3760" s="4"/>
      <c r="G3760" s="4"/>
      <c r="H3760" s="4"/>
      <c r="I3760" s="15"/>
      <c r="J3760" s="4"/>
    </row>
    <row r="3761" ht="14.25" customHeight="1">
      <c r="A3761" s="8" t="s">
        <v>7043</v>
      </c>
      <c r="B3761" s="8">
        <v>7.2</v>
      </c>
      <c r="F3761" s="4"/>
      <c r="G3761" s="4"/>
      <c r="H3761" s="4"/>
      <c r="I3761" s="15"/>
      <c r="J3761" s="4"/>
    </row>
    <row r="3762" ht="14.25" customHeight="1">
      <c r="A3762" s="8" t="s">
        <v>16</v>
      </c>
      <c r="B3762" s="8">
        <v>7.8</v>
      </c>
      <c r="F3762" s="4"/>
      <c r="G3762" s="4"/>
      <c r="H3762" s="4"/>
      <c r="I3762" s="15"/>
      <c r="J3762" s="4"/>
    </row>
    <row r="3763" ht="14.25" customHeight="1">
      <c r="A3763" s="8" t="s">
        <v>16</v>
      </c>
      <c r="B3763" s="8">
        <v>4.7</v>
      </c>
      <c r="F3763" s="4"/>
      <c r="G3763" s="4"/>
      <c r="H3763" s="4"/>
      <c r="I3763" s="15"/>
      <c r="J3763" s="4"/>
    </row>
    <row r="3764" ht="14.25" customHeight="1">
      <c r="A3764" s="8" t="s">
        <v>16</v>
      </c>
      <c r="B3764" s="8">
        <v>7.9</v>
      </c>
      <c r="F3764" s="4"/>
      <c r="G3764" s="4"/>
      <c r="H3764" s="4"/>
      <c r="I3764" s="15"/>
      <c r="J3764" s="4"/>
    </row>
    <row r="3765" ht="14.25" customHeight="1">
      <c r="A3765" s="8" t="s">
        <v>16</v>
      </c>
      <c r="B3765" s="8">
        <v>6.7</v>
      </c>
      <c r="F3765" s="4"/>
      <c r="G3765" s="4"/>
      <c r="H3765" s="4"/>
      <c r="I3765" s="15"/>
      <c r="J3765" s="4"/>
    </row>
    <row r="3766" ht="14.25" customHeight="1">
      <c r="A3766" s="8" t="s">
        <v>16</v>
      </c>
      <c r="B3766" s="8">
        <v>6.6</v>
      </c>
      <c r="F3766" s="4"/>
      <c r="G3766" s="4"/>
      <c r="H3766" s="4"/>
      <c r="I3766" s="15"/>
      <c r="J3766" s="4"/>
    </row>
    <row r="3767" ht="14.25" customHeight="1">
      <c r="A3767" s="8" t="s">
        <v>1189</v>
      </c>
      <c r="B3767" s="8">
        <v>6.9</v>
      </c>
      <c r="F3767" s="4"/>
      <c r="G3767" s="4"/>
      <c r="H3767" s="4"/>
      <c r="I3767" s="15"/>
      <c r="J3767" s="4"/>
    </row>
    <row r="3768" ht="14.25" customHeight="1">
      <c r="A3768" s="8" t="s">
        <v>16</v>
      </c>
      <c r="B3768" s="8">
        <v>7.1</v>
      </c>
      <c r="F3768" s="4"/>
      <c r="G3768" s="4"/>
      <c r="H3768" s="4"/>
      <c r="I3768" s="15"/>
      <c r="J3768" s="4"/>
    </row>
    <row r="3769" ht="14.25" customHeight="1">
      <c r="A3769" s="8" t="s">
        <v>16</v>
      </c>
      <c r="B3769" s="8">
        <v>6.7</v>
      </c>
      <c r="F3769" s="4"/>
      <c r="G3769" s="4"/>
      <c r="H3769" s="4"/>
      <c r="I3769" s="15"/>
      <c r="J3769" s="4"/>
    </row>
    <row r="3770" ht="14.25" customHeight="1">
      <c r="A3770" s="8" t="s">
        <v>16</v>
      </c>
      <c r="B3770" s="8">
        <v>7.1</v>
      </c>
      <c r="F3770" s="4"/>
      <c r="G3770" s="4"/>
      <c r="H3770" s="4"/>
      <c r="I3770" s="15"/>
      <c r="J3770" s="4"/>
    </row>
    <row r="3771" ht="14.25" customHeight="1">
      <c r="A3771" s="8" t="s">
        <v>16</v>
      </c>
      <c r="B3771" s="8">
        <v>8.1</v>
      </c>
      <c r="F3771" s="4"/>
      <c r="G3771" s="4"/>
      <c r="H3771" s="4"/>
      <c r="I3771" s="15"/>
      <c r="J3771" s="4"/>
    </row>
    <row r="3772" ht="14.25" customHeight="1">
      <c r="A3772" s="8" t="s">
        <v>16</v>
      </c>
      <c r="B3772" s="8">
        <v>5.5</v>
      </c>
      <c r="F3772" s="4"/>
      <c r="G3772" s="4"/>
      <c r="H3772" s="4"/>
      <c r="I3772" s="15"/>
      <c r="J3772" s="4"/>
    </row>
    <row r="3773" ht="14.25" customHeight="1">
      <c r="A3773" s="8" t="s">
        <v>16</v>
      </c>
      <c r="B3773" s="8">
        <v>6.6</v>
      </c>
      <c r="F3773" s="4"/>
      <c r="G3773" s="4"/>
      <c r="H3773" s="4"/>
      <c r="I3773" s="15"/>
      <c r="J3773" s="4"/>
    </row>
    <row r="3774" ht="14.25" customHeight="1">
      <c r="A3774" s="8" t="s">
        <v>16</v>
      </c>
      <c r="B3774" s="8">
        <v>7.4</v>
      </c>
      <c r="F3774" s="4"/>
      <c r="G3774" s="4"/>
      <c r="H3774" s="4"/>
      <c r="I3774" s="15"/>
      <c r="J3774" s="4"/>
    </row>
    <row r="3775" ht="14.25" customHeight="1">
      <c r="A3775" s="8" t="s">
        <v>16</v>
      </c>
      <c r="B3775" s="8">
        <v>4.8</v>
      </c>
      <c r="F3775" s="4"/>
      <c r="G3775" s="4"/>
      <c r="H3775" s="4"/>
      <c r="I3775" s="15"/>
      <c r="J3775" s="4"/>
    </row>
    <row r="3776" ht="14.25" customHeight="1">
      <c r="A3776" s="8" t="s">
        <v>16</v>
      </c>
      <c r="B3776" s="8">
        <v>6.4</v>
      </c>
      <c r="F3776" s="4"/>
      <c r="G3776" s="4"/>
      <c r="H3776" s="4"/>
      <c r="I3776" s="15"/>
      <c r="J3776" s="4"/>
    </row>
    <row r="3777" ht="14.25" customHeight="1">
      <c r="A3777" s="8" t="s">
        <v>16</v>
      </c>
      <c r="B3777" s="8">
        <v>7.3</v>
      </c>
      <c r="F3777" s="4"/>
      <c r="G3777" s="4"/>
      <c r="H3777" s="4"/>
      <c r="I3777" s="15"/>
      <c r="J3777" s="4"/>
    </row>
    <row r="3778" ht="14.25" customHeight="1">
      <c r="A3778" s="8" t="s">
        <v>16</v>
      </c>
      <c r="B3778" s="8">
        <v>6.9</v>
      </c>
      <c r="F3778" s="4"/>
      <c r="G3778" s="4"/>
      <c r="H3778" s="4"/>
      <c r="I3778" s="15"/>
      <c r="J3778" s="4"/>
    </row>
    <row r="3779" ht="14.25" customHeight="1">
      <c r="A3779" s="8" t="s">
        <v>16</v>
      </c>
      <c r="B3779" s="8">
        <v>7.2</v>
      </c>
      <c r="F3779" s="4"/>
      <c r="G3779" s="4"/>
      <c r="H3779" s="4"/>
      <c r="I3779" s="15"/>
      <c r="J3779" s="4"/>
    </row>
    <row r="3780" ht="14.25" customHeight="1">
      <c r="A3780" s="8" t="s">
        <v>16</v>
      </c>
      <c r="B3780" s="8">
        <v>6.5</v>
      </c>
      <c r="F3780" s="4"/>
      <c r="G3780" s="4"/>
      <c r="H3780" s="4"/>
      <c r="I3780" s="15"/>
      <c r="J3780" s="4"/>
    </row>
    <row r="3781" ht="14.25" customHeight="1">
      <c r="A3781" s="8" t="s">
        <v>16</v>
      </c>
      <c r="B3781" s="8">
        <v>6.6</v>
      </c>
      <c r="F3781" s="4"/>
      <c r="G3781" s="4"/>
      <c r="H3781" s="4"/>
      <c r="I3781" s="15"/>
      <c r="J3781" s="4"/>
    </row>
    <row r="3782" ht="14.25" customHeight="1">
      <c r="A3782" s="8" t="s">
        <v>16</v>
      </c>
      <c r="B3782" s="8">
        <v>6.7</v>
      </c>
      <c r="F3782" s="4"/>
      <c r="G3782" s="4"/>
      <c r="H3782" s="4"/>
      <c r="I3782" s="15"/>
      <c r="J3782" s="4"/>
    </row>
    <row r="3783" ht="14.25" customHeight="1">
      <c r="A3783" s="8" t="s">
        <v>16</v>
      </c>
      <c r="B3783" s="8">
        <v>7.3</v>
      </c>
      <c r="F3783" s="4"/>
      <c r="G3783" s="4"/>
      <c r="H3783" s="4"/>
      <c r="I3783" s="15"/>
      <c r="J3783" s="4"/>
    </row>
    <row r="3784" ht="14.25" customHeight="1">
      <c r="A3784" s="8" t="s">
        <v>16</v>
      </c>
      <c r="B3784" s="8">
        <v>6.4</v>
      </c>
      <c r="F3784" s="4"/>
      <c r="G3784" s="4"/>
      <c r="H3784" s="4"/>
      <c r="I3784" s="15"/>
      <c r="J3784" s="4"/>
    </row>
    <row r="3785" ht="14.25" customHeight="1">
      <c r="A3785" s="8" t="s">
        <v>16</v>
      </c>
      <c r="B3785" s="8">
        <v>7.0</v>
      </c>
      <c r="F3785" s="4"/>
      <c r="G3785" s="4"/>
      <c r="H3785" s="4"/>
      <c r="I3785" s="15"/>
      <c r="J3785" s="4"/>
    </row>
    <row r="3786" ht="14.25" customHeight="1">
      <c r="A3786" s="8" t="s">
        <v>16</v>
      </c>
      <c r="B3786" s="8">
        <v>5.5</v>
      </c>
      <c r="F3786" s="4"/>
      <c r="G3786" s="4"/>
      <c r="H3786" s="4"/>
      <c r="I3786" s="15"/>
      <c r="J3786" s="4"/>
    </row>
    <row r="3787" ht="14.25" customHeight="1">
      <c r="A3787" s="8" t="s">
        <v>16</v>
      </c>
      <c r="B3787" s="8">
        <v>6.7</v>
      </c>
      <c r="F3787" s="4"/>
      <c r="G3787" s="4"/>
      <c r="H3787" s="4"/>
      <c r="I3787" s="15"/>
      <c r="J3787" s="4"/>
    </row>
    <row r="3788" ht="14.25" customHeight="1">
      <c r="A3788" s="8" t="s">
        <v>16</v>
      </c>
      <c r="B3788" s="8">
        <v>6.1</v>
      </c>
      <c r="F3788" s="4"/>
      <c r="G3788" s="4"/>
      <c r="H3788" s="4"/>
      <c r="I3788" s="15"/>
      <c r="J3788" s="4"/>
    </row>
    <row r="3789" ht="14.25" customHeight="1">
      <c r="A3789" s="8" t="s">
        <v>16</v>
      </c>
      <c r="B3789" s="8">
        <v>3.9</v>
      </c>
      <c r="F3789" s="4"/>
      <c r="G3789" s="4"/>
      <c r="H3789" s="4"/>
      <c r="I3789" s="15"/>
      <c r="J3789" s="4"/>
    </row>
    <row r="3790" ht="14.25" customHeight="1">
      <c r="A3790" s="8" t="s">
        <v>16</v>
      </c>
      <c r="B3790" s="8">
        <v>6.3</v>
      </c>
      <c r="F3790" s="4"/>
      <c r="G3790" s="4"/>
      <c r="H3790" s="4"/>
      <c r="I3790" s="15"/>
      <c r="J3790" s="4"/>
    </row>
    <row r="3791" ht="14.25" customHeight="1">
      <c r="A3791" s="8" t="s">
        <v>16</v>
      </c>
      <c r="B3791" s="8">
        <v>7.5</v>
      </c>
      <c r="F3791" s="4"/>
      <c r="G3791" s="4"/>
      <c r="H3791" s="4"/>
      <c r="I3791" s="15"/>
      <c r="J3791" s="4"/>
    </row>
    <row r="3792" ht="14.25" customHeight="1">
      <c r="A3792" s="8" t="s">
        <v>16</v>
      </c>
      <c r="B3792" s="8">
        <v>7.0</v>
      </c>
      <c r="F3792" s="4"/>
      <c r="G3792" s="4"/>
      <c r="H3792" s="4"/>
      <c r="I3792" s="15"/>
      <c r="J3792" s="4"/>
    </row>
    <row r="3793" ht="14.25" customHeight="1">
      <c r="A3793" s="8" t="s">
        <v>16</v>
      </c>
      <c r="B3793" s="8">
        <v>6.7</v>
      </c>
      <c r="F3793" s="4"/>
      <c r="G3793" s="4"/>
      <c r="H3793" s="4"/>
      <c r="I3793" s="15"/>
      <c r="J3793" s="4"/>
    </row>
    <row r="3794" ht="14.25" customHeight="1">
      <c r="A3794" s="8" t="s">
        <v>16</v>
      </c>
      <c r="B3794" s="8">
        <v>7.4</v>
      </c>
      <c r="F3794" s="4"/>
      <c r="G3794" s="4"/>
      <c r="H3794" s="4"/>
      <c r="I3794" s="15"/>
      <c r="J3794" s="4"/>
    </row>
    <row r="3795" ht="14.25" customHeight="1">
      <c r="A3795" s="8" t="s">
        <v>3818</v>
      </c>
      <c r="B3795" s="8">
        <v>8.0</v>
      </c>
      <c r="F3795" s="4"/>
      <c r="G3795" s="4"/>
      <c r="H3795" s="4"/>
      <c r="I3795" s="15"/>
      <c r="J3795" s="4"/>
    </row>
    <row r="3796" ht="14.25" customHeight="1">
      <c r="A3796" s="8" t="s">
        <v>16</v>
      </c>
      <c r="B3796" s="8">
        <v>7.2</v>
      </c>
      <c r="F3796" s="4"/>
      <c r="G3796" s="4"/>
      <c r="H3796" s="4"/>
      <c r="I3796" s="15"/>
      <c r="J3796" s="4"/>
    </row>
    <row r="3797" ht="14.25" customHeight="1">
      <c r="A3797" s="8" t="s">
        <v>16</v>
      </c>
      <c r="B3797" s="8">
        <v>6.4</v>
      </c>
      <c r="F3797" s="4"/>
      <c r="G3797" s="4"/>
      <c r="H3797" s="4"/>
      <c r="I3797" s="15"/>
      <c r="J3797" s="4"/>
    </row>
    <row r="3798" ht="14.25" customHeight="1">
      <c r="A3798" s="8" t="s">
        <v>16</v>
      </c>
      <c r="B3798" s="8">
        <v>6.5</v>
      </c>
      <c r="F3798" s="4"/>
      <c r="G3798" s="4"/>
      <c r="H3798" s="4"/>
      <c r="I3798" s="15"/>
      <c r="J3798" s="4"/>
    </row>
    <row r="3799" ht="14.25" customHeight="1">
      <c r="A3799" s="8" t="s">
        <v>16</v>
      </c>
      <c r="B3799" s="8">
        <v>6.9</v>
      </c>
      <c r="F3799" s="4"/>
      <c r="G3799" s="4"/>
      <c r="H3799" s="4"/>
      <c r="I3799" s="15"/>
      <c r="J3799" s="4"/>
    </row>
    <row r="3800" ht="14.25" customHeight="1">
      <c r="A3800" s="8" t="s">
        <v>16</v>
      </c>
      <c r="B3800" s="8">
        <v>7.5</v>
      </c>
      <c r="F3800" s="4"/>
      <c r="G3800" s="4"/>
      <c r="H3800" s="4"/>
      <c r="I3800" s="15"/>
      <c r="J3800" s="4"/>
    </row>
    <row r="3801" ht="14.25" customHeight="1">
      <c r="A3801" s="8" t="s">
        <v>16</v>
      </c>
      <c r="B3801" s="8">
        <v>7.1</v>
      </c>
      <c r="F3801" s="4"/>
      <c r="G3801" s="4"/>
      <c r="H3801" s="4"/>
      <c r="I3801" s="15"/>
      <c r="J3801" s="4"/>
    </row>
    <row r="3802" ht="14.25" customHeight="1">
      <c r="A3802" s="8" t="s">
        <v>16</v>
      </c>
      <c r="B3802" s="8">
        <v>7.7</v>
      </c>
      <c r="F3802" s="4"/>
      <c r="G3802" s="4"/>
      <c r="H3802" s="4"/>
      <c r="I3802" s="15"/>
      <c r="J3802" s="4"/>
    </row>
    <row r="3803" ht="14.25" customHeight="1">
      <c r="A3803" s="8" t="s">
        <v>7414</v>
      </c>
      <c r="B3803" s="8">
        <v>8.5</v>
      </c>
      <c r="F3803" s="4"/>
      <c r="G3803" s="4"/>
      <c r="H3803" s="4"/>
      <c r="I3803" s="15"/>
      <c r="J3803" s="4"/>
    </row>
    <row r="3804" ht="14.25" customHeight="1">
      <c r="A3804" s="8" t="s">
        <v>16</v>
      </c>
      <c r="B3804" s="8">
        <v>7.7</v>
      </c>
      <c r="F3804" s="4"/>
      <c r="G3804" s="4"/>
      <c r="H3804" s="4"/>
      <c r="I3804" s="15"/>
      <c r="J3804" s="4"/>
    </row>
    <row r="3805" ht="14.25" customHeight="1">
      <c r="A3805" s="8" t="s">
        <v>16</v>
      </c>
      <c r="B3805" s="8">
        <v>6.5</v>
      </c>
      <c r="F3805" s="4"/>
      <c r="G3805" s="4"/>
      <c r="H3805" s="4"/>
      <c r="I3805" s="15"/>
      <c r="J3805" s="4"/>
    </row>
    <row r="3806" ht="14.25" customHeight="1">
      <c r="A3806" s="8" t="s">
        <v>16</v>
      </c>
      <c r="B3806" s="8">
        <v>7.0</v>
      </c>
      <c r="F3806" s="4"/>
      <c r="G3806" s="4"/>
      <c r="H3806" s="4"/>
      <c r="I3806" s="15"/>
      <c r="J3806" s="4"/>
    </row>
    <row r="3807" ht="14.25" customHeight="1">
      <c r="A3807" s="8" t="s">
        <v>16</v>
      </c>
      <c r="B3807" s="8">
        <v>5.5</v>
      </c>
      <c r="F3807" s="4"/>
      <c r="G3807" s="4"/>
      <c r="H3807" s="4"/>
      <c r="I3807" s="15"/>
      <c r="J3807" s="4"/>
    </row>
    <row r="3808" ht="14.25" customHeight="1">
      <c r="A3808" s="8" t="s">
        <v>16</v>
      </c>
      <c r="B3808" s="8">
        <v>6.3</v>
      </c>
      <c r="F3808" s="4"/>
      <c r="G3808" s="4"/>
      <c r="H3808" s="4"/>
      <c r="I3808" s="15"/>
      <c r="J3808" s="4"/>
    </row>
    <row r="3809" ht="14.25" customHeight="1">
      <c r="A3809" s="8" t="s">
        <v>16</v>
      </c>
      <c r="B3809" s="8">
        <v>7.9</v>
      </c>
      <c r="F3809" s="4"/>
      <c r="G3809" s="4"/>
      <c r="H3809" s="4"/>
      <c r="I3809" s="15"/>
      <c r="J3809" s="4"/>
    </row>
    <row r="3810" ht="14.25" customHeight="1">
      <c r="A3810" s="8" t="s">
        <v>16</v>
      </c>
      <c r="B3810" s="8">
        <v>7.3</v>
      </c>
      <c r="F3810" s="4"/>
      <c r="G3810" s="4"/>
      <c r="H3810" s="4"/>
      <c r="I3810" s="15"/>
      <c r="J3810" s="4"/>
    </row>
    <row r="3811" ht="14.25" customHeight="1">
      <c r="A3811" s="8" t="s">
        <v>16</v>
      </c>
      <c r="B3811" s="8">
        <v>7.4</v>
      </c>
      <c r="F3811" s="4"/>
      <c r="G3811" s="4"/>
      <c r="H3811" s="4"/>
      <c r="I3811" s="15"/>
      <c r="J3811" s="4"/>
    </row>
    <row r="3812" ht="14.25" customHeight="1">
      <c r="A3812" s="8" t="s">
        <v>16</v>
      </c>
      <c r="B3812" s="8">
        <v>7.5</v>
      </c>
      <c r="F3812" s="4"/>
      <c r="G3812" s="4"/>
      <c r="H3812" s="4"/>
      <c r="I3812" s="15"/>
      <c r="J3812" s="4"/>
    </row>
    <row r="3813" ht="14.25" customHeight="1">
      <c r="A3813" s="8" t="s">
        <v>16</v>
      </c>
      <c r="B3813" s="8">
        <v>7.0</v>
      </c>
      <c r="F3813" s="4"/>
      <c r="G3813" s="4"/>
      <c r="H3813" s="4"/>
      <c r="I3813" s="15"/>
      <c r="J3813" s="4"/>
    </row>
    <row r="3814" ht="14.25" customHeight="1">
      <c r="A3814" s="8" t="s">
        <v>16</v>
      </c>
      <c r="B3814" s="8">
        <v>7.1</v>
      </c>
      <c r="F3814" s="4"/>
      <c r="G3814" s="4"/>
      <c r="H3814" s="4"/>
      <c r="I3814" s="15"/>
      <c r="J3814" s="4"/>
    </row>
    <row r="3815" ht="14.25" customHeight="1">
      <c r="A3815" s="8" t="s">
        <v>16</v>
      </c>
      <c r="B3815" s="8">
        <v>7.5</v>
      </c>
      <c r="F3815" s="4"/>
      <c r="G3815" s="4"/>
      <c r="H3815" s="4"/>
      <c r="I3815" s="15"/>
      <c r="J3815" s="4"/>
    </row>
    <row r="3816" ht="14.25" customHeight="1">
      <c r="A3816" s="8" t="s">
        <v>16</v>
      </c>
      <c r="B3816" s="8">
        <v>6.7</v>
      </c>
      <c r="F3816" s="4"/>
      <c r="G3816" s="4"/>
      <c r="H3816" s="4"/>
      <c r="I3816" s="15"/>
      <c r="J3816" s="4"/>
    </row>
    <row r="3817" ht="14.25" customHeight="1">
      <c r="A3817" s="8" t="s">
        <v>16</v>
      </c>
      <c r="B3817" s="8">
        <v>6.7</v>
      </c>
      <c r="F3817" s="4"/>
      <c r="G3817" s="4"/>
      <c r="H3817" s="4"/>
      <c r="I3817" s="15"/>
      <c r="J3817" s="4"/>
    </row>
    <row r="3818" ht="14.25" customHeight="1">
      <c r="A3818" s="8" t="s">
        <v>16</v>
      </c>
      <c r="B3818" s="8">
        <v>4.2</v>
      </c>
      <c r="F3818" s="4"/>
      <c r="G3818" s="4"/>
      <c r="H3818" s="4"/>
      <c r="I3818" s="15"/>
      <c r="J3818" s="4"/>
    </row>
    <row r="3819" ht="14.25" customHeight="1">
      <c r="A3819" s="8" t="s">
        <v>16</v>
      </c>
      <c r="B3819" s="8">
        <v>7.0</v>
      </c>
      <c r="F3819" s="4"/>
      <c r="G3819" s="4"/>
      <c r="H3819" s="4"/>
      <c r="I3819" s="15"/>
      <c r="J3819" s="4"/>
    </row>
    <row r="3820" ht="14.25" customHeight="1">
      <c r="A3820" s="8" t="s">
        <v>16</v>
      </c>
      <c r="B3820" s="8">
        <v>7.0</v>
      </c>
      <c r="F3820" s="4"/>
      <c r="G3820" s="4"/>
      <c r="H3820" s="4"/>
      <c r="I3820" s="15"/>
      <c r="J3820" s="4"/>
    </row>
    <row r="3821" ht="14.25" customHeight="1">
      <c r="A3821" s="8" t="s">
        <v>16</v>
      </c>
      <c r="B3821" s="8">
        <v>6.8</v>
      </c>
      <c r="F3821" s="4"/>
      <c r="G3821" s="4"/>
      <c r="H3821" s="4"/>
      <c r="I3821" s="15"/>
      <c r="J3821" s="4"/>
    </row>
    <row r="3822" ht="14.25" customHeight="1">
      <c r="A3822" s="8" t="s">
        <v>16</v>
      </c>
      <c r="B3822" s="8">
        <v>6.6</v>
      </c>
      <c r="F3822" s="4"/>
      <c r="G3822" s="4"/>
      <c r="H3822" s="4"/>
      <c r="I3822" s="15"/>
      <c r="J3822" s="4"/>
    </row>
    <row r="3823" ht="14.25" customHeight="1">
      <c r="A3823" s="8" t="s">
        <v>16</v>
      </c>
      <c r="B3823" s="8">
        <v>7.5</v>
      </c>
      <c r="F3823" s="4"/>
      <c r="G3823" s="4"/>
      <c r="H3823" s="4"/>
      <c r="I3823" s="15"/>
      <c r="J3823" s="4"/>
    </row>
    <row r="3824" ht="14.25" customHeight="1">
      <c r="A3824" s="8" t="s">
        <v>16</v>
      </c>
      <c r="B3824" s="8">
        <v>5.3</v>
      </c>
      <c r="F3824" s="4"/>
      <c r="G3824" s="4"/>
      <c r="H3824" s="4"/>
      <c r="I3824" s="15"/>
      <c r="J3824" s="4"/>
    </row>
    <row r="3825" ht="14.25" customHeight="1">
      <c r="A3825" s="8" t="s">
        <v>16</v>
      </c>
      <c r="B3825" s="8">
        <v>7.3</v>
      </c>
      <c r="F3825" s="4"/>
      <c r="G3825" s="4"/>
      <c r="H3825" s="4"/>
      <c r="I3825" s="15"/>
      <c r="J3825" s="4"/>
    </row>
    <row r="3826" ht="14.25" customHeight="1">
      <c r="A3826" s="8" t="s">
        <v>16</v>
      </c>
      <c r="B3826" s="8">
        <v>5.6</v>
      </c>
      <c r="F3826" s="4"/>
      <c r="G3826" s="4"/>
      <c r="H3826" s="4"/>
      <c r="I3826" s="15"/>
      <c r="J3826" s="4"/>
    </row>
    <row r="3827" ht="14.25" customHeight="1">
      <c r="A3827" s="8" t="s">
        <v>16</v>
      </c>
      <c r="B3827" s="8">
        <v>5.6</v>
      </c>
      <c r="F3827" s="4"/>
      <c r="G3827" s="4"/>
      <c r="H3827" s="4"/>
      <c r="I3827" s="15"/>
      <c r="J3827" s="4"/>
    </row>
    <row r="3828" ht="14.25" customHeight="1">
      <c r="A3828" s="8" t="s">
        <v>16</v>
      </c>
      <c r="B3828" s="8">
        <v>6.6</v>
      </c>
      <c r="F3828" s="4"/>
      <c r="G3828" s="4"/>
      <c r="H3828" s="4"/>
      <c r="I3828" s="15"/>
      <c r="J3828" s="4"/>
    </row>
    <row r="3829" ht="14.25" customHeight="1">
      <c r="A3829" s="8" t="s">
        <v>16</v>
      </c>
      <c r="B3829" s="8">
        <v>6.3</v>
      </c>
      <c r="F3829" s="4"/>
      <c r="G3829" s="4"/>
      <c r="H3829" s="4"/>
      <c r="I3829" s="15"/>
      <c r="J3829" s="4"/>
    </row>
    <row r="3830" ht="14.25" customHeight="1">
      <c r="A3830" s="8" t="s">
        <v>16</v>
      </c>
      <c r="B3830" s="8">
        <v>7.5</v>
      </c>
      <c r="F3830" s="4"/>
      <c r="G3830" s="4"/>
      <c r="H3830" s="4"/>
      <c r="I3830" s="15"/>
      <c r="J3830" s="4"/>
    </row>
    <row r="3831" ht="14.25" customHeight="1">
      <c r="A3831" s="8" t="s">
        <v>16</v>
      </c>
      <c r="B3831" s="8">
        <v>7.6</v>
      </c>
      <c r="F3831" s="4"/>
      <c r="G3831" s="4"/>
      <c r="H3831" s="4"/>
      <c r="I3831" s="15"/>
      <c r="J3831" s="4"/>
    </row>
    <row r="3832" ht="14.25" customHeight="1">
      <c r="A3832" s="8" t="s">
        <v>16</v>
      </c>
      <c r="B3832" s="8">
        <v>4.1</v>
      </c>
      <c r="F3832" s="4"/>
      <c r="G3832" s="4"/>
      <c r="H3832" s="4"/>
      <c r="I3832" s="15"/>
      <c r="J3832" s="4"/>
    </row>
    <row r="3833" ht="14.25" customHeight="1">
      <c r="A3833" s="8" t="s">
        <v>16</v>
      </c>
      <c r="B3833" s="8">
        <v>7.8</v>
      </c>
      <c r="F3833" s="4"/>
      <c r="G3833" s="4"/>
      <c r="H3833" s="4"/>
      <c r="I3833" s="15"/>
      <c r="J3833" s="4"/>
    </row>
    <row r="3834" ht="14.25" customHeight="1">
      <c r="A3834" s="8" t="s">
        <v>16</v>
      </c>
      <c r="B3834" s="8">
        <v>6.7</v>
      </c>
      <c r="F3834" s="4"/>
      <c r="G3834" s="4"/>
      <c r="H3834" s="4"/>
      <c r="I3834" s="15"/>
      <c r="J3834" s="4"/>
    </row>
    <row r="3835" ht="14.25" customHeight="1">
      <c r="A3835" s="8" t="s">
        <v>16</v>
      </c>
      <c r="B3835" s="8">
        <v>7.3</v>
      </c>
      <c r="F3835" s="4"/>
      <c r="G3835" s="4"/>
      <c r="H3835" s="4"/>
      <c r="I3835" s="15"/>
      <c r="J3835" s="4"/>
    </row>
    <row r="3836" ht="14.25" customHeight="1">
      <c r="A3836" s="8" t="s">
        <v>16</v>
      </c>
      <c r="B3836" s="8">
        <v>5.7</v>
      </c>
      <c r="F3836" s="4"/>
      <c r="G3836" s="4"/>
      <c r="H3836" s="4"/>
      <c r="I3836" s="15"/>
      <c r="J3836" s="4"/>
    </row>
    <row r="3837" ht="14.25" customHeight="1">
      <c r="A3837" s="8" t="s">
        <v>16</v>
      </c>
      <c r="B3837" s="8">
        <v>7.1</v>
      </c>
      <c r="F3837" s="4"/>
      <c r="G3837" s="4"/>
      <c r="H3837" s="4"/>
      <c r="I3837" s="15"/>
      <c r="J3837" s="4"/>
    </row>
    <row r="3838" ht="14.25" customHeight="1">
      <c r="A3838" s="8" t="s">
        <v>16</v>
      </c>
      <c r="B3838" s="8">
        <v>6.6</v>
      </c>
      <c r="F3838" s="4"/>
      <c r="G3838" s="4"/>
      <c r="H3838" s="4"/>
      <c r="I3838" s="15"/>
      <c r="J3838" s="4"/>
    </row>
    <row r="3839" ht="14.25" customHeight="1">
      <c r="A3839" s="8" t="s">
        <v>16</v>
      </c>
      <c r="B3839" s="8">
        <v>6.2</v>
      </c>
      <c r="F3839" s="4"/>
      <c r="G3839" s="4"/>
      <c r="H3839" s="4"/>
      <c r="I3839" s="15"/>
      <c r="J3839" s="4"/>
    </row>
    <row r="3840" ht="14.25" customHeight="1">
      <c r="A3840" s="8" t="s">
        <v>16</v>
      </c>
      <c r="B3840" s="8">
        <v>6.1</v>
      </c>
      <c r="F3840" s="4"/>
      <c r="G3840" s="4"/>
      <c r="H3840" s="4"/>
      <c r="I3840" s="15"/>
      <c r="J3840" s="4"/>
    </row>
    <row r="3841" ht="14.25" customHeight="1">
      <c r="A3841" s="8" t="s">
        <v>1189</v>
      </c>
      <c r="B3841" s="8">
        <v>6.9</v>
      </c>
      <c r="F3841" s="4"/>
      <c r="G3841" s="4"/>
      <c r="H3841" s="4"/>
      <c r="I3841" s="15"/>
      <c r="J3841" s="4"/>
    </row>
    <row r="3842" ht="14.25" customHeight="1">
      <c r="A3842" s="8" t="s">
        <v>7414</v>
      </c>
      <c r="B3842" s="8">
        <v>7.5</v>
      </c>
      <c r="F3842" s="4"/>
      <c r="G3842" s="4"/>
      <c r="H3842" s="4"/>
      <c r="I3842" s="15"/>
      <c r="J3842" s="4"/>
    </row>
    <row r="3843" ht="14.25" customHeight="1">
      <c r="A3843" s="8" t="s">
        <v>3076</v>
      </c>
      <c r="B3843" s="8">
        <v>7.4</v>
      </c>
      <c r="F3843" s="4"/>
      <c r="G3843" s="4"/>
      <c r="H3843" s="4"/>
      <c r="I3843" s="15"/>
      <c r="J3843" s="4"/>
    </row>
    <row r="3844" ht="14.25" customHeight="1">
      <c r="A3844" s="8" t="s">
        <v>16</v>
      </c>
      <c r="B3844" s="8">
        <v>7.0</v>
      </c>
      <c r="F3844" s="4"/>
      <c r="G3844" s="4"/>
      <c r="H3844" s="4"/>
      <c r="I3844" s="15"/>
      <c r="J3844" s="4"/>
    </row>
    <row r="3845" ht="14.25" customHeight="1">
      <c r="A3845" s="8" t="s">
        <v>16</v>
      </c>
      <c r="B3845" s="8">
        <v>6.3</v>
      </c>
      <c r="F3845" s="4"/>
      <c r="G3845" s="4"/>
      <c r="H3845" s="4"/>
      <c r="I3845" s="15"/>
      <c r="J3845" s="4"/>
    </row>
    <row r="3846" ht="14.25" customHeight="1">
      <c r="A3846" s="8" t="s">
        <v>1144</v>
      </c>
      <c r="B3846" s="8">
        <v>6.9</v>
      </c>
      <c r="F3846" s="4"/>
      <c r="G3846" s="4"/>
      <c r="H3846" s="4"/>
      <c r="I3846" s="15"/>
      <c r="J3846" s="4"/>
    </row>
    <row r="3847" ht="14.25" customHeight="1">
      <c r="A3847" s="8" t="s">
        <v>16</v>
      </c>
      <c r="B3847" s="8">
        <v>6.4</v>
      </c>
      <c r="F3847" s="4"/>
      <c r="G3847" s="4"/>
      <c r="H3847" s="4"/>
      <c r="I3847" s="15"/>
      <c r="J3847" s="4"/>
    </row>
    <row r="3848" ht="14.25" customHeight="1">
      <c r="A3848" s="8" t="s">
        <v>16</v>
      </c>
      <c r="B3848" s="8">
        <v>6.6</v>
      </c>
      <c r="F3848" s="4"/>
      <c r="G3848" s="4"/>
      <c r="H3848" s="4"/>
      <c r="I3848" s="15"/>
      <c r="J3848" s="4"/>
    </row>
  </sheetData>
  <autoFilter ref="$A$1:$B$3848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3.29"/>
    <col customWidth="1" min="3" max="3" width="29.71"/>
    <col customWidth="1" min="4" max="4" width="21.43"/>
    <col customWidth="1" min="5" max="5" width="17.0"/>
    <col customWidth="1" min="6" max="6" width="11.0"/>
    <col customWidth="1" min="7" max="7" width="14.14"/>
    <col customWidth="1" min="8" max="8" width="29.71"/>
    <col customWidth="1" min="9" max="9" width="19.43"/>
    <col customWidth="1" min="10" max="10" width="13.71"/>
    <col customWidth="1" min="11" max="11" width="18.57"/>
    <col customWidth="1" min="12" max="20" width="8.71"/>
  </cols>
  <sheetData>
    <row r="1" ht="14.25" customHeight="1">
      <c r="A1" s="8" t="s">
        <v>0</v>
      </c>
      <c r="B1" s="8" t="s">
        <v>11</v>
      </c>
      <c r="C1" s="4" t="s">
        <v>7818</v>
      </c>
      <c r="D1" s="31" t="s">
        <v>7819</v>
      </c>
      <c r="E1" s="4" t="s">
        <v>7790</v>
      </c>
      <c r="F1" s="15"/>
      <c r="G1" s="14" t="s">
        <v>7790</v>
      </c>
      <c r="H1" s="14" t="s">
        <v>7820</v>
      </c>
      <c r="I1" s="14" t="s">
        <v>7816</v>
      </c>
      <c r="J1" s="32" t="s">
        <v>7821</v>
      </c>
      <c r="K1" s="32" t="s">
        <v>7822</v>
      </c>
    </row>
    <row r="2" ht="14.25" customHeight="1">
      <c r="A2" s="8" t="s">
        <v>12</v>
      </c>
      <c r="B2" s="8">
        <v>7.9</v>
      </c>
      <c r="C2" s="4" t="str">
        <f>IFERROR(__xludf.DUMMYFUNCTION("ARRAY_CONSTRAIN(ARRAYFORMULA(UNIQUE(A2:A3848,FALSE)), 1746, 1)"),"James Cameron")</f>
        <v>James Cameron</v>
      </c>
      <c r="D2" s="31">
        <f t="shared" ref="D2:D1747" si="1">AVERAGEIF(A:A,C2,B:B)</f>
        <v>7.914285714</v>
      </c>
      <c r="E2" s="4">
        <f t="shared" ref="E2:E1747" si="2">COUNTIFS(A:A,C2)</f>
        <v>7</v>
      </c>
      <c r="F2" s="15"/>
      <c r="G2" s="14">
        <v>1.0</v>
      </c>
      <c r="H2" s="14" t="s">
        <v>5700</v>
      </c>
      <c r="I2" s="14">
        <v>8.6</v>
      </c>
      <c r="J2" s="33">
        <f t="shared" ref="J2:J12" si="3">PERCENTILE(I2:I12,0.9)</f>
        <v>8.6</v>
      </c>
      <c r="K2" s="33">
        <f>PERCENTRANK(J2:J12,8.6)</f>
        <v>1</v>
      </c>
    </row>
    <row r="3" ht="14.25" customHeight="1">
      <c r="A3" s="8" t="s">
        <v>17</v>
      </c>
      <c r="B3" s="8">
        <v>7.1</v>
      </c>
      <c r="C3" s="4" t="str">
        <f>IFERROR(__xludf.DUMMYFUNCTION("""COMPUTED_VALUE"""),"Gore Verbinski")</f>
        <v>Gore Verbinski</v>
      </c>
      <c r="D3" s="31">
        <f t="shared" si="1"/>
        <v>6.985714286</v>
      </c>
      <c r="E3" s="4">
        <f t="shared" si="2"/>
        <v>7</v>
      </c>
      <c r="F3" s="15"/>
      <c r="G3" s="14">
        <v>1.0</v>
      </c>
      <c r="H3" s="14" t="s">
        <v>7177</v>
      </c>
      <c r="I3" s="14">
        <v>8.6</v>
      </c>
      <c r="J3" s="1">
        <f t="shared" si="3"/>
        <v>8.51</v>
      </c>
      <c r="K3" s="1"/>
    </row>
    <row r="4" ht="14.25" customHeight="1">
      <c r="A4" s="8" t="s">
        <v>21</v>
      </c>
      <c r="B4" s="8">
        <v>6.8</v>
      </c>
      <c r="C4" s="4" t="str">
        <f>IFERROR(__xludf.DUMMYFUNCTION("""COMPUTED_VALUE"""),"Sam Mendes")</f>
        <v>Sam Mendes</v>
      </c>
      <c r="D4" s="31">
        <f t="shared" si="1"/>
        <v>7.5</v>
      </c>
      <c r="E4" s="4">
        <f t="shared" si="2"/>
        <v>8</v>
      </c>
      <c r="F4" s="15"/>
      <c r="G4" s="14">
        <v>1.0</v>
      </c>
      <c r="H4" s="14" t="s">
        <v>4266</v>
      </c>
      <c r="I4" s="14">
        <v>8.5</v>
      </c>
      <c r="J4" s="1">
        <f t="shared" si="3"/>
        <v>8.5</v>
      </c>
      <c r="K4" s="1"/>
    </row>
    <row r="5" ht="14.25" customHeight="1">
      <c r="A5" s="8" t="s">
        <v>25</v>
      </c>
      <c r="B5" s="8">
        <v>8.5</v>
      </c>
      <c r="C5" s="4" t="str">
        <f>IFERROR(__xludf.DUMMYFUNCTION("""COMPUTED_VALUE"""),"Christopher Nolan")</f>
        <v>Christopher Nolan</v>
      </c>
      <c r="D5" s="31">
        <f t="shared" si="1"/>
        <v>8.425</v>
      </c>
      <c r="E5" s="4">
        <f t="shared" si="2"/>
        <v>8</v>
      </c>
      <c r="F5" s="15"/>
      <c r="G5" s="14">
        <v>1.0</v>
      </c>
      <c r="H5" s="14" t="s">
        <v>6765</v>
      </c>
      <c r="I5" s="14">
        <v>8.5</v>
      </c>
      <c r="J5" s="1">
        <f t="shared" si="3"/>
        <v>8.5</v>
      </c>
      <c r="K5" s="1"/>
    </row>
    <row r="6" ht="14.25" customHeight="1">
      <c r="A6" s="8" t="s">
        <v>29</v>
      </c>
      <c r="B6" s="8">
        <v>6.6</v>
      </c>
      <c r="C6" s="4" t="str">
        <f>IFERROR(__xludf.DUMMYFUNCTION("""COMPUTED_VALUE"""),"Andrew Stanton")</f>
        <v>Andrew Stanton</v>
      </c>
      <c r="D6" s="31">
        <f t="shared" si="1"/>
        <v>7.733333333</v>
      </c>
      <c r="E6" s="4">
        <f t="shared" si="2"/>
        <v>3</v>
      </c>
      <c r="F6" s="15"/>
      <c r="G6" s="14">
        <v>1.0</v>
      </c>
      <c r="H6" s="14" t="s">
        <v>7688</v>
      </c>
      <c r="I6" s="14">
        <v>8.5</v>
      </c>
      <c r="J6" s="1">
        <f t="shared" si="3"/>
        <v>8.44</v>
      </c>
      <c r="K6" s="1"/>
    </row>
    <row r="7" ht="14.25" customHeight="1">
      <c r="A7" s="8" t="s">
        <v>33</v>
      </c>
      <c r="B7" s="8">
        <v>6.2</v>
      </c>
      <c r="C7" s="4" t="str">
        <f>IFERROR(__xludf.DUMMYFUNCTION("""COMPUTED_VALUE"""),"Sam Raimi")</f>
        <v>Sam Raimi</v>
      </c>
      <c r="D7" s="31">
        <f t="shared" si="1"/>
        <v>6.85</v>
      </c>
      <c r="E7" s="4">
        <f t="shared" si="2"/>
        <v>12</v>
      </c>
      <c r="F7" s="15"/>
      <c r="G7" s="14">
        <v>8.0</v>
      </c>
      <c r="H7" s="14" t="s">
        <v>25</v>
      </c>
      <c r="I7" s="14">
        <v>8.4</v>
      </c>
      <c r="J7" s="1">
        <f t="shared" si="3"/>
        <v>8.4</v>
      </c>
      <c r="K7" s="1"/>
    </row>
    <row r="8" ht="14.25" customHeight="1">
      <c r="A8" s="8" t="s">
        <v>37</v>
      </c>
      <c r="B8" s="8">
        <v>7.8</v>
      </c>
      <c r="C8" s="4" t="str">
        <f>IFERROR(__xludf.DUMMYFUNCTION("""COMPUTED_VALUE"""),"Nathan Greno")</f>
        <v>Nathan Greno</v>
      </c>
      <c r="D8" s="31">
        <f t="shared" si="1"/>
        <v>7.8</v>
      </c>
      <c r="E8" s="4">
        <f t="shared" si="2"/>
        <v>1</v>
      </c>
      <c r="F8" s="15"/>
      <c r="G8" s="14">
        <v>1.0</v>
      </c>
      <c r="H8" s="14" t="s">
        <v>2754</v>
      </c>
      <c r="I8" s="14">
        <v>8.4</v>
      </c>
      <c r="J8" s="1">
        <f t="shared" si="3"/>
        <v>8.4</v>
      </c>
      <c r="K8" s="1"/>
    </row>
    <row r="9" ht="14.25" customHeight="1">
      <c r="A9" s="8" t="s">
        <v>41</v>
      </c>
      <c r="B9" s="8">
        <v>7.5</v>
      </c>
      <c r="C9" s="4" t="str">
        <f>IFERROR(__xludf.DUMMYFUNCTION("""COMPUTED_VALUE"""),"Joss Whedon")</f>
        <v>Joss Whedon</v>
      </c>
      <c r="D9" s="31">
        <f t="shared" si="1"/>
        <v>7.866666667</v>
      </c>
      <c r="E9" s="4">
        <f t="shared" si="2"/>
        <v>3</v>
      </c>
      <c r="F9" s="15"/>
      <c r="G9" s="14">
        <v>1.0</v>
      </c>
      <c r="H9" s="14" t="s">
        <v>3115</v>
      </c>
      <c r="I9" s="14">
        <v>8.4</v>
      </c>
      <c r="J9" s="1">
        <f t="shared" si="3"/>
        <v>8.4</v>
      </c>
      <c r="K9" s="1"/>
    </row>
    <row r="10" ht="14.25" customHeight="1">
      <c r="A10" s="8" t="s">
        <v>44</v>
      </c>
      <c r="B10" s="8">
        <v>7.5</v>
      </c>
      <c r="C10" s="4" t="str">
        <f>IFERROR(__xludf.DUMMYFUNCTION("""COMPUTED_VALUE"""),"David Yates")</f>
        <v>David Yates</v>
      </c>
      <c r="D10" s="31">
        <f t="shared" si="1"/>
        <v>7.2</v>
      </c>
      <c r="E10" s="4">
        <f t="shared" si="2"/>
        <v>3</v>
      </c>
      <c r="F10" s="15"/>
      <c r="G10" s="14">
        <v>3.0</v>
      </c>
      <c r="H10" s="14" t="s">
        <v>3421</v>
      </c>
      <c r="I10" s="14">
        <v>8.4</v>
      </c>
      <c r="J10" s="1">
        <f t="shared" si="3"/>
        <v>8.4</v>
      </c>
      <c r="K10" s="1"/>
    </row>
    <row r="11" ht="14.25" customHeight="1">
      <c r="A11" s="8" t="s">
        <v>48</v>
      </c>
      <c r="B11" s="8">
        <v>6.9</v>
      </c>
      <c r="C11" s="4" t="str">
        <f>IFERROR(__xludf.DUMMYFUNCTION("""COMPUTED_VALUE"""),"Zack Snyder")</f>
        <v>Zack Snyder</v>
      </c>
      <c r="D11" s="31">
        <f t="shared" si="1"/>
        <v>7.175</v>
      </c>
      <c r="E11" s="4">
        <f t="shared" si="2"/>
        <v>8</v>
      </c>
      <c r="F11" s="15"/>
      <c r="G11" s="14">
        <v>1.0</v>
      </c>
      <c r="H11" s="14" t="s">
        <v>7411</v>
      </c>
      <c r="I11" s="14">
        <v>8.4</v>
      </c>
      <c r="J11" s="1">
        <f t="shared" si="3"/>
        <v>8.4</v>
      </c>
      <c r="K11" s="1"/>
    </row>
    <row r="12" ht="14.25" customHeight="1">
      <c r="A12" s="8" t="s">
        <v>51</v>
      </c>
      <c r="B12" s="8">
        <v>6.1</v>
      </c>
      <c r="C12" s="4" t="str">
        <f>IFERROR(__xludf.DUMMYFUNCTION("""COMPUTED_VALUE"""),"Bryan Singer")</f>
        <v>Bryan Singer</v>
      </c>
      <c r="D12" s="31">
        <f t="shared" si="1"/>
        <v>7.2875</v>
      </c>
      <c r="E12" s="4">
        <f t="shared" si="2"/>
        <v>8</v>
      </c>
      <c r="F12" s="15"/>
      <c r="G12" s="14">
        <v>1.0</v>
      </c>
      <c r="H12" s="14" t="s">
        <v>7519</v>
      </c>
      <c r="I12" s="14">
        <v>8.4</v>
      </c>
      <c r="J12" s="1">
        <f t="shared" si="3"/>
        <v>8.4</v>
      </c>
      <c r="K12" s="1"/>
    </row>
    <row r="13" ht="14.25" customHeight="1">
      <c r="A13" s="8" t="s">
        <v>54</v>
      </c>
      <c r="B13" s="8">
        <v>6.7</v>
      </c>
      <c r="C13" s="4" t="str">
        <f>IFERROR(__xludf.DUMMYFUNCTION("""COMPUTED_VALUE"""),"Marc Forster")</f>
        <v>Marc Forster</v>
      </c>
      <c r="D13" s="31">
        <f t="shared" si="1"/>
        <v>7.228571429</v>
      </c>
      <c r="E13" s="4">
        <f t="shared" si="2"/>
        <v>7</v>
      </c>
      <c r="F13" s="15"/>
      <c r="G13" s="4"/>
    </row>
    <row r="14" ht="14.25" customHeight="1">
      <c r="A14" s="8" t="s">
        <v>17</v>
      </c>
      <c r="B14" s="8">
        <v>7.3</v>
      </c>
      <c r="C14" s="4" t="str">
        <f>IFERROR(__xludf.DUMMYFUNCTION("""COMPUTED_VALUE"""),"Andrew Adamson")</f>
        <v>Andrew Adamson</v>
      </c>
      <c r="D14" s="31">
        <f t="shared" si="1"/>
        <v>7.15</v>
      </c>
      <c r="E14" s="4">
        <f t="shared" si="2"/>
        <v>4</v>
      </c>
      <c r="F14" s="15"/>
      <c r="G14" s="4"/>
    </row>
    <row r="15" ht="14.25" customHeight="1">
      <c r="A15" s="8" t="s">
        <v>17</v>
      </c>
      <c r="B15" s="8">
        <v>6.5</v>
      </c>
      <c r="C15" s="4" t="str">
        <f>IFERROR(__xludf.DUMMYFUNCTION("""COMPUTED_VALUE"""),"Rob Marshall")</f>
        <v>Rob Marshall</v>
      </c>
      <c r="D15" s="31">
        <f t="shared" si="1"/>
        <v>6.6</v>
      </c>
      <c r="E15" s="4">
        <f t="shared" si="2"/>
        <v>5</v>
      </c>
      <c r="F15" s="15"/>
      <c r="G15" s="4"/>
    </row>
    <row r="16" ht="14.25" customHeight="1">
      <c r="A16" s="8" t="s">
        <v>48</v>
      </c>
      <c r="B16" s="8">
        <v>7.2</v>
      </c>
      <c r="C16" s="4" t="str">
        <f>IFERROR(__xludf.DUMMYFUNCTION("""COMPUTED_VALUE"""),"Barry Sonnenfeld")</f>
        <v>Barry Sonnenfeld</v>
      </c>
      <c r="D16" s="31">
        <f t="shared" si="1"/>
        <v>6.457142857</v>
      </c>
      <c r="E16" s="4">
        <f t="shared" si="2"/>
        <v>7</v>
      </c>
      <c r="F16" s="15"/>
      <c r="G16" s="4"/>
    </row>
    <row r="17" ht="14.25" customHeight="1">
      <c r="A17" s="8" t="s">
        <v>62</v>
      </c>
      <c r="B17" s="8">
        <v>6.6</v>
      </c>
      <c r="C17" s="4" t="str">
        <f>IFERROR(__xludf.DUMMYFUNCTION("""COMPUTED_VALUE"""),"Peter Jackson")</f>
        <v>Peter Jackson</v>
      </c>
      <c r="D17" s="31">
        <f t="shared" si="1"/>
        <v>7.675</v>
      </c>
      <c r="E17" s="4">
        <f t="shared" si="2"/>
        <v>12</v>
      </c>
      <c r="F17" s="15"/>
      <c r="G17" s="4"/>
    </row>
    <row r="18" ht="14.25" customHeight="1">
      <c r="A18" s="8" t="s">
        <v>41</v>
      </c>
      <c r="B18" s="8">
        <v>8.1</v>
      </c>
      <c r="C18" s="4" t="str">
        <f>IFERROR(__xludf.DUMMYFUNCTION("""COMPUTED_VALUE"""),"Marc Webb")</f>
        <v>Marc Webb</v>
      </c>
      <c r="D18" s="31">
        <f t="shared" si="1"/>
        <v>7.133333333</v>
      </c>
      <c r="E18" s="4">
        <f t="shared" si="2"/>
        <v>3</v>
      </c>
      <c r="F18" s="15"/>
      <c r="G18" s="4"/>
    </row>
    <row r="19" ht="14.25" customHeight="1">
      <c r="A19" s="8" t="s">
        <v>67</v>
      </c>
      <c r="B19" s="8">
        <v>6.7</v>
      </c>
      <c r="C19" s="4" t="str">
        <f>IFERROR(__xludf.DUMMYFUNCTION("""COMPUTED_VALUE"""),"Ridley Scott")</f>
        <v>Ridley Scott</v>
      </c>
      <c r="D19" s="31">
        <f t="shared" si="1"/>
        <v>7.070588235</v>
      </c>
      <c r="E19" s="4">
        <f t="shared" si="2"/>
        <v>17</v>
      </c>
      <c r="F19" s="15"/>
      <c r="G19" s="4"/>
    </row>
    <row r="20" ht="14.25" customHeight="1">
      <c r="A20" s="8" t="s">
        <v>69</v>
      </c>
      <c r="B20" s="8">
        <v>6.8</v>
      </c>
      <c r="C20" s="4" t="str">
        <f>IFERROR(__xludf.DUMMYFUNCTION("""COMPUTED_VALUE"""),"Chris Weitz")</f>
        <v>Chris Weitz</v>
      </c>
      <c r="D20" s="31">
        <f t="shared" si="1"/>
        <v>6.08</v>
      </c>
      <c r="E20" s="4">
        <f t="shared" si="2"/>
        <v>5</v>
      </c>
      <c r="F20" s="15"/>
      <c r="G20" s="4"/>
    </row>
    <row r="21" ht="14.25" customHeight="1">
      <c r="A21" s="8" t="s">
        <v>73</v>
      </c>
      <c r="B21" s="8">
        <v>7.5</v>
      </c>
      <c r="C21" s="4" t="str">
        <f>IFERROR(__xludf.DUMMYFUNCTION("""COMPUTED_VALUE"""),"Anthony Russo")</f>
        <v>Anthony Russo</v>
      </c>
      <c r="D21" s="31">
        <f t="shared" si="1"/>
        <v>7</v>
      </c>
      <c r="E21" s="4">
        <f t="shared" si="2"/>
        <v>4</v>
      </c>
      <c r="F21" s="15"/>
      <c r="G21" s="4"/>
    </row>
    <row r="22" ht="14.25" customHeight="1">
      <c r="A22" s="8" t="s">
        <v>77</v>
      </c>
      <c r="B22" s="8">
        <v>7.0</v>
      </c>
      <c r="C22" s="4" t="str">
        <f>IFERROR(__xludf.DUMMYFUNCTION("""COMPUTED_VALUE"""),"Peter Berg")</f>
        <v>Peter Berg</v>
      </c>
      <c r="D22" s="31">
        <f t="shared" si="1"/>
        <v>6.666666667</v>
      </c>
      <c r="E22" s="4">
        <f t="shared" si="2"/>
        <v>6</v>
      </c>
      <c r="F22" s="15"/>
      <c r="G22" s="4"/>
    </row>
    <row r="23" ht="14.25" customHeight="1">
      <c r="A23" s="8" t="s">
        <v>80</v>
      </c>
      <c r="B23" s="8">
        <v>6.7</v>
      </c>
      <c r="C23" s="4" t="str">
        <f>IFERROR(__xludf.DUMMYFUNCTION("""COMPUTED_VALUE"""),"Colin Trevorrow")</f>
        <v>Colin Trevorrow</v>
      </c>
      <c r="D23" s="31">
        <f t="shared" si="1"/>
        <v>7</v>
      </c>
      <c r="E23" s="4">
        <f t="shared" si="2"/>
        <v>2</v>
      </c>
      <c r="F23" s="15"/>
      <c r="G23" s="4"/>
    </row>
    <row r="24" ht="14.25" customHeight="1">
      <c r="A24" s="8" t="s">
        <v>73</v>
      </c>
      <c r="B24" s="8">
        <v>7.9</v>
      </c>
      <c r="C24" s="4" t="str">
        <f>IFERROR(__xludf.DUMMYFUNCTION("""COMPUTED_VALUE"""),"Shane Black")</f>
        <v>Shane Black</v>
      </c>
      <c r="D24" s="31">
        <f t="shared" si="1"/>
        <v>7.4</v>
      </c>
      <c r="E24" s="4">
        <f t="shared" si="2"/>
        <v>2</v>
      </c>
      <c r="F24" s="15"/>
      <c r="G24" s="4"/>
    </row>
    <row r="25" ht="14.25" customHeight="1">
      <c r="A25" s="8" t="s">
        <v>85</v>
      </c>
      <c r="B25" s="8">
        <v>6.1</v>
      </c>
      <c r="C25" s="4" t="str">
        <f>IFERROR(__xludf.DUMMYFUNCTION("""COMPUTED_VALUE"""),"Tim Burton")</f>
        <v>Tim Burton</v>
      </c>
      <c r="D25" s="31">
        <f t="shared" si="1"/>
        <v>6.93125</v>
      </c>
      <c r="E25" s="4">
        <f t="shared" si="2"/>
        <v>16</v>
      </c>
      <c r="F25" s="15"/>
      <c r="G25" s="4"/>
    </row>
    <row r="26" ht="14.25" customHeight="1">
      <c r="A26" s="8" t="s">
        <v>73</v>
      </c>
      <c r="B26" s="8">
        <v>7.2</v>
      </c>
      <c r="C26" s="4" t="str">
        <f>IFERROR(__xludf.DUMMYFUNCTION("""COMPUTED_VALUE"""),"Brett Ratner")</f>
        <v>Brett Ratner</v>
      </c>
      <c r="D26" s="31">
        <f t="shared" si="1"/>
        <v>6.455555556</v>
      </c>
      <c r="E26" s="4">
        <f t="shared" si="2"/>
        <v>9</v>
      </c>
      <c r="F26" s="15"/>
      <c r="G26" s="4"/>
    </row>
    <row r="27" ht="14.25" customHeight="1">
      <c r="A27" s="8" t="s">
        <v>12</v>
      </c>
      <c r="B27" s="8">
        <v>7.7</v>
      </c>
      <c r="C27" s="4" t="str">
        <f>IFERROR(__xludf.DUMMYFUNCTION("""COMPUTED_VALUE"""),"Dan Scanlon")</f>
        <v>Dan Scanlon</v>
      </c>
      <c r="D27" s="31">
        <f t="shared" si="1"/>
        <v>7.3</v>
      </c>
      <c r="E27" s="4">
        <f t="shared" si="2"/>
        <v>1</v>
      </c>
      <c r="F27" s="15"/>
      <c r="G27" s="4"/>
    </row>
    <row r="28" ht="14.25" customHeight="1">
      <c r="A28" s="8" t="s">
        <v>95</v>
      </c>
      <c r="B28" s="8">
        <v>8.2</v>
      </c>
      <c r="C28" s="4" t="str">
        <f>IFERROR(__xludf.DUMMYFUNCTION("""COMPUTED_VALUE"""),"Michael Bay")</f>
        <v>Michael Bay</v>
      </c>
      <c r="D28" s="31">
        <f t="shared" si="1"/>
        <v>6.638461538</v>
      </c>
      <c r="E28" s="4">
        <f t="shared" si="2"/>
        <v>13</v>
      </c>
      <c r="F28" s="15"/>
      <c r="G28" s="4"/>
    </row>
    <row r="29" ht="14.25" customHeight="1">
      <c r="A29" s="8" t="s">
        <v>98</v>
      </c>
      <c r="B29" s="8">
        <v>5.9</v>
      </c>
      <c r="C29" s="4" t="str">
        <f>IFERROR(__xludf.DUMMYFUNCTION("""COMPUTED_VALUE"""),"Joseph Kosinski")</f>
        <v>Joseph Kosinski</v>
      </c>
      <c r="D29" s="31">
        <f t="shared" si="1"/>
        <v>6.866666667</v>
      </c>
      <c r="E29" s="4">
        <f t="shared" si="2"/>
        <v>3</v>
      </c>
      <c r="F29" s="15"/>
      <c r="G29" s="4"/>
    </row>
    <row r="30" ht="14.25" customHeight="1">
      <c r="A30" s="8" t="s">
        <v>102</v>
      </c>
      <c r="B30" s="8">
        <v>7.0</v>
      </c>
      <c r="C30" s="4" t="str">
        <f>IFERROR(__xludf.DUMMYFUNCTION("""COMPUTED_VALUE"""),"John Lasseter")</f>
        <v>John Lasseter</v>
      </c>
      <c r="D30" s="31">
        <f t="shared" si="1"/>
        <v>7.38</v>
      </c>
      <c r="E30" s="4">
        <f t="shared" si="2"/>
        <v>5</v>
      </c>
      <c r="F30" s="15"/>
      <c r="G30" s="4"/>
    </row>
    <row r="31" ht="14.25" customHeight="1">
      <c r="A31" s="8" t="s">
        <v>21</v>
      </c>
      <c r="B31" s="8">
        <v>7.8</v>
      </c>
      <c r="C31" s="4" t="str">
        <f>IFERROR(__xludf.DUMMYFUNCTION("""COMPUTED_VALUE"""),"Martin Campbell")</f>
        <v>Martin Campbell</v>
      </c>
      <c r="D31" s="31">
        <f t="shared" si="1"/>
        <v>6.711111111</v>
      </c>
      <c r="E31" s="4">
        <f t="shared" si="2"/>
        <v>9</v>
      </c>
      <c r="F31" s="15"/>
      <c r="G31" s="4"/>
    </row>
    <row r="32" ht="14.25" customHeight="1">
      <c r="A32" s="8" t="s">
        <v>33</v>
      </c>
      <c r="B32" s="8">
        <v>7.3</v>
      </c>
      <c r="C32" s="4" t="str">
        <f>IFERROR(__xludf.DUMMYFUNCTION("""COMPUTED_VALUE"""),"Lee Unkrich")</f>
        <v>Lee Unkrich</v>
      </c>
      <c r="D32" s="31">
        <f t="shared" si="1"/>
        <v>8.3</v>
      </c>
      <c r="E32" s="4">
        <f t="shared" si="2"/>
        <v>1</v>
      </c>
      <c r="F32" s="15"/>
      <c r="G32" s="4"/>
    </row>
    <row r="33" ht="14.25" customHeight="1">
      <c r="A33" s="8" t="s">
        <v>109</v>
      </c>
      <c r="B33" s="8">
        <v>7.2</v>
      </c>
      <c r="C33" s="4" t="str">
        <f>IFERROR(__xludf.DUMMYFUNCTION("""COMPUTED_VALUE"""),"McG")</f>
        <v>McG</v>
      </c>
      <c r="D33" s="31">
        <f t="shared" si="1"/>
        <v>6.083333333</v>
      </c>
      <c r="E33" s="4">
        <f t="shared" si="2"/>
        <v>6</v>
      </c>
      <c r="F33" s="15"/>
      <c r="G33" s="4"/>
    </row>
    <row r="34" ht="14.25" customHeight="1">
      <c r="A34" s="8" t="s">
        <v>111</v>
      </c>
      <c r="B34" s="8">
        <v>6.5</v>
      </c>
      <c r="C34" s="4" t="str">
        <f>IFERROR(__xludf.DUMMYFUNCTION("""COMPUTED_VALUE"""),"James Wan")</f>
        <v>James Wan</v>
      </c>
      <c r="D34" s="31">
        <f t="shared" si="1"/>
        <v>7.2</v>
      </c>
      <c r="E34" s="4">
        <f t="shared" si="2"/>
        <v>7</v>
      </c>
      <c r="F34" s="15"/>
      <c r="G34" s="4"/>
    </row>
    <row r="35" ht="14.25" customHeight="1">
      <c r="A35" s="8" t="s">
        <v>113</v>
      </c>
      <c r="B35" s="8">
        <v>6.8</v>
      </c>
      <c r="C35" s="4" t="str">
        <f>IFERROR(__xludf.DUMMYFUNCTION("""COMPUTED_VALUE"""),"J.J. Abrams")</f>
        <v>J.J. Abrams</v>
      </c>
      <c r="D35" s="31">
        <f t="shared" si="1"/>
        <v>7.45</v>
      </c>
      <c r="E35" s="4">
        <f t="shared" si="2"/>
        <v>4</v>
      </c>
      <c r="F35" s="15"/>
      <c r="G35" s="4"/>
    </row>
    <row r="36" ht="14.25" customHeight="1">
      <c r="A36" s="8" t="s">
        <v>117</v>
      </c>
      <c r="B36" s="8">
        <v>7.3</v>
      </c>
      <c r="C36" s="4" t="str">
        <f>IFERROR(__xludf.DUMMYFUNCTION("""COMPUTED_VALUE"""),"Baz Luhrmann")</f>
        <v>Baz Luhrmann</v>
      </c>
      <c r="D36" s="31">
        <f t="shared" si="1"/>
        <v>7.12</v>
      </c>
      <c r="E36" s="4">
        <f t="shared" si="2"/>
        <v>5</v>
      </c>
      <c r="F36" s="15"/>
      <c r="G36" s="4"/>
    </row>
    <row r="37" ht="14.25" customHeight="1">
      <c r="A37" s="8" t="s">
        <v>121</v>
      </c>
      <c r="B37" s="8">
        <v>6.0</v>
      </c>
      <c r="C37" s="4" t="str">
        <f>IFERROR(__xludf.DUMMYFUNCTION("""COMPUTED_VALUE"""),"Mike Newell")</f>
        <v>Mike Newell</v>
      </c>
      <c r="D37" s="31">
        <f t="shared" si="1"/>
        <v>6.842857143</v>
      </c>
      <c r="E37" s="4">
        <f t="shared" si="2"/>
        <v>7</v>
      </c>
      <c r="F37" s="15"/>
      <c r="G37" s="4"/>
    </row>
    <row r="38" ht="14.25" customHeight="1">
      <c r="A38" s="8" t="s">
        <v>121</v>
      </c>
      <c r="B38" s="8">
        <v>5.7</v>
      </c>
      <c r="C38" s="4" t="str">
        <f>IFERROR(__xludf.DUMMYFUNCTION("""COMPUTED_VALUE"""),"Guillermo del Toro")</f>
        <v>Guillermo del Toro</v>
      </c>
      <c r="D38" s="31">
        <f t="shared" si="1"/>
        <v>7.14</v>
      </c>
      <c r="E38" s="4">
        <f t="shared" si="2"/>
        <v>5</v>
      </c>
      <c r="F38" s="15"/>
      <c r="G38" s="4"/>
    </row>
    <row r="39" ht="14.25" customHeight="1">
      <c r="A39" s="8" t="s">
        <v>33</v>
      </c>
      <c r="B39" s="8">
        <v>6.4</v>
      </c>
      <c r="C39" s="4" t="str">
        <f>IFERROR(__xludf.DUMMYFUNCTION("""COMPUTED_VALUE"""),"Steven Spielberg")</f>
        <v>Steven Spielberg</v>
      </c>
      <c r="D39" s="31">
        <f t="shared" si="1"/>
        <v>7.544</v>
      </c>
      <c r="E39" s="4">
        <f t="shared" si="2"/>
        <v>25</v>
      </c>
      <c r="F39" s="15"/>
      <c r="G39" s="4"/>
    </row>
    <row r="40" ht="14.25" customHeight="1">
      <c r="A40" s="8" t="s">
        <v>77</v>
      </c>
      <c r="B40" s="8">
        <v>6.7</v>
      </c>
      <c r="C40" s="4" t="str">
        <f>IFERROR(__xludf.DUMMYFUNCTION("""COMPUTED_VALUE"""),"Mark Andrews")</f>
        <v>Mark Andrews</v>
      </c>
      <c r="D40" s="31">
        <f t="shared" si="1"/>
        <v>7.2</v>
      </c>
      <c r="E40" s="4">
        <f t="shared" si="2"/>
        <v>1</v>
      </c>
      <c r="F40" s="15"/>
      <c r="G40" s="4"/>
    </row>
    <row r="41" ht="14.25" customHeight="1">
      <c r="A41" s="8" t="s">
        <v>129</v>
      </c>
      <c r="B41" s="8">
        <v>6.8</v>
      </c>
      <c r="C41" s="4" t="str">
        <f>IFERROR(__xludf.DUMMYFUNCTION("""COMPUTED_VALUE"""),"Justin Lin")</f>
        <v>Justin Lin</v>
      </c>
      <c r="D41" s="31">
        <f t="shared" si="1"/>
        <v>6.84</v>
      </c>
      <c r="E41" s="4">
        <f t="shared" si="2"/>
        <v>5</v>
      </c>
      <c r="F41" s="15"/>
      <c r="G41" s="4"/>
    </row>
    <row r="42" ht="14.25" customHeight="1">
      <c r="A42" s="8" t="s">
        <v>132</v>
      </c>
      <c r="B42" s="8">
        <v>6.3</v>
      </c>
      <c r="C42" s="4" t="str">
        <f>IFERROR(__xludf.DUMMYFUNCTION("""COMPUTED_VALUE"""),"Roland Emmerich")</f>
        <v>Roland Emmerich</v>
      </c>
      <c r="D42" s="31">
        <f t="shared" si="1"/>
        <v>6.1875</v>
      </c>
      <c r="E42" s="4">
        <f t="shared" si="2"/>
        <v>8</v>
      </c>
      <c r="F42" s="15"/>
      <c r="G42" s="4"/>
    </row>
    <row r="43" ht="14.25" customHeight="1">
      <c r="A43" s="8" t="s">
        <v>136</v>
      </c>
      <c r="B43" s="8">
        <v>5.6</v>
      </c>
      <c r="C43" s="4" t="str">
        <f>IFERROR(__xludf.DUMMYFUNCTION("""COMPUTED_VALUE"""),"Robert Zemeckis")</f>
        <v>Robert Zemeckis</v>
      </c>
      <c r="D43" s="31">
        <f t="shared" si="1"/>
        <v>7.307692308</v>
      </c>
      <c r="E43" s="4">
        <f t="shared" si="2"/>
        <v>13</v>
      </c>
      <c r="F43" s="15"/>
      <c r="G43" s="4"/>
    </row>
    <row r="44" ht="14.25" customHeight="1">
      <c r="A44" s="8" t="s">
        <v>139</v>
      </c>
      <c r="B44" s="8">
        <v>8.3</v>
      </c>
      <c r="C44" s="4" t="str">
        <f>IFERROR(__xludf.DUMMYFUNCTION("""COMPUTED_VALUE"""),"Lana Wachowski")</f>
        <v>Lana Wachowski</v>
      </c>
      <c r="D44" s="31">
        <f t="shared" si="1"/>
        <v>6.916666667</v>
      </c>
      <c r="E44" s="4">
        <f t="shared" si="2"/>
        <v>6</v>
      </c>
      <c r="F44" s="15"/>
      <c r="G44" s="4"/>
    </row>
    <row r="45" ht="14.25" customHeight="1">
      <c r="A45" s="8" t="s">
        <v>142</v>
      </c>
      <c r="B45" s="8">
        <v>6.6</v>
      </c>
      <c r="C45" s="4" t="str">
        <f>IFERROR(__xludf.DUMMYFUNCTION("""COMPUTED_VALUE"""),"Pete Docter")</f>
        <v>Pete Docter</v>
      </c>
      <c r="D45" s="31">
        <f t="shared" si="1"/>
        <v>8.233333333</v>
      </c>
      <c r="E45" s="4">
        <f t="shared" si="2"/>
        <v>3</v>
      </c>
      <c r="F45" s="15"/>
      <c r="G45" s="4"/>
    </row>
    <row r="46" ht="14.25" customHeight="1">
      <c r="A46" s="8" t="s">
        <v>145</v>
      </c>
      <c r="B46" s="8">
        <v>7.2</v>
      </c>
      <c r="C46" s="4" t="str">
        <f>IFERROR(__xludf.DUMMYFUNCTION("""COMPUTED_VALUE"""),"Rob Letterman")</f>
        <v>Rob Letterman</v>
      </c>
      <c r="D46" s="31">
        <f t="shared" si="1"/>
        <v>6.05</v>
      </c>
      <c r="E46" s="4">
        <f t="shared" si="2"/>
        <v>4</v>
      </c>
      <c r="F46" s="15"/>
      <c r="G46" s="4"/>
    </row>
    <row r="47" ht="14.25" customHeight="1">
      <c r="A47" s="8" t="s">
        <v>54</v>
      </c>
      <c r="B47" s="8">
        <v>7.0</v>
      </c>
      <c r="C47" s="4" t="str">
        <f>IFERROR(__xludf.DUMMYFUNCTION("""COMPUTED_VALUE"""),"Jon Favreau")</f>
        <v>Jon Favreau</v>
      </c>
      <c r="D47" s="31">
        <f t="shared" si="1"/>
        <v>7.128571429</v>
      </c>
      <c r="E47" s="4">
        <f t="shared" si="2"/>
        <v>7</v>
      </c>
      <c r="F47" s="15"/>
      <c r="G47" s="4"/>
    </row>
    <row r="48" ht="14.25" customHeight="1">
      <c r="A48" s="8" t="s">
        <v>51</v>
      </c>
      <c r="B48" s="8">
        <v>8.0</v>
      </c>
      <c r="C48" s="4" t="str">
        <f>IFERROR(__xludf.DUMMYFUNCTION("""COMPUTED_VALUE"""),"Martin Scorsese")</f>
        <v>Martin Scorsese</v>
      </c>
      <c r="D48" s="31">
        <f t="shared" si="1"/>
        <v>7.675</v>
      </c>
      <c r="E48" s="4">
        <f t="shared" si="2"/>
        <v>16</v>
      </c>
      <c r="F48" s="15"/>
      <c r="G48" s="4"/>
    </row>
    <row r="49" ht="14.25" customHeight="1">
      <c r="A49" s="8" t="s">
        <v>154</v>
      </c>
      <c r="B49" s="8">
        <v>7.8</v>
      </c>
      <c r="C49" s="4" t="str">
        <f>IFERROR(__xludf.DUMMYFUNCTION("""COMPUTED_VALUE"""),"Rob Cohen")</f>
        <v>Rob Cohen</v>
      </c>
      <c r="D49" s="31">
        <f t="shared" si="1"/>
        <v>5.69</v>
      </c>
      <c r="E49" s="4">
        <f t="shared" si="2"/>
        <v>10</v>
      </c>
      <c r="F49" s="15"/>
      <c r="G49" s="4"/>
    </row>
    <row r="50" ht="14.25" customHeight="1">
      <c r="A50" s="8" t="s">
        <v>51</v>
      </c>
      <c r="B50" s="8">
        <v>6.3</v>
      </c>
      <c r="C50" s="4" t="str">
        <f>IFERROR(__xludf.DUMMYFUNCTION("""COMPUTED_VALUE"""),"David Ayer")</f>
        <v>David Ayer</v>
      </c>
      <c r="D50" s="31">
        <f t="shared" si="1"/>
        <v>6.771428571</v>
      </c>
      <c r="E50" s="4">
        <f t="shared" si="2"/>
        <v>7</v>
      </c>
      <c r="F50" s="15"/>
      <c r="G50" s="4"/>
    </row>
    <row r="51" ht="14.25" customHeight="1">
      <c r="A51" s="8" t="s">
        <v>159</v>
      </c>
      <c r="B51" s="8">
        <v>7.3</v>
      </c>
      <c r="C51" s="4" t="str">
        <f>IFERROR(__xludf.DUMMYFUNCTION("""COMPUTED_VALUE"""),"Tom Shadyac")</f>
        <v>Tom Shadyac</v>
      </c>
      <c r="D51" s="31">
        <f t="shared" si="1"/>
        <v>6.314285714</v>
      </c>
      <c r="E51" s="4">
        <f t="shared" si="2"/>
        <v>7</v>
      </c>
      <c r="F51" s="15"/>
      <c r="G51" s="4"/>
    </row>
    <row r="52" ht="14.25" customHeight="1">
      <c r="A52" s="8" t="s">
        <v>161</v>
      </c>
      <c r="B52" s="8">
        <v>6.6</v>
      </c>
      <c r="C52" s="4" t="str">
        <f>IFERROR(__xludf.DUMMYFUNCTION("""COMPUTED_VALUE"""),"Doug Liman")</f>
        <v>Doug Liman</v>
      </c>
      <c r="D52" s="31">
        <f t="shared" si="1"/>
        <v>7.128571429</v>
      </c>
      <c r="E52" s="4">
        <f t="shared" si="2"/>
        <v>7</v>
      </c>
      <c r="F52" s="15"/>
      <c r="G52" s="4"/>
    </row>
    <row r="53" ht="14.25" customHeight="1">
      <c r="A53" s="8" t="s">
        <v>164</v>
      </c>
      <c r="B53" s="8">
        <v>7.0</v>
      </c>
      <c r="C53" s="4" t="str">
        <f>IFERROR(__xludf.DUMMYFUNCTION("""COMPUTED_VALUE"""),"Kevin Reynolds")</f>
        <v>Kevin Reynolds</v>
      </c>
      <c r="D53" s="31">
        <f t="shared" si="1"/>
        <v>6.68</v>
      </c>
      <c r="E53" s="4">
        <f t="shared" si="2"/>
        <v>5</v>
      </c>
      <c r="F53" s="15"/>
      <c r="G53" s="4"/>
    </row>
    <row r="54" ht="14.25" customHeight="1">
      <c r="A54" s="8" t="s">
        <v>121</v>
      </c>
      <c r="B54" s="8">
        <v>6.3</v>
      </c>
      <c r="C54" s="4" t="str">
        <f>IFERROR(__xludf.DUMMYFUNCTION("""COMPUTED_VALUE"""),"Stephen Sommers")</f>
        <v>Stephen Sommers</v>
      </c>
      <c r="D54" s="31">
        <f t="shared" si="1"/>
        <v>6.075</v>
      </c>
      <c r="E54" s="4">
        <f t="shared" si="2"/>
        <v>4</v>
      </c>
      <c r="F54" s="15"/>
      <c r="G54" s="4"/>
    </row>
    <row r="55" ht="14.25" customHeight="1">
      <c r="A55" s="8" t="s">
        <v>168</v>
      </c>
      <c r="B55" s="8">
        <v>6.2</v>
      </c>
      <c r="C55" s="4" t="str">
        <f>IFERROR(__xludf.DUMMYFUNCTION("""COMPUTED_VALUE"""),"Rupert Sanders")</f>
        <v>Rupert Sanders</v>
      </c>
      <c r="D55" s="31">
        <f t="shared" si="1"/>
        <v>6.1</v>
      </c>
      <c r="E55" s="4">
        <f t="shared" si="2"/>
        <v>1</v>
      </c>
      <c r="F55" s="15"/>
      <c r="G55" s="4"/>
    </row>
    <row r="56" ht="14.25" customHeight="1">
      <c r="A56" s="8" t="s">
        <v>171</v>
      </c>
      <c r="B56" s="8">
        <v>7.2</v>
      </c>
      <c r="C56" s="4" t="str">
        <f>IFERROR(__xludf.DUMMYFUNCTION("""COMPUTED_VALUE"""),"Robert Stromberg")</f>
        <v>Robert Stromberg</v>
      </c>
      <c r="D56" s="31">
        <f t="shared" si="1"/>
        <v>7</v>
      </c>
      <c r="E56" s="4">
        <f t="shared" si="2"/>
        <v>1</v>
      </c>
      <c r="F56" s="15"/>
      <c r="G56" s="4"/>
    </row>
    <row r="57" ht="14.25" customHeight="1">
      <c r="A57" s="8" t="s">
        <v>174</v>
      </c>
      <c r="B57" s="8">
        <v>7.5</v>
      </c>
      <c r="C57" s="4" t="str">
        <f>IFERROR(__xludf.DUMMYFUNCTION("""COMPUTED_VALUE"""),"Matt Reeves")</f>
        <v>Matt Reeves</v>
      </c>
      <c r="D57" s="31">
        <f t="shared" si="1"/>
        <v>7.266666667</v>
      </c>
      <c r="E57" s="4">
        <f t="shared" si="2"/>
        <v>3</v>
      </c>
      <c r="F57" s="15"/>
      <c r="G57" s="4"/>
    </row>
    <row r="58" ht="14.25" customHeight="1">
      <c r="A58" s="8" t="s">
        <v>29</v>
      </c>
      <c r="B58" s="8">
        <v>8.4</v>
      </c>
      <c r="C58" s="4" t="str">
        <f>IFERROR(__xludf.DUMMYFUNCTION("""COMPUTED_VALUE"""),"Carl Rinsch")</f>
        <v>Carl Rinsch</v>
      </c>
      <c r="D58" s="31">
        <f t="shared" si="1"/>
        <v>6.3</v>
      </c>
      <c r="E58" s="4">
        <f t="shared" si="2"/>
        <v>1</v>
      </c>
      <c r="F58" s="15"/>
      <c r="G58" s="4"/>
    </row>
    <row r="59" ht="14.25" customHeight="1">
      <c r="A59" s="8" t="s">
        <v>113</v>
      </c>
      <c r="B59" s="8">
        <v>6.2</v>
      </c>
      <c r="C59" s="4" t="str">
        <f>IFERROR(__xludf.DUMMYFUNCTION("""COMPUTED_VALUE"""),"Mike Mitchell")</f>
        <v>Mike Mitchell</v>
      </c>
      <c r="D59" s="31">
        <f t="shared" si="1"/>
        <v>5.675</v>
      </c>
      <c r="E59" s="4">
        <f t="shared" si="2"/>
        <v>4</v>
      </c>
      <c r="F59" s="15"/>
      <c r="G59" s="4"/>
    </row>
    <row r="60" ht="14.25" customHeight="1">
      <c r="A60" s="8" t="s">
        <v>183</v>
      </c>
      <c r="B60" s="8">
        <v>5.8</v>
      </c>
      <c r="C60" s="4" t="str">
        <f>IFERROR(__xludf.DUMMYFUNCTION("""COMPUTED_VALUE"""),"Brad Bird")</f>
        <v>Brad Bird</v>
      </c>
      <c r="D60" s="31">
        <f t="shared" si="1"/>
        <v>7.58</v>
      </c>
      <c r="E60" s="4">
        <f t="shared" si="2"/>
        <v>5</v>
      </c>
      <c r="F60" s="15"/>
      <c r="G60" s="4"/>
    </row>
    <row r="61" ht="14.25" customHeight="1">
      <c r="A61" s="8" t="s">
        <v>186</v>
      </c>
      <c r="B61" s="8">
        <v>6.8</v>
      </c>
      <c r="C61" s="4" t="str">
        <f>IFERROR(__xludf.DUMMYFUNCTION("""COMPUTED_VALUE"""),"Don Hall")</f>
        <v>Don Hall</v>
      </c>
      <c r="D61" s="31">
        <f t="shared" si="1"/>
        <v>7.9</v>
      </c>
      <c r="E61" s="4">
        <f t="shared" si="2"/>
        <v>1</v>
      </c>
      <c r="F61" s="15"/>
      <c r="G61" s="4"/>
    </row>
    <row r="62" ht="14.25" customHeight="1">
      <c r="A62" s="8" t="s">
        <v>190</v>
      </c>
      <c r="B62" s="8">
        <v>5.4</v>
      </c>
      <c r="C62" s="4" t="str">
        <f>IFERROR(__xludf.DUMMYFUNCTION("""COMPUTED_VALUE"""),"Rich Moore")</f>
        <v>Rich Moore</v>
      </c>
      <c r="D62" s="31">
        <f t="shared" si="1"/>
        <v>7.8</v>
      </c>
      <c r="E62" s="4">
        <f t="shared" si="2"/>
        <v>1</v>
      </c>
      <c r="F62" s="15"/>
      <c r="G62" s="4"/>
    </row>
    <row r="63" ht="14.25" customHeight="1">
      <c r="A63" s="8" t="s">
        <v>44</v>
      </c>
      <c r="B63" s="8">
        <v>6.6</v>
      </c>
      <c r="C63" s="4" t="str">
        <f>IFERROR(__xludf.DUMMYFUNCTION("""COMPUTED_VALUE"""),"Dean DeBlois")</f>
        <v>Dean DeBlois</v>
      </c>
      <c r="D63" s="31">
        <f t="shared" si="1"/>
        <v>7.766666667</v>
      </c>
      <c r="E63" s="4">
        <f t="shared" si="2"/>
        <v>3</v>
      </c>
      <c r="F63" s="15"/>
      <c r="G63" s="4"/>
    </row>
    <row r="64" ht="14.25" customHeight="1">
      <c r="A64" s="8" t="s">
        <v>62</v>
      </c>
      <c r="B64" s="8">
        <v>6.9</v>
      </c>
      <c r="C64" s="4" t="str">
        <f>IFERROR(__xludf.DUMMYFUNCTION("""COMPUTED_VALUE"""),"Jonathan Mostow")</f>
        <v>Jonathan Mostow</v>
      </c>
      <c r="D64" s="31">
        <f t="shared" si="1"/>
        <v>6.55</v>
      </c>
      <c r="E64" s="4">
        <f t="shared" si="2"/>
        <v>4</v>
      </c>
      <c r="F64" s="15"/>
      <c r="G64" s="4"/>
    </row>
    <row r="65" ht="14.25" customHeight="1">
      <c r="A65" s="8" t="s">
        <v>51</v>
      </c>
      <c r="B65" s="8">
        <v>7.3</v>
      </c>
      <c r="C65" s="4" t="str">
        <f>IFERROR(__xludf.DUMMYFUNCTION("""COMPUTED_VALUE"""),"James Gunn")</f>
        <v>James Gunn</v>
      </c>
      <c r="D65" s="31">
        <f t="shared" si="1"/>
        <v>7.133333333</v>
      </c>
      <c r="E65" s="4">
        <f t="shared" si="2"/>
        <v>3</v>
      </c>
      <c r="F65" s="15"/>
      <c r="G65" s="4"/>
    </row>
    <row r="66" ht="14.25" customHeight="1">
      <c r="A66" s="8" t="s">
        <v>25</v>
      </c>
      <c r="B66" s="8">
        <v>9.0</v>
      </c>
      <c r="C66" s="4" t="str">
        <f>IFERROR(__xludf.DUMMYFUNCTION("""COMPUTED_VALUE"""),"David Fincher")</f>
        <v>David Fincher</v>
      </c>
      <c r="D66" s="31">
        <f t="shared" si="1"/>
        <v>7.75</v>
      </c>
      <c r="E66" s="4">
        <f t="shared" si="2"/>
        <v>10</v>
      </c>
      <c r="F66" s="15"/>
      <c r="G66" s="4"/>
    </row>
    <row r="67" ht="14.25" customHeight="1">
      <c r="A67" s="8" t="s">
        <v>199</v>
      </c>
      <c r="B67" s="8">
        <v>8.3</v>
      </c>
      <c r="C67" s="4" t="str">
        <f>IFERROR(__xludf.DUMMYFUNCTION("""COMPUTED_VALUE"""),"Matthew Vaughn")</f>
        <v>Matthew Vaughn</v>
      </c>
      <c r="D67" s="31">
        <f t="shared" si="1"/>
        <v>7.65</v>
      </c>
      <c r="E67" s="4">
        <f t="shared" si="2"/>
        <v>4</v>
      </c>
      <c r="F67" s="15"/>
      <c r="G67" s="4"/>
    </row>
    <row r="68" ht="14.25" customHeight="1">
      <c r="A68" s="8" t="s">
        <v>202</v>
      </c>
      <c r="B68" s="8">
        <v>6.5</v>
      </c>
      <c r="C68" s="4" t="str">
        <f>IFERROR(__xludf.DUMMYFUNCTION("""COMPUTED_VALUE"""),"Francis Lawrence")</f>
        <v>Francis Lawrence</v>
      </c>
      <c r="D68" s="31">
        <f t="shared" si="1"/>
        <v>7</v>
      </c>
      <c r="E68" s="4">
        <f t="shared" si="2"/>
        <v>5</v>
      </c>
      <c r="F68" s="15"/>
      <c r="G68" s="4"/>
    </row>
    <row r="69" ht="14.25" customHeight="1">
      <c r="A69" s="8" t="s">
        <v>206</v>
      </c>
      <c r="B69" s="8">
        <v>7.9</v>
      </c>
      <c r="C69" s="4" t="str">
        <f>IFERROR(__xludf.DUMMYFUNCTION("""COMPUTED_VALUE"""),"Jon Turteltaub")</f>
        <v>Jon Turteltaub</v>
      </c>
      <c r="D69" s="31">
        <f t="shared" si="1"/>
        <v>6.5</v>
      </c>
      <c r="E69" s="4">
        <f t="shared" si="2"/>
        <v>7</v>
      </c>
      <c r="F69" s="15"/>
      <c r="G69" s="4"/>
    </row>
    <row r="70" ht="14.25" customHeight="1">
      <c r="A70" s="8" t="s">
        <v>208</v>
      </c>
      <c r="B70" s="8">
        <v>7.5</v>
      </c>
      <c r="C70" s="4" t="str">
        <f>IFERROR(__xludf.DUMMYFUNCTION("""COMPUTED_VALUE"""),"Wolfgang Petersen")</f>
        <v>Wolfgang Petersen</v>
      </c>
      <c r="D70" s="31">
        <f t="shared" si="1"/>
        <v>6.766666667</v>
      </c>
      <c r="E70" s="4">
        <f t="shared" si="2"/>
        <v>6</v>
      </c>
      <c r="F70" s="15"/>
      <c r="G70" s="4"/>
    </row>
    <row r="71" ht="14.25" customHeight="1">
      <c r="A71" s="8" t="s">
        <v>69</v>
      </c>
      <c r="B71" s="8">
        <v>4.8</v>
      </c>
      <c r="C71" s="4" t="str">
        <f>IFERROR(__xludf.DUMMYFUNCTION("""COMPUTED_VALUE"""),"James Bobin")</f>
        <v>James Bobin</v>
      </c>
      <c r="D71" s="31">
        <f t="shared" si="1"/>
        <v>6.633333333</v>
      </c>
      <c r="E71" s="4">
        <f t="shared" si="2"/>
        <v>3</v>
      </c>
      <c r="F71" s="15"/>
      <c r="G71" s="4"/>
    </row>
    <row r="72" ht="14.25" customHeight="1">
      <c r="A72" s="8" t="s">
        <v>214</v>
      </c>
      <c r="B72" s="8">
        <v>5.2</v>
      </c>
      <c r="C72" s="4" t="str">
        <f>IFERROR(__xludf.DUMMYFUNCTION("""COMPUTED_VALUE"""),"Chris Miller")</f>
        <v>Chris Miller</v>
      </c>
      <c r="D72" s="31">
        <f t="shared" si="1"/>
        <v>6.4</v>
      </c>
      <c r="E72" s="4">
        <f t="shared" si="2"/>
        <v>2</v>
      </c>
      <c r="F72" s="15"/>
      <c r="G72" s="4"/>
    </row>
    <row r="73" ht="14.25" customHeight="1">
      <c r="A73" s="8" t="s">
        <v>218</v>
      </c>
      <c r="B73" s="8">
        <v>6.9</v>
      </c>
      <c r="C73" s="4" t="str">
        <f>IFERROR(__xludf.DUMMYFUNCTION("""COMPUTED_VALUE"""),"Duncan Jones")</f>
        <v>Duncan Jones</v>
      </c>
      <c r="D73" s="31">
        <f t="shared" si="1"/>
        <v>7.566666667</v>
      </c>
      <c r="E73" s="4">
        <f t="shared" si="2"/>
        <v>3</v>
      </c>
      <c r="F73" s="15"/>
      <c r="G73" s="4"/>
    </row>
    <row r="74" ht="14.25" customHeight="1">
      <c r="A74" s="8" t="s">
        <v>221</v>
      </c>
      <c r="B74" s="8">
        <v>5.4</v>
      </c>
      <c r="C74" s="4" t="str">
        <f>IFERROR(__xludf.DUMMYFUNCTION("""COMPUTED_VALUE"""),"Alan Taylor")</f>
        <v>Alan Taylor</v>
      </c>
      <c r="D74" s="31">
        <f t="shared" si="1"/>
        <v>6.85</v>
      </c>
      <c r="E74" s="4">
        <f t="shared" si="2"/>
        <v>2</v>
      </c>
      <c r="F74" s="15"/>
      <c r="G74" s="4"/>
    </row>
    <row r="75" ht="14.25" customHeight="1">
      <c r="A75" s="8" t="s">
        <v>225</v>
      </c>
      <c r="B75" s="8">
        <v>7.9</v>
      </c>
      <c r="C75" s="4" t="str">
        <f>IFERROR(__xludf.DUMMYFUNCTION("""COMPUTED_VALUE"""),"Michael Apted")</f>
        <v>Michael Apted</v>
      </c>
      <c r="D75" s="31">
        <f t="shared" si="1"/>
        <v>6.32</v>
      </c>
      <c r="E75" s="4">
        <f t="shared" si="2"/>
        <v>5</v>
      </c>
      <c r="F75" s="15"/>
      <c r="G75" s="4"/>
    </row>
    <row r="76" ht="14.25" customHeight="1">
      <c r="A76" s="8" t="s">
        <v>228</v>
      </c>
      <c r="B76" s="8">
        <v>6.1</v>
      </c>
      <c r="C76" s="4" t="str">
        <f>IFERROR(__xludf.DUMMYFUNCTION("""COMPUTED_VALUE"""),"Oliver Stone")</f>
        <v>Oliver Stone</v>
      </c>
      <c r="D76" s="31">
        <f t="shared" si="1"/>
        <v>6.907692308</v>
      </c>
      <c r="E76" s="4">
        <f t="shared" si="2"/>
        <v>13</v>
      </c>
      <c r="F76" s="15"/>
      <c r="G76" s="4"/>
    </row>
    <row r="77" ht="14.25" customHeight="1">
      <c r="A77" s="8" t="s">
        <v>231</v>
      </c>
      <c r="B77" s="8">
        <v>5.8</v>
      </c>
      <c r="C77" s="4" t="str">
        <f>IFERROR(__xludf.DUMMYFUNCTION("""COMPUTED_VALUE"""),"Eric Darnell")</f>
        <v>Eric Darnell</v>
      </c>
      <c r="D77" s="31">
        <f t="shared" si="1"/>
        <v>6.76</v>
      </c>
      <c r="E77" s="4">
        <f t="shared" si="2"/>
        <v>5</v>
      </c>
      <c r="F77" s="15"/>
      <c r="G77" s="4"/>
    </row>
    <row r="78" ht="14.25" customHeight="1">
      <c r="A78" s="8" t="s">
        <v>199</v>
      </c>
      <c r="B78" s="8">
        <v>8.3</v>
      </c>
      <c r="C78" s="4" t="str">
        <f>IFERROR(__xludf.DUMMYFUNCTION("""COMPUTED_VALUE"""),"Shawn Levy")</f>
        <v>Shawn Levy</v>
      </c>
      <c r="D78" s="31">
        <f t="shared" si="1"/>
        <v>6.090909091</v>
      </c>
      <c r="E78" s="4">
        <f t="shared" si="2"/>
        <v>11</v>
      </c>
      <c r="F78" s="15"/>
      <c r="G78" s="4"/>
    </row>
    <row r="79" ht="14.25" customHeight="1">
      <c r="A79" s="8" t="s">
        <v>206</v>
      </c>
      <c r="B79" s="8">
        <v>7.8</v>
      </c>
      <c r="C79" s="4" t="str">
        <f>IFERROR(__xludf.DUMMYFUNCTION("""COMPUTED_VALUE"""),"Gavin Hood")</f>
        <v>Gavin Hood</v>
      </c>
      <c r="D79" s="31">
        <f t="shared" si="1"/>
        <v>6.875</v>
      </c>
      <c r="E79" s="4">
        <f t="shared" si="2"/>
        <v>4</v>
      </c>
      <c r="F79" s="15"/>
      <c r="G79" s="4"/>
    </row>
    <row r="80" ht="14.25" customHeight="1">
      <c r="A80" s="8" t="s">
        <v>206</v>
      </c>
      <c r="B80" s="8">
        <v>7.0</v>
      </c>
      <c r="C80" s="4" t="str">
        <f>IFERROR(__xludf.DUMMYFUNCTION("""COMPUTED_VALUE"""),"Chris Buck")</f>
        <v>Chris Buck</v>
      </c>
      <c r="D80" s="31">
        <f t="shared" si="1"/>
        <v>7.6</v>
      </c>
      <c r="E80" s="4">
        <f t="shared" si="2"/>
        <v>1</v>
      </c>
      <c r="F80" s="15"/>
      <c r="G80" s="4"/>
    </row>
    <row r="81" ht="14.25" customHeight="1">
      <c r="A81" s="8" t="s">
        <v>240</v>
      </c>
      <c r="B81" s="8">
        <v>6.1</v>
      </c>
      <c r="C81" s="4" t="str">
        <f>IFERROR(__xludf.DUMMYFUNCTION("""COMPUTED_VALUE"""),"George Miller")</f>
        <v>George Miller</v>
      </c>
      <c r="D81" s="31">
        <f t="shared" si="1"/>
        <v>6.683333333</v>
      </c>
      <c r="E81" s="4">
        <f t="shared" si="2"/>
        <v>6</v>
      </c>
      <c r="F81" s="15"/>
      <c r="G81" s="4"/>
    </row>
    <row r="82" ht="14.25" customHeight="1">
      <c r="A82" s="8" t="s">
        <v>243</v>
      </c>
      <c r="B82" s="8">
        <v>7.0</v>
      </c>
      <c r="C82" s="4" t="str">
        <f>IFERROR(__xludf.DUMMYFUNCTION("""COMPUTED_VALUE"""),"Ron Howard")</f>
        <v>Ron Howard</v>
      </c>
      <c r="D82" s="31">
        <f t="shared" si="1"/>
        <v>6.930769231</v>
      </c>
      <c r="E82" s="4">
        <f t="shared" si="2"/>
        <v>13</v>
      </c>
      <c r="F82" s="15"/>
      <c r="G82" s="4"/>
    </row>
    <row r="83" ht="14.25" customHeight="1">
      <c r="A83" s="8" t="s">
        <v>247</v>
      </c>
      <c r="B83" s="8">
        <v>7.6</v>
      </c>
      <c r="C83" s="4" t="str">
        <f>IFERROR(__xludf.DUMMYFUNCTION("""COMPUTED_VALUE"""),"Kenneth Branagh")</f>
        <v>Kenneth Branagh</v>
      </c>
      <c r="D83" s="31">
        <f t="shared" si="1"/>
        <v>7.157142857</v>
      </c>
      <c r="E83" s="4">
        <f t="shared" si="2"/>
        <v>7</v>
      </c>
      <c r="F83" s="15"/>
      <c r="G83" s="4"/>
    </row>
    <row r="84" ht="14.25" customHeight="1">
      <c r="A84" s="8" t="s">
        <v>251</v>
      </c>
      <c r="B84" s="8">
        <v>6.3</v>
      </c>
      <c r="C84" s="4" t="str">
        <f>IFERROR(__xludf.DUMMYFUNCTION("""COMPUTED_VALUE"""),"Byron Howard")</f>
        <v>Byron Howard</v>
      </c>
      <c r="D84" s="31">
        <f t="shared" si="1"/>
        <v>6.9</v>
      </c>
      <c r="E84" s="4">
        <f t="shared" si="2"/>
        <v>1</v>
      </c>
      <c r="F84" s="15"/>
      <c r="G84" s="4"/>
    </row>
    <row r="85" ht="14.25" customHeight="1">
      <c r="A85" s="8" t="s">
        <v>95</v>
      </c>
      <c r="B85" s="8">
        <v>7.8</v>
      </c>
      <c r="C85" s="4" t="str">
        <f>IFERROR(__xludf.DUMMYFUNCTION("""COMPUTED_VALUE"""),"Hoyt Yeatman")</f>
        <v>Hoyt Yeatman</v>
      </c>
      <c r="D85" s="31">
        <f t="shared" si="1"/>
        <v>5.1</v>
      </c>
      <c r="E85" s="4">
        <f t="shared" si="2"/>
        <v>1</v>
      </c>
      <c r="F85" s="15"/>
      <c r="G85" s="4"/>
    </row>
    <row r="86" ht="14.25" customHeight="1">
      <c r="A86" s="8" t="s">
        <v>255</v>
      </c>
      <c r="B86" s="8">
        <v>6.4</v>
      </c>
      <c r="C86" s="4" t="str">
        <f>IFERROR(__xludf.DUMMYFUNCTION("""COMPUTED_VALUE"""),"Jonathan Liebesman")</f>
        <v>Jonathan Liebesman</v>
      </c>
      <c r="D86" s="31">
        <f t="shared" si="1"/>
        <v>5.7</v>
      </c>
      <c r="E86" s="4">
        <f t="shared" si="2"/>
        <v>6</v>
      </c>
      <c r="F86" s="15"/>
      <c r="G86" s="4"/>
    </row>
    <row r="87" ht="14.25" customHeight="1">
      <c r="A87" s="8" t="s">
        <v>258</v>
      </c>
      <c r="B87" s="8">
        <v>6.5</v>
      </c>
      <c r="C87" s="4" t="str">
        <f>IFERROR(__xludf.DUMMYFUNCTION("""COMPUTED_VALUE"""),"Christopher McQuarrie")</f>
        <v>Christopher McQuarrie</v>
      </c>
      <c r="D87" s="31">
        <f t="shared" si="1"/>
        <v>7.025</v>
      </c>
      <c r="E87" s="4">
        <f t="shared" si="2"/>
        <v>4</v>
      </c>
      <c r="F87" s="15"/>
      <c r="G87" s="4"/>
    </row>
    <row r="88" ht="14.25" customHeight="1">
      <c r="A88" s="8" t="s">
        <v>262</v>
      </c>
      <c r="B88" s="8">
        <v>7.9</v>
      </c>
      <c r="C88" s="4" t="str">
        <f>IFERROR(__xludf.DUMMYFUNCTION("""COMPUTED_VALUE"""),"Joe Johnston")</f>
        <v>Joe Johnston</v>
      </c>
      <c r="D88" s="31">
        <f t="shared" si="1"/>
        <v>6.325</v>
      </c>
      <c r="E88" s="4">
        <f t="shared" si="2"/>
        <v>4</v>
      </c>
      <c r="F88" s="15"/>
      <c r="G88" s="4"/>
    </row>
    <row r="89" ht="14.25" customHeight="1">
      <c r="A89" s="8" t="s">
        <v>266</v>
      </c>
      <c r="B89" s="8">
        <v>7.8</v>
      </c>
      <c r="C89" s="4" t="str">
        <f>IFERROR(__xludf.DUMMYFUNCTION("""COMPUTED_VALUE"""),"Steve Hickner")</f>
        <v>Steve Hickner</v>
      </c>
      <c r="D89" s="31">
        <f t="shared" si="1"/>
        <v>6.2</v>
      </c>
      <c r="E89" s="4">
        <f t="shared" si="2"/>
        <v>1</v>
      </c>
      <c r="F89" s="15"/>
      <c r="G89" s="4"/>
    </row>
    <row r="90" ht="14.25" customHeight="1">
      <c r="A90" s="8" t="s">
        <v>186</v>
      </c>
      <c r="B90" s="8">
        <v>6.6</v>
      </c>
      <c r="C90" s="4" t="str">
        <f>IFERROR(__xludf.DUMMYFUNCTION("""COMPUTED_VALUE"""),"Jennifer Yuh Nelson")</f>
        <v>Jennifer Yuh Nelson</v>
      </c>
      <c r="D90" s="31">
        <f t="shared" si="1"/>
        <v>7.3</v>
      </c>
      <c r="E90" s="4">
        <f t="shared" si="2"/>
        <v>1</v>
      </c>
      <c r="F90" s="15"/>
      <c r="G90" s="4"/>
    </row>
    <row r="91" ht="14.25" customHeight="1">
      <c r="A91" s="8" t="s">
        <v>183</v>
      </c>
      <c r="B91" s="8">
        <v>5.5</v>
      </c>
      <c r="C91" s="4" t="str">
        <f>IFERROR(__xludf.DUMMYFUNCTION("""COMPUTED_VALUE"""),"M. Night Shyamalan")</f>
        <v>M. Night Shyamalan</v>
      </c>
      <c r="D91" s="31">
        <f t="shared" si="1"/>
        <v>6.044444444</v>
      </c>
      <c r="E91" s="4">
        <f t="shared" si="2"/>
        <v>9</v>
      </c>
      <c r="F91" s="15"/>
      <c r="G91" s="4"/>
    </row>
    <row r="92" ht="14.25" customHeight="1">
      <c r="A92" s="8" t="s">
        <v>274</v>
      </c>
      <c r="B92" s="8">
        <v>8.2</v>
      </c>
      <c r="C92" s="4" t="str">
        <f>IFERROR(__xludf.DUMMYFUNCTION("""COMPUTED_VALUE"""),"Simon Wells")</f>
        <v>Simon Wells</v>
      </c>
      <c r="D92" s="31">
        <f t="shared" si="1"/>
        <v>5.65</v>
      </c>
      <c r="E92" s="4">
        <f t="shared" si="2"/>
        <v>2</v>
      </c>
      <c r="F92" s="15"/>
      <c r="G92" s="4"/>
    </row>
    <row r="93" ht="14.25" customHeight="1">
      <c r="A93" s="8" t="s">
        <v>277</v>
      </c>
      <c r="B93" s="8">
        <v>6.4</v>
      </c>
      <c r="C93" s="4" t="str">
        <f>IFERROR(__xludf.DUMMYFUNCTION("""COMPUTED_VALUE"""),"David Bowers")</f>
        <v>David Bowers</v>
      </c>
      <c r="D93" s="31">
        <f t="shared" si="1"/>
        <v>6.5</v>
      </c>
      <c r="E93" s="4">
        <f t="shared" si="2"/>
        <v>4</v>
      </c>
      <c r="F93" s="15"/>
      <c r="G93" s="4"/>
    </row>
    <row r="94" ht="14.25" customHeight="1">
      <c r="A94" s="8" t="s">
        <v>281</v>
      </c>
      <c r="B94" s="8">
        <v>8.1</v>
      </c>
      <c r="C94" s="4" t="str">
        <f>IFERROR(__xludf.DUMMYFUNCTION("""COMPUTED_VALUE"""),"Joe Wright")</f>
        <v>Joe Wright</v>
      </c>
      <c r="D94" s="31">
        <f t="shared" si="1"/>
        <v>6.783333333</v>
      </c>
      <c r="E94" s="4">
        <f t="shared" si="2"/>
        <v>6</v>
      </c>
      <c r="F94" s="15"/>
      <c r="G94" s="4"/>
    </row>
    <row r="95" ht="14.25" customHeight="1">
      <c r="A95" s="8" t="s">
        <v>25</v>
      </c>
      <c r="B95" s="8">
        <v>8.6</v>
      </c>
      <c r="C95" s="4" t="str">
        <f>IFERROR(__xludf.DUMMYFUNCTION("""COMPUTED_VALUE"""),"Rob Minkoff")</f>
        <v>Rob Minkoff</v>
      </c>
      <c r="D95" s="31">
        <f t="shared" si="1"/>
        <v>5.94</v>
      </c>
      <c r="E95" s="4">
        <f t="shared" si="2"/>
        <v>5</v>
      </c>
      <c r="F95" s="15"/>
      <c r="G95" s="4"/>
    </row>
    <row r="96" ht="14.25" customHeight="1">
      <c r="A96" s="8" t="s">
        <v>25</v>
      </c>
      <c r="B96" s="8">
        <v>8.8</v>
      </c>
      <c r="C96" s="4" t="str">
        <f>IFERROR(__xludf.DUMMYFUNCTION("""COMPUTED_VALUE"""),"Lee Tamahori")</f>
        <v>Lee Tamahori</v>
      </c>
      <c r="D96" s="31">
        <f t="shared" si="1"/>
        <v>5.95</v>
      </c>
      <c r="E96" s="4">
        <f t="shared" si="2"/>
        <v>4</v>
      </c>
      <c r="F96" s="15"/>
      <c r="G96" s="4"/>
    </row>
    <row r="97" ht="14.25" customHeight="1">
      <c r="A97" s="8" t="s">
        <v>73</v>
      </c>
      <c r="B97" s="8">
        <v>7.9</v>
      </c>
      <c r="C97" s="4" t="str">
        <f>IFERROR(__xludf.DUMMYFUNCTION("""COMPUTED_VALUE"""),"Paul Feig")</f>
        <v>Paul Feig</v>
      </c>
      <c r="D97" s="31">
        <f t="shared" si="1"/>
        <v>5.9</v>
      </c>
      <c r="E97" s="4">
        <f t="shared" si="2"/>
        <v>5</v>
      </c>
      <c r="F97" s="15"/>
      <c r="G97" s="4"/>
    </row>
    <row r="98" ht="14.25" customHeight="1">
      <c r="A98" s="8" t="s">
        <v>214</v>
      </c>
      <c r="B98" s="8">
        <v>6.7</v>
      </c>
      <c r="C98" s="4" t="str">
        <f>IFERROR(__xludf.DUMMYFUNCTION("""COMPUTED_VALUE"""),"Alessandro Carloni")</f>
        <v>Alessandro Carloni</v>
      </c>
      <c r="D98" s="31">
        <f t="shared" si="1"/>
        <v>7.2</v>
      </c>
      <c r="E98" s="4">
        <f t="shared" si="2"/>
        <v>1</v>
      </c>
      <c r="F98" s="15"/>
      <c r="G98" s="4"/>
    </row>
    <row r="99" ht="14.25" customHeight="1">
      <c r="A99" s="8" t="s">
        <v>291</v>
      </c>
      <c r="B99" s="8">
        <v>7.8</v>
      </c>
      <c r="C99" s="4" t="str">
        <f>IFERROR(__xludf.DUMMYFUNCTION("""COMPUTED_VALUE"""),"Peter Ramsey")</f>
        <v>Peter Ramsey</v>
      </c>
      <c r="D99" s="31">
        <f t="shared" si="1"/>
        <v>7.3</v>
      </c>
      <c r="E99" s="4">
        <f t="shared" si="2"/>
        <v>1</v>
      </c>
      <c r="F99" s="15"/>
      <c r="G99" s="4"/>
    </row>
    <row r="100" ht="14.25" customHeight="1">
      <c r="A100" s="8" t="s">
        <v>295</v>
      </c>
      <c r="B100" s="8">
        <v>7.8</v>
      </c>
      <c r="C100" s="4" t="str">
        <f>IFERROR(__xludf.DUMMYFUNCTION("""COMPUTED_VALUE"""),"Dean Parisot")</f>
        <v>Dean Parisot</v>
      </c>
      <c r="D100" s="31">
        <f t="shared" si="1"/>
        <v>6.275</v>
      </c>
      <c r="E100" s="4">
        <f t="shared" si="2"/>
        <v>4</v>
      </c>
      <c r="F100" s="15"/>
      <c r="G100" s="4"/>
    </row>
    <row r="101" ht="14.25" customHeight="1">
      <c r="A101" s="8" t="s">
        <v>297</v>
      </c>
      <c r="B101" s="8">
        <v>6.6</v>
      </c>
      <c r="C101" s="4" t="str">
        <f>IFERROR(__xludf.DUMMYFUNCTION("""COMPUTED_VALUE"""),"Edward Zwick")</f>
        <v>Edward Zwick</v>
      </c>
      <c r="D101" s="31">
        <f t="shared" si="1"/>
        <v>7.325</v>
      </c>
      <c r="E101" s="4">
        <f t="shared" si="2"/>
        <v>8</v>
      </c>
      <c r="F101" s="15"/>
      <c r="G101" s="4"/>
    </row>
    <row r="102" ht="14.25" customHeight="1">
      <c r="A102" s="8" t="s">
        <v>300</v>
      </c>
      <c r="B102" s="8">
        <v>6.1</v>
      </c>
      <c r="C102" s="4" t="str">
        <f>IFERROR(__xludf.DUMMYFUNCTION("""COMPUTED_VALUE"""),"Alex Proyas")</f>
        <v>Alex Proyas</v>
      </c>
      <c r="D102" s="31">
        <f t="shared" si="1"/>
        <v>6.82</v>
      </c>
      <c r="E102" s="4">
        <f t="shared" si="2"/>
        <v>5</v>
      </c>
      <c r="F102" s="15"/>
      <c r="G102" s="4"/>
    </row>
    <row r="103" ht="14.25" customHeight="1">
      <c r="A103" s="8" t="s">
        <v>303</v>
      </c>
      <c r="B103" s="8">
        <v>5.6</v>
      </c>
      <c r="C103" s="4" t="str">
        <f>IFERROR(__xludf.DUMMYFUNCTION("""COMPUTED_VALUE"""),"Richard Donner")</f>
        <v>Richard Donner</v>
      </c>
      <c r="D103" s="31">
        <f t="shared" si="1"/>
        <v>6.633333333</v>
      </c>
      <c r="E103" s="4">
        <f t="shared" si="2"/>
        <v>9</v>
      </c>
      <c r="F103" s="15"/>
      <c r="G103" s="4"/>
    </row>
    <row r="104" ht="14.25" customHeight="1">
      <c r="A104" s="8" t="s">
        <v>306</v>
      </c>
      <c r="B104" s="8">
        <v>6.4</v>
      </c>
      <c r="C104" s="4" t="str">
        <f>IFERROR(__xludf.DUMMYFUNCTION("""COMPUTED_VALUE"""),"Ang Lee")</f>
        <v>Ang Lee</v>
      </c>
      <c r="D104" s="31">
        <f t="shared" si="1"/>
        <v>7.25</v>
      </c>
      <c r="E104" s="4">
        <f t="shared" si="2"/>
        <v>8</v>
      </c>
      <c r="F104" s="15"/>
      <c r="G104" s="4"/>
    </row>
    <row r="105" ht="14.25" customHeight="1">
      <c r="A105" s="8" t="s">
        <v>308</v>
      </c>
      <c r="B105" s="8">
        <v>6.1</v>
      </c>
      <c r="C105" s="4" t="str">
        <f>IFERROR(__xludf.DUMMYFUNCTION("""COMPUTED_VALUE"""),"Jon M. Chu")</f>
        <v>Jon M. Chu</v>
      </c>
      <c r="D105" s="31">
        <f t="shared" si="1"/>
        <v>5.34</v>
      </c>
      <c r="E105" s="4">
        <f t="shared" si="2"/>
        <v>5</v>
      </c>
      <c r="F105" s="15"/>
      <c r="G105" s="4"/>
    </row>
    <row r="106" ht="14.25" customHeight="1">
      <c r="A106" s="8" t="s">
        <v>311</v>
      </c>
      <c r="B106" s="8">
        <v>7.3</v>
      </c>
      <c r="C106" s="4" t="str">
        <f>IFERROR(__xludf.DUMMYFUNCTION("""COMPUTED_VALUE"""),"Breck Eisner")</f>
        <v>Breck Eisner</v>
      </c>
      <c r="D106" s="31">
        <f t="shared" si="1"/>
        <v>6.166666667</v>
      </c>
      <c r="E106" s="4">
        <f t="shared" si="2"/>
        <v>3</v>
      </c>
      <c r="F106" s="15"/>
      <c r="G106" s="4"/>
    </row>
    <row r="107" ht="14.25" customHeight="1">
      <c r="A107" s="8" t="s">
        <v>314</v>
      </c>
      <c r="B107" s="8">
        <v>6.6</v>
      </c>
      <c r="C107" s="4" t="str">
        <f>IFERROR(__xludf.DUMMYFUNCTION("""COMPUTED_VALUE"""),"Hironobu Sakaguchi")</f>
        <v>Hironobu Sakaguchi</v>
      </c>
      <c r="D107" s="31">
        <f t="shared" si="1"/>
        <v>6.4</v>
      </c>
      <c r="E107" s="4">
        <f t="shared" si="2"/>
        <v>1</v>
      </c>
      <c r="F107" s="15"/>
      <c r="G107" s="4"/>
    </row>
    <row r="108" ht="14.25" customHeight="1">
      <c r="A108" s="8" t="s">
        <v>316</v>
      </c>
      <c r="B108" s="8">
        <v>6.3</v>
      </c>
      <c r="C108" s="4" t="str">
        <f>IFERROR(__xludf.DUMMYFUNCTION("""COMPUTED_VALUE"""),"Peter Weir")</f>
        <v>Peter Weir</v>
      </c>
      <c r="D108" s="31">
        <f t="shared" si="1"/>
        <v>7.725</v>
      </c>
      <c r="E108" s="4">
        <f t="shared" si="2"/>
        <v>4</v>
      </c>
      <c r="F108" s="15"/>
      <c r="G108" s="4"/>
    </row>
    <row r="109" ht="14.25" customHeight="1">
      <c r="A109" s="8" t="s">
        <v>121</v>
      </c>
      <c r="B109" s="8">
        <v>6.1</v>
      </c>
      <c r="C109" s="4" t="str">
        <f>IFERROR(__xludf.DUMMYFUNCTION("""COMPUTED_VALUE"""),"Bill Condon")</f>
        <v>Bill Condon</v>
      </c>
      <c r="D109" s="31">
        <f t="shared" si="1"/>
        <v>6.56</v>
      </c>
      <c r="E109" s="4">
        <f t="shared" si="2"/>
        <v>5</v>
      </c>
      <c r="F109" s="15"/>
      <c r="G109" s="4"/>
    </row>
    <row r="110" ht="14.25" customHeight="1">
      <c r="A110" s="8" t="s">
        <v>121</v>
      </c>
      <c r="B110" s="8">
        <v>7.1</v>
      </c>
      <c r="C110" s="4" t="str">
        <f>IFERROR(__xludf.DUMMYFUNCTION("""COMPUTED_VALUE"""),"Louis Leterrier")</f>
        <v>Louis Leterrier</v>
      </c>
      <c r="D110" s="31">
        <f t="shared" si="1"/>
        <v>6.542857143</v>
      </c>
      <c r="E110" s="4">
        <f t="shared" si="2"/>
        <v>7</v>
      </c>
      <c r="F110" s="15"/>
      <c r="G110" s="4"/>
    </row>
    <row r="111" ht="14.25" customHeight="1">
      <c r="A111" s="8" t="s">
        <v>324</v>
      </c>
      <c r="B111" s="8">
        <v>5.5</v>
      </c>
      <c r="C111" s="4" t="str">
        <f>IFERROR(__xludf.DUMMYFUNCTION("""COMPUTED_VALUE"""),"Alejandro G. IÃ±Ã¡rritu")</f>
        <v>Alejandro G. IÃ±Ã¡rritu</v>
      </c>
      <c r="D111" s="31">
        <f t="shared" si="1"/>
        <v>7.84</v>
      </c>
      <c r="E111" s="4">
        <f t="shared" si="2"/>
        <v>5</v>
      </c>
      <c r="F111" s="15"/>
      <c r="G111" s="4"/>
    </row>
    <row r="112" ht="14.25" customHeight="1">
      <c r="A112" s="8" t="s">
        <v>44</v>
      </c>
      <c r="B112" s="8">
        <v>7.5</v>
      </c>
      <c r="C112" s="4" t="str">
        <f>IFERROR(__xludf.DUMMYFUNCTION("""COMPUTED_VALUE"""),"David Soren")</f>
        <v>David Soren</v>
      </c>
      <c r="D112" s="31">
        <f t="shared" si="1"/>
        <v>6.5</v>
      </c>
      <c r="E112" s="4">
        <f t="shared" si="2"/>
        <v>1</v>
      </c>
      <c r="F112" s="15"/>
      <c r="G112" s="4"/>
    </row>
    <row r="113" ht="14.25" customHeight="1">
      <c r="A113" s="8" t="s">
        <v>161</v>
      </c>
      <c r="B113" s="8">
        <v>7.6</v>
      </c>
      <c r="C113" s="4" t="str">
        <f>IFERROR(__xludf.DUMMYFUNCTION("""COMPUTED_VALUE"""),"Paul Greengrass")</f>
        <v>Paul Greengrass</v>
      </c>
      <c r="D113" s="31">
        <f t="shared" si="1"/>
        <v>7.585714286</v>
      </c>
      <c r="E113" s="4">
        <f t="shared" si="2"/>
        <v>7</v>
      </c>
      <c r="F113" s="15"/>
      <c r="G113" s="4"/>
    </row>
    <row r="114" ht="14.25" customHeight="1">
      <c r="A114" s="8" t="s">
        <v>98</v>
      </c>
      <c r="B114" s="8">
        <v>6.4</v>
      </c>
      <c r="C114" s="4" t="str">
        <f>IFERROR(__xludf.DUMMYFUNCTION("""COMPUTED_VALUE"""),"Mark Osborne")</f>
        <v>Mark Osborne</v>
      </c>
      <c r="D114" s="31">
        <f t="shared" si="1"/>
        <v>7.7</v>
      </c>
      <c r="E114" s="4">
        <f t="shared" si="2"/>
        <v>2</v>
      </c>
      <c r="F114" s="15"/>
      <c r="G114" s="4"/>
    </row>
    <row r="115" ht="14.25" customHeight="1">
      <c r="A115" s="8" t="s">
        <v>297</v>
      </c>
      <c r="B115" s="8">
        <v>7.2</v>
      </c>
      <c r="C115" s="4" t="str">
        <f>IFERROR(__xludf.DUMMYFUNCTION("""COMPUTED_VALUE"""),"Peyton Reed")</f>
        <v>Peyton Reed</v>
      </c>
      <c r="D115" s="31">
        <f t="shared" si="1"/>
        <v>6.475</v>
      </c>
      <c r="E115" s="4">
        <f t="shared" si="2"/>
        <v>4</v>
      </c>
      <c r="F115" s="15"/>
      <c r="G115" s="4"/>
    </row>
    <row r="116" ht="14.25" customHeight="1">
      <c r="A116" s="8" t="s">
        <v>111</v>
      </c>
      <c r="B116" s="8">
        <v>6.7</v>
      </c>
      <c r="C116" s="4" t="str">
        <f>IFERROR(__xludf.DUMMYFUNCTION("""COMPUTED_VALUE"""),"Tim Johnson")</f>
        <v>Tim Johnson</v>
      </c>
      <c r="D116" s="31">
        <f t="shared" si="1"/>
        <v>6.725</v>
      </c>
      <c r="E116" s="4">
        <f t="shared" si="2"/>
        <v>4</v>
      </c>
      <c r="F116" s="15"/>
      <c r="G116" s="4"/>
    </row>
    <row r="117" ht="14.25" customHeight="1">
      <c r="A117" s="8" t="s">
        <v>258</v>
      </c>
      <c r="B117" s="8">
        <v>8.0</v>
      </c>
      <c r="C117" s="4" t="str">
        <f>IFERROR(__xludf.DUMMYFUNCTION("""COMPUTED_VALUE"""),"Phillip Noyce")</f>
        <v>Phillip Noyce</v>
      </c>
      <c r="D117" s="31">
        <f t="shared" si="1"/>
        <v>6.766666667</v>
      </c>
      <c r="E117" s="4">
        <f t="shared" si="2"/>
        <v>9</v>
      </c>
      <c r="F117" s="15"/>
      <c r="G117" s="4"/>
    </row>
    <row r="118" ht="14.25" customHeight="1">
      <c r="A118" s="8" t="s">
        <v>25</v>
      </c>
      <c r="B118" s="8">
        <v>8.3</v>
      </c>
      <c r="C118" s="4" t="str">
        <f>IFERROR(__xludf.DUMMYFUNCTION("""COMPUTED_VALUE"""),"Darren Aronofsky")</f>
        <v>Darren Aronofsky</v>
      </c>
      <c r="D118" s="31">
        <f t="shared" si="1"/>
        <v>7.483333333</v>
      </c>
      <c r="E118" s="4">
        <f t="shared" si="2"/>
        <v>6</v>
      </c>
      <c r="F118" s="15"/>
      <c r="G118" s="4"/>
    </row>
    <row r="119" ht="14.25" customHeight="1">
      <c r="A119" s="8" t="s">
        <v>341</v>
      </c>
      <c r="B119" s="8">
        <v>6.7</v>
      </c>
      <c r="C119" s="4" t="str">
        <f>IFERROR(__xludf.DUMMYFUNCTION("""COMPUTED_VALUE"""),"Alfonso CuarÃ³n")</f>
        <v>Alfonso CuarÃ³n</v>
      </c>
      <c r="D119" s="31">
        <f t="shared" si="1"/>
        <v>7.8</v>
      </c>
      <c r="E119" s="4">
        <f t="shared" si="2"/>
        <v>4</v>
      </c>
      <c r="F119" s="15"/>
      <c r="G119" s="4"/>
    </row>
    <row r="120" ht="14.25" customHeight="1">
      <c r="A120" s="8" t="s">
        <v>345</v>
      </c>
      <c r="B120" s="8">
        <v>5.9</v>
      </c>
      <c r="C120" s="4" t="str">
        <f>IFERROR(__xludf.DUMMYFUNCTION("""COMPUTED_VALUE"""),"Eric Leighton")</f>
        <v>Eric Leighton</v>
      </c>
      <c r="D120" s="31">
        <f t="shared" si="1"/>
        <v>6.5</v>
      </c>
      <c r="E120" s="4">
        <f t="shared" si="2"/>
        <v>1</v>
      </c>
      <c r="F120" s="15"/>
      <c r="G120" s="4"/>
    </row>
    <row r="121" ht="14.25" customHeight="1">
      <c r="A121" s="8" t="s">
        <v>348</v>
      </c>
      <c r="B121" s="8">
        <v>6.7</v>
      </c>
      <c r="C121" s="4" t="str">
        <f>IFERROR(__xludf.DUMMYFUNCTION("""COMPUTED_VALUE"""),"Tom McGrath")</f>
        <v>Tom McGrath</v>
      </c>
      <c r="D121" s="31">
        <f t="shared" si="1"/>
        <v>7.3</v>
      </c>
      <c r="E121" s="4">
        <f t="shared" si="2"/>
        <v>1</v>
      </c>
      <c r="F121" s="15"/>
      <c r="G121" s="4"/>
    </row>
    <row r="122" ht="14.25" customHeight="1">
      <c r="A122" s="8" t="s">
        <v>190</v>
      </c>
      <c r="B122" s="8">
        <v>6.7</v>
      </c>
      <c r="C122" s="4" t="str">
        <f>IFERROR(__xludf.DUMMYFUNCTION("""COMPUTED_VALUE"""),"Chris Columbus")</f>
        <v>Chris Columbus</v>
      </c>
      <c r="D122" s="31">
        <f t="shared" si="1"/>
        <v>6.654545455</v>
      </c>
      <c r="E122" s="4">
        <f t="shared" si="2"/>
        <v>11</v>
      </c>
      <c r="F122" s="15"/>
      <c r="G122" s="4"/>
    </row>
    <row r="123" ht="14.25" customHeight="1">
      <c r="A123" s="8" t="s">
        <v>352</v>
      </c>
      <c r="B123" s="8">
        <v>7.6</v>
      </c>
      <c r="C123" s="4" t="str">
        <f>IFERROR(__xludf.DUMMYFUNCTION("""COMPUTED_VALUE"""),"Robert Schwentke")</f>
        <v>Robert Schwentke</v>
      </c>
      <c r="D123" s="31">
        <f t="shared" si="1"/>
        <v>6.35</v>
      </c>
      <c r="E123" s="4">
        <f t="shared" si="2"/>
        <v>6</v>
      </c>
      <c r="F123" s="15"/>
      <c r="G123" s="4"/>
    </row>
    <row r="124" ht="14.25" customHeight="1">
      <c r="A124" s="8" t="s">
        <v>190</v>
      </c>
      <c r="B124" s="8">
        <v>7.2</v>
      </c>
      <c r="C124" s="4" t="str">
        <f>IFERROR(__xludf.DUMMYFUNCTION("""COMPUTED_VALUE"""),"Carlos Saldanha")</f>
        <v>Carlos Saldanha</v>
      </c>
      <c r="D124" s="31">
        <f t="shared" si="1"/>
        <v>6.825</v>
      </c>
      <c r="E124" s="4">
        <f t="shared" si="2"/>
        <v>4</v>
      </c>
      <c r="F124" s="15"/>
      <c r="G124" s="4"/>
    </row>
    <row r="125" ht="14.25" customHeight="1">
      <c r="A125" s="8" t="s">
        <v>314</v>
      </c>
      <c r="B125" s="8">
        <v>7.1</v>
      </c>
      <c r="C125" s="4" t="str">
        <f>IFERROR(__xludf.DUMMYFUNCTION("""COMPUTED_VALUE"""),"Guy Ritchie")</f>
        <v>Guy Ritchie</v>
      </c>
      <c r="D125" s="31">
        <f t="shared" si="1"/>
        <v>7.114285714</v>
      </c>
      <c r="E125" s="4">
        <f t="shared" si="2"/>
        <v>7</v>
      </c>
      <c r="F125" s="15"/>
      <c r="G125" s="4"/>
    </row>
    <row r="126" ht="14.25" customHeight="1">
      <c r="A126" s="8" t="s">
        <v>359</v>
      </c>
      <c r="B126" s="8">
        <v>8.1</v>
      </c>
      <c r="C126" s="4" t="str">
        <f>IFERROR(__xludf.DUMMYFUNCTION("""COMPUTED_VALUE"""),"Paul Verhoeven")</f>
        <v>Paul Verhoeven</v>
      </c>
      <c r="D126" s="31">
        <f t="shared" si="1"/>
        <v>6.56</v>
      </c>
      <c r="E126" s="4">
        <f t="shared" si="2"/>
        <v>5</v>
      </c>
      <c r="F126" s="15"/>
      <c r="G126" s="4"/>
    </row>
    <row r="127" ht="14.25" customHeight="1">
      <c r="A127" s="8" t="s">
        <v>361</v>
      </c>
      <c r="B127" s="8">
        <v>6.7</v>
      </c>
      <c r="C127" s="4" t="str">
        <f>IFERROR(__xludf.DUMMYFUNCTION("""COMPUTED_VALUE"""),"John McTiernan")</f>
        <v>John McTiernan</v>
      </c>
      <c r="D127" s="31">
        <f t="shared" si="1"/>
        <v>6.63</v>
      </c>
      <c r="E127" s="4">
        <f t="shared" si="2"/>
        <v>10</v>
      </c>
      <c r="F127" s="15"/>
      <c r="G127" s="4"/>
    </row>
    <row r="128" ht="14.25" customHeight="1">
      <c r="A128" s="8" t="s">
        <v>364</v>
      </c>
      <c r="B128" s="8">
        <v>7.0</v>
      </c>
      <c r="C128" s="4" t="str">
        <f>IFERROR(__xludf.DUMMYFUNCTION("""COMPUTED_VALUE"""),"Tony Gilroy")</f>
        <v>Tony Gilroy</v>
      </c>
      <c r="D128" s="31">
        <f t="shared" si="1"/>
        <v>6.733333333</v>
      </c>
      <c r="E128" s="4">
        <f t="shared" si="2"/>
        <v>3</v>
      </c>
      <c r="F128" s="15"/>
      <c r="G128" s="4"/>
    </row>
    <row r="129" ht="14.25" customHeight="1">
      <c r="A129" s="8" t="s">
        <v>366</v>
      </c>
      <c r="B129" s="8">
        <v>6.9</v>
      </c>
      <c r="C129" s="4" t="str">
        <f>IFERROR(__xludf.DUMMYFUNCTION("""COMPUTED_VALUE"""),"Joel Schumacher")</f>
        <v>Joel Schumacher</v>
      </c>
      <c r="D129" s="31">
        <f t="shared" si="1"/>
        <v>6.341666667</v>
      </c>
      <c r="E129" s="4">
        <f t="shared" si="2"/>
        <v>12</v>
      </c>
      <c r="F129" s="15"/>
      <c r="G129" s="4"/>
    </row>
    <row r="130" ht="14.25" customHeight="1">
      <c r="A130" s="8" t="s">
        <v>369</v>
      </c>
      <c r="B130" s="8">
        <v>5.1</v>
      </c>
      <c r="C130" s="4" t="str">
        <f>IFERROR(__xludf.DUMMYFUNCTION("""COMPUTED_VALUE"""),"John Woo")</f>
        <v>John Woo</v>
      </c>
      <c r="D130" s="31">
        <f t="shared" si="1"/>
        <v>6.516666667</v>
      </c>
      <c r="E130" s="4">
        <f t="shared" si="2"/>
        <v>6</v>
      </c>
      <c r="F130" s="15"/>
      <c r="G130" s="4"/>
    </row>
    <row r="131" ht="14.25" customHeight="1">
      <c r="A131" s="8" t="s">
        <v>373</v>
      </c>
      <c r="B131" s="8">
        <v>5.8</v>
      </c>
      <c r="C131" s="4" t="str">
        <f>IFERROR(__xludf.DUMMYFUNCTION("""COMPUTED_VALUE"""),"Tim Story")</f>
        <v>Tim Story</v>
      </c>
      <c r="D131" s="31">
        <f t="shared" si="1"/>
        <v>6.05</v>
      </c>
      <c r="E131" s="4">
        <f t="shared" si="2"/>
        <v>6</v>
      </c>
      <c r="F131" s="15"/>
      <c r="G131" s="4"/>
    </row>
    <row r="132" ht="14.25" customHeight="1">
      <c r="A132" s="8" t="s">
        <v>111</v>
      </c>
      <c r="B132" s="8">
        <v>6.2</v>
      </c>
      <c r="C132" s="4" t="str">
        <f>IFERROR(__xludf.DUMMYFUNCTION("""COMPUTED_VALUE"""),"Mark Steven Johnson")</f>
        <v>Mark Steven Johnson</v>
      </c>
      <c r="D132" s="31">
        <f t="shared" si="1"/>
        <v>6.05</v>
      </c>
      <c r="E132" s="4">
        <f t="shared" si="2"/>
        <v>2</v>
      </c>
      <c r="F132" s="15"/>
      <c r="G132" s="4"/>
    </row>
    <row r="133" ht="14.25" customHeight="1">
      <c r="A133" s="8" t="s">
        <v>377</v>
      </c>
      <c r="B133" s="8">
        <v>7.4</v>
      </c>
      <c r="C133" s="4" t="str">
        <f>IFERROR(__xludf.DUMMYFUNCTION("""COMPUTED_VALUE"""),"Neill Blomkamp")</f>
        <v>Neill Blomkamp</v>
      </c>
      <c r="D133" s="31">
        <f t="shared" si="1"/>
        <v>7.166666667</v>
      </c>
      <c r="E133" s="4">
        <f t="shared" si="2"/>
        <v>3</v>
      </c>
      <c r="F133" s="15"/>
      <c r="G133" s="4"/>
    </row>
    <row r="134" ht="14.25" customHeight="1">
      <c r="A134" s="8" t="s">
        <v>379</v>
      </c>
      <c r="B134" s="8">
        <v>5.8</v>
      </c>
      <c r="C134" s="4" t="str">
        <f>IFERROR(__xludf.DUMMYFUNCTION("""COMPUTED_VALUE"""),"David Twohy")</f>
        <v>David Twohy</v>
      </c>
      <c r="D134" s="31">
        <f t="shared" si="1"/>
        <v>6.675</v>
      </c>
      <c r="E134" s="4">
        <f t="shared" si="2"/>
        <v>4</v>
      </c>
      <c r="F134" s="15"/>
      <c r="G134" s="4"/>
    </row>
    <row r="135" ht="14.25" customHeight="1">
      <c r="A135" s="8" t="s">
        <v>382</v>
      </c>
      <c r="B135" s="8">
        <v>6.2</v>
      </c>
      <c r="C135" s="4" t="str">
        <f>IFERROR(__xludf.DUMMYFUNCTION("""COMPUTED_VALUE"""),"JosÃ© Padilha")</f>
        <v>JosÃ© Padilha</v>
      </c>
      <c r="D135" s="31">
        <f t="shared" si="1"/>
        <v>6.833333333</v>
      </c>
      <c r="E135" s="4">
        <f t="shared" si="2"/>
        <v>3</v>
      </c>
      <c r="F135" s="15"/>
      <c r="G135" s="4"/>
    </row>
    <row r="136" ht="14.25" customHeight="1">
      <c r="A136" s="8" t="s">
        <v>385</v>
      </c>
      <c r="B136" s="8">
        <v>7.3</v>
      </c>
      <c r="C136" s="4" t="str">
        <f>IFERROR(__xludf.DUMMYFUNCTION("""COMPUTED_VALUE"""),"James L. Brooks")</f>
        <v>James L. Brooks</v>
      </c>
      <c r="D136" s="31">
        <f t="shared" si="1"/>
        <v>6.5</v>
      </c>
      <c r="E136" s="4">
        <f t="shared" si="2"/>
        <v>3</v>
      </c>
      <c r="F136" s="15"/>
      <c r="G136" s="4"/>
    </row>
    <row r="137" ht="14.25" customHeight="1">
      <c r="A137" s="8" t="s">
        <v>387</v>
      </c>
      <c r="B137" s="8">
        <v>4.2</v>
      </c>
      <c r="C137" s="4" t="str">
        <f>IFERROR(__xludf.DUMMYFUNCTION("""COMPUTED_VALUE"""),"James Mangold")</f>
        <v>James Mangold</v>
      </c>
      <c r="D137" s="31">
        <f t="shared" si="1"/>
        <v>7.075</v>
      </c>
      <c r="E137" s="4">
        <f t="shared" si="2"/>
        <v>8</v>
      </c>
      <c r="F137" s="15"/>
      <c r="G137" s="4"/>
    </row>
    <row r="138" ht="14.25" customHeight="1">
      <c r="A138" s="8" t="s">
        <v>154</v>
      </c>
      <c r="B138" s="8">
        <v>6.9</v>
      </c>
      <c r="C138" s="4" t="str">
        <f>IFERROR(__xludf.DUMMYFUNCTION("""COMPUTED_VALUE"""),"George Lucas")</f>
        <v>George Lucas</v>
      </c>
      <c r="D138" s="31">
        <f t="shared" si="1"/>
        <v>7.4</v>
      </c>
      <c r="E138" s="4">
        <f t="shared" si="2"/>
        <v>5</v>
      </c>
      <c r="F138" s="15"/>
      <c r="G138" s="4"/>
    </row>
    <row r="139" ht="14.25" customHeight="1">
      <c r="A139" s="8" t="s">
        <v>183</v>
      </c>
      <c r="B139" s="8">
        <v>6.4</v>
      </c>
      <c r="C139" s="4" t="str">
        <f>IFERROR(__xludf.DUMMYFUNCTION("""COMPUTED_VALUE"""),"Kirk De Micco")</f>
        <v>Kirk De Micco</v>
      </c>
      <c r="D139" s="31">
        <f t="shared" si="1"/>
        <v>5.9</v>
      </c>
      <c r="E139" s="4">
        <f t="shared" si="2"/>
        <v>2</v>
      </c>
      <c r="F139" s="15"/>
      <c r="G139" s="4"/>
    </row>
    <row r="140" ht="14.25" customHeight="1">
      <c r="A140" s="8" t="s">
        <v>394</v>
      </c>
      <c r="B140" s="8">
        <v>5.4</v>
      </c>
      <c r="C140" s="4" t="str">
        <f>IFERROR(__xludf.DUMMYFUNCTION("""COMPUTED_VALUE"""),"Cedric Nicolas-Troyan")</f>
        <v>Cedric Nicolas-Troyan</v>
      </c>
      <c r="D140" s="31">
        <f t="shared" si="1"/>
        <v>6.1</v>
      </c>
      <c r="E140" s="4">
        <f t="shared" si="2"/>
        <v>1</v>
      </c>
      <c r="F140" s="15"/>
      <c r="G140" s="4"/>
    </row>
    <row r="141" ht="14.25" customHeight="1">
      <c r="A141" s="8" t="s">
        <v>397</v>
      </c>
      <c r="B141" s="8">
        <v>6.7</v>
      </c>
      <c r="C141" s="4" t="str">
        <f>IFERROR(__xludf.DUMMYFUNCTION("""COMPUTED_VALUE"""),"Roger Donaldson")</f>
        <v>Roger Donaldson</v>
      </c>
      <c r="D141" s="31">
        <f t="shared" si="1"/>
        <v>6.771428571</v>
      </c>
      <c r="E141" s="4">
        <f t="shared" si="2"/>
        <v>7</v>
      </c>
      <c r="F141" s="15"/>
      <c r="G141" s="4"/>
    </row>
    <row r="142" ht="14.25" customHeight="1">
      <c r="A142" s="8" t="s">
        <v>399</v>
      </c>
      <c r="B142" s="8">
        <v>5.8</v>
      </c>
      <c r="C142" s="4" t="str">
        <f>IFERROR(__xludf.DUMMYFUNCTION("""COMPUTED_VALUE"""),"Dave Green")</f>
        <v>Dave Green</v>
      </c>
      <c r="D142" s="31">
        <f t="shared" si="1"/>
        <v>6.05</v>
      </c>
      <c r="E142" s="4">
        <f t="shared" si="2"/>
        <v>2</v>
      </c>
      <c r="F142" s="15"/>
      <c r="G142" s="4"/>
    </row>
    <row r="143" ht="14.25" customHeight="1">
      <c r="A143" s="8" t="s">
        <v>401</v>
      </c>
      <c r="B143" s="8">
        <v>6.9</v>
      </c>
      <c r="C143" s="4" t="str">
        <f>IFERROR(__xludf.DUMMYFUNCTION("""COMPUTED_VALUE"""),"Josh Trank")</f>
        <v>Josh Trank</v>
      </c>
      <c r="D143" s="31">
        <f t="shared" si="1"/>
        <v>5.7</v>
      </c>
      <c r="E143" s="4">
        <f t="shared" si="2"/>
        <v>2</v>
      </c>
      <c r="F143" s="15"/>
      <c r="G143" s="4"/>
    </row>
    <row r="144" ht="14.25" customHeight="1">
      <c r="A144" s="8" t="s">
        <v>303</v>
      </c>
      <c r="B144" s="8">
        <v>7.2</v>
      </c>
      <c r="C144" s="4" t="str">
        <f>IFERROR(__xludf.DUMMYFUNCTION("""COMPUTED_VALUE"""),"Brad Peyton")</f>
        <v>Brad Peyton</v>
      </c>
      <c r="D144" s="31">
        <f t="shared" si="1"/>
        <v>5.4</v>
      </c>
      <c r="E144" s="4">
        <f t="shared" si="2"/>
        <v>3</v>
      </c>
      <c r="F144" s="15"/>
      <c r="G144" s="4"/>
    </row>
    <row r="145" ht="14.25" customHeight="1">
      <c r="A145" s="8" t="s">
        <v>341</v>
      </c>
      <c r="B145" s="8">
        <v>6.9</v>
      </c>
      <c r="C145" s="4" t="str">
        <f>IFERROR(__xludf.DUMMYFUNCTION("""COMPUTED_VALUE"""),"Roger Spottiswoode")</f>
        <v>Roger Spottiswoode</v>
      </c>
      <c r="D145" s="31">
        <f t="shared" si="1"/>
        <v>6.5</v>
      </c>
      <c r="E145" s="4">
        <f t="shared" si="2"/>
        <v>3</v>
      </c>
      <c r="F145" s="15"/>
      <c r="G145" s="4"/>
    </row>
    <row r="146" ht="14.25" customHeight="1">
      <c r="A146" s="8" t="s">
        <v>408</v>
      </c>
      <c r="B146" s="8">
        <v>6.1</v>
      </c>
      <c r="C146" s="4" t="str">
        <f>IFERROR(__xludf.DUMMYFUNCTION("""COMPUTED_VALUE"""),"Steven Soderbergh")</f>
        <v>Steven Soderbergh</v>
      </c>
      <c r="D146" s="31">
        <f t="shared" si="1"/>
        <v>6.70625</v>
      </c>
      <c r="E146" s="4">
        <f t="shared" si="2"/>
        <v>16</v>
      </c>
      <c r="F146" s="15"/>
      <c r="G146" s="4"/>
    </row>
    <row r="147" ht="14.25" customHeight="1">
      <c r="A147" s="8" t="s">
        <v>411</v>
      </c>
      <c r="B147" s="8">
        <v>5.5</v>
      </c>
      <c r="C147" s="4" t="str">
        <f>IFERROR(__xludf.DUMMYFUNCTION("""COMPUTED_VALUE"""),"Michel Gondry")</f>
        <v>Michel Gondry</v>
      </c>
      <c r="D147" s="31">
        <f t="shared" si="1"/>
        <v>6.925</v>
      </c>
      <c r="E147" s="4">
        <f t="shared" si="2"/>
        <v>4</v>
      </c>
      <c r="F147" s="15"/>
      <c r="G147" s="4"/>
    </row>
    <row r="148" ht="14.25" customHeight="1">
      <c r="A148" s="8" t="s">
        <v>121</v>
      </c>
      <c r="B148" s="8">
        <v>6.6</v>
      </c>
      <c r="C148" s="4" t="str">
        <f>IFERROR(__xludf.DUMMYFUNCTION("""COMPUTED_VALUE"""),"Noam Murro")</f>
        <v>Noam Murro</v>
      </c>
      <c r="D148" s="31">
        <f t="shared" si="1"/>
        <v>6.2</v>
      </c>
      <c r="E148" s="4">
        <f t="shared" si="2"/>
        <v>1</v>
      </c>
      <c r="F148" s="15"/>
      <c r="G148" s="4"/>
    </row>
    <row r="149" ht="14.25" customHeight="1">
      <c r="A149" s="8" t="s">
        <v>69</v>
      </c>
      <c r="B149" s="8">
        <v>6.1</v>
      </c>
      <c r="C149" s="4" t="str">
        <f>IFERROR(__xludf.DUMMYFUNCTION("""COMPUTED_VALUE"""),"Raja Gosnell")</f>
        <v>Raja Gosnell</v>
      </c>
      <c r="D149" s="31">
        <f t="shared" si="1"/>
        <v>4.916666667</v>
      </c>
      <c r="E149" s="4">
        <f t="shared" si="2"/>
        <v>6</v>
      </c>
      <c r="F149" s="15"/>
      <c r="G149" s="4"/>
    </row>
    <row r="150" ht="14.25" customHeight="1">
      <c r="A150" s="8" t="s">
        <v>186</v>
      </c>
      <c r="B150" s="8">
        <v>6.3</v>
      </c>
      <c r="C150" s="4" t="str">
        <f>IFERROR(__xludf.DUMMYFUNCTION("""COMPUTED_VALUE"""),"Will Finn")</f>
        <v>Will Finn</v>
      </c>
      <c r="D150" s="31">
        <f t="shared" si="1"/>
        <v>5.5</v>
      </c>
      <c r="E150" s="4">
        <f t="shared" si="2"/>
        <v>2</v>
      </c>
      <c r="F150" s="15"/>
      <c r="G150" s="4"/>
    </row>
    <row r="151" ht="14.25" customHeight="1">
      <c r="A151" s="8" t="s">
        <v>421</v>
      </c>
      <c r="B151" s="8">
        <v>7.2</v>
      </c>
      <c r="C151" s="4" t="str">
        <f>IFERROR(__xludf.DUMMYFUNCTION("""COMPUTED_VALUE"""),"Jan de Bont")</f>
        <v>Jan de Bont</v>
      </c>
      <c r="D151" s="31">
        <f t="shared" si="1"/>
        <v>5.52</v>
      </c>
      <c r="E151" s="4">
        <f t="shared" si="2"/>
        <v>5</v>
      </c>
      <c r="F151" s="15"/>
      <c r="G151" s="4"/>
    </row>
    <row r="152" ht="14.25" customHeight="1">
      <c r="A152" s="8" t="s">
        <v>258</v>
      </c>
      <c r="B152" s="8">
        <v>7.4</v>
      </c>
      <c r="C152" s="4" t="str">
        <f>IFERROR(__xludf.DUMMYFUNCTION("""COMPUTED_VALUE"""),"Len Wiseman")</f>
        <v>Len Wiseman</v>
      </c>
      <c r="D152" s="31">
        <f t="shared" si="1"/>
        <v>7</v>
      </c>
      <c r="E152" s="4">
        <f t="shared" si="2"/>
        <v>3</v>
      </c>
      <c r="F152" s="15"/>
      <c r="G152" s="4"/>
    </row>
    <row r="153" ht="14.25" customHeight="1">
      <c r="A153" s="8" t="s">
        <v>424</v>
      </c>
      <c r="B153" s="8">
        <v>7.3</v>
      </c>
      <c r="C153" s="4" t="str">
        <f>IFERROR(__xludf.DUMMYFUNCTION("""COMPUTED_VALUE"""),"Frank Coraci")</f>
        <v>Frank Coraci</v>
      </c>
      <c r="D153" s="31">
        <f t="shared" si="1"/>
        <v>6.042857143</v>
      </c>
      <c r="E153" s="4">
        <f t="shared" si="2"/>
        <v>7</v>
      </c>
      <c r="F153" s="15"/>
      <c r="G153" s="4"/>
    </row>
    <row r="154" ht="14.25" customHeight="1">
      <c r="A154" s="8" t="s">
        <v>426</v>
      </c>
      <c r="B154" s="8">
        <v>6.1</v>
      </c>
      <c r="C154" s="4" t="str">
        <f>IFERROR(__xludf.DUMMYFUNCTION("""COMPUTED_VALUE"""),"Michael Mann")</f>
        <v>Michael Mann</v>
      </c>
      <c r="D154" s="31">
        <f t="shared" si="1"/>
        <v>7.083333333</v>
      </c>
      <c r="E154" s="4">
        <f t="shared" si="2"/>
        <v>6</v>
      </c>
      <c r="F154" s="15"/>
      <c r="G154" s="4"/>
    </row>
    <row r="155" ht="14.25" customHeight="1">
      <c r="A155" s="8" t="s">
        <v>430</v>
      </c>
      <c r="B155" s="8">
        <v>7.7</v>
      </c>
      <c r="C155" s="4" t="str">
        <f>IFERROR(__xludf.DUMMYFUNCTION("""COMPUTED_VALUE"""),"Bo Welch")</f>
        <v>Bo Welch</v>
      </c>
      <c r="D155" s="31">
        <f t="shared" si="1"/>
        <v>3.8</v>
      </c>
      <c r="E155" s="4">
        <f t="shared" si="2"/>
        <v>1</v>
      </c>
      <c r="F155" s="15"/>
      <c r="G155" s="4"/>
    </row>
    <row r="156" ht="14.25" customHeight="1">
      <c r="A156" s="8" t="s">
        <v>80</v>
      </c>
      <c r="B156" s="8">
        <v>6.1</v>
      </c>
      <c r="C156" s="4" t="str">
        <f>IFERROR(__xludf.DUMMYFUNCTION("""COMPUTED_VALUE"""),"Ron Clements")</f>
        <v>Ron Clements</v>
      </c>
      <c r="D156" s="31">
        <f t="shared" si="1"/>
        <v>7.4</v>
      </c>
      <c r="E156" s="4">
        <f t="shared" si="2"/>
        <v>3</v>
      </c>
      <c r="F156" s="15"/>
      <c r="G156" s="4"/>
    </row>
    <row r="157" ht="14.25" customHeight="1">
      <c r="A157" s="8" t="s">
        <v>154</v>
      </c>
      <c r="B157" s="8">
        <v>8.0</v>
      </c>
      <c r="C157" s="4" t="str">
        <f>IFERROR(__xludf.DUMMYFUNCTION("""COMPUTED_VALUE"""),"Peter Chelsom")</f>
        <v>Peter Chelsom</v>
      </c>
      <c r="D157" s="31">
        <f t="shared" si="1"/>
        <v>5.4</v>
      </c>
      <c r="E157" s="4">
        <f t="shared" si="2"/>
        <v>4</v>
      </c>
      <c r="F157" s="15"/>
      <c r="G157" s="4"/>
    </row>
    <row r="158" ht="14.25" customHeight="1">
      <c r="A158" s="8" t="s">
        <v>33</v>
      </c>
      <c r="B158" s="8">
        <v>7.3</v>
      </c>
      <c r="C158" s="4" t="str">
        <f>IFERROR(__xludf.DUMMYFUNCTION("""COMPUTED_VALUE"""),"Dominic Sena")</f>
        <v>Dominic Sena</v>
      </c>
      <c r="D158" s="31">
        <f t="shared" si="1"/>
        <v>6.166666667</v>
      </c>
      <c r="E158" s="4">
        <f t="shared" si="2"/>
        <v>3</v>
      </c>
      <c r="F158" s="15"/>
      <c r="G158" s="4"/>
    </row>
    <row r="159" ht="14.25" customHeight="1">
      <c r="A159" s="8" t="s">
        <v>274</v>
      </c>
      <c r="B159" s="8">
        <v>7.9</v>
      </c>
      <c r="C159" s="4" t="str">
        <f>IFERROR(__xludf.DUMMYFUNCTION("""COMPUTED_VALUE"""),"Tony Scott")</f>
        <v>Tony Scott</v>
      </c>
      <c r="D159" s="31">
        <f t="shared" si="1"/>
        <v>6.791666667</v>
      </c>
      <c r="E159" s="4">
        <f t="shared" si="2"/>
        <v>12</v>
      </c>
      <c r="F159" s="15"/>
      <c r="G159" s="4"/>
    </row>
    <row r="160" ht="14.25" customHeight="1">
      <c r="A160" s="8" t="s">
        <v>439</v>
      </c>
      <c r="B160" s="8">
        <v>5.5</v>
      </c>
      <c r="C160" s="4" t="str">
        <f>IFERROR(__xludf.DUMMYFUNCTION("""COMPUTED_VALUE"""),"Paul Weitz")</f>
        <v>Paul Weitz</v>
      </c>
      <c r="D160" s="31">
        <f t="shared" si="1"/>
        <v>6.016666667</v>
      </c>
      <c r="E160" s="4">
        <f t="shared" si="2"/>
        <v>6</v>
      </c>
      <c r="F160" s="15"/>
      <c r="G160" s="4"/>
    </row>
    <row r="161" ht="14.25" customHeight="1">
      <c r="A161" s="8" t="s">
        <v>214</v>
      </c>
      <c r="B161" s="8">
        <v>5.0</v>
      </c>
      <c r="C161" s="4" t="str">
        <f>IFERROR(__xludf.DUMMYFUNCTION("""COMPUTED_VALUE"""),"Adam McKay")</f>
        <v>Adam McKay</v>
      </c>
      <c r="D161" s="31">
        <f t="shared" si="1"/>
        <v>6.916666667</v>
      </c>
      <c r="E161" s="4">
        <f t="shared" si="2"/>
        <v>6</v>
      </c>
      <c r="F161" s="15"/>
      <c r="G161" s="4"/>
    </row>
    <row r="162" ht="14.25" customHeight="1">
      <c r="A162" s="8" t="s">
        <v>48</v>
      </c>
      <c r="B162" s="8">
        <v>7.7</v>
      </c>
      <c r="C162" s="4" t="str">
        <f>IFERROR(__xludf.DUMMYFUNCTION("""COMPUTED_VALUE"""),"Chuck Russell")</f>
        <v>Chuck Russell</v>
      </c>
      <c r="D162" s="31">
        <f t="shared" si="1"/>
        <v>6.04</v>
      </c>
      <c r="E162" s="4">
        <f t="shared" si="2"/>
        <v>5</v>
      </c>
      <c r="F162" s="15"/>
      <c r="G162" s="4"/>
    </row>
    <row r="163" ht="14.25" customHeight="1">
      <c r="A163" s="8" t="s">
        <v>446</v>
      </c>
      <c r="B163" s="8">
        <v>6.6</v>
      </c>
      <c r="C163" s="4" t="str">
        <f>IFERROR(__xludf.DUMMYFUNCTION("""COMPUTED_VALUE"""),"Quentin Tarantino")</f>
        <v>Quentin Tarantino</v>
      </c>
      <c r="D163" s="31">
        <f t="shared" si="1"/>
        <v>8.2</v>
      </c>
      <c r="E163" s="4">
        <f t="shared" si="2"/>
        <v>8</v>
      </c>
      <c r="F163" s="15"/>
      <c r="G163" s="4"/>
    </row>
    <row r="164" ht="14.25" customHeight="1">
      <c r="A164" s="8" t="s">
        <v>448</v>
      </c>
      <c r="B164" s="8">
        <v>5.7</v>
      </c>
      <c r="C164" s="4" t="str">
        <f>IFERROR(__xludf.DUMMYFUNCTION("""COMPUTED_VALUE"""),"Gary Trousdale")</f>
        <v>Gary Trousdale</v>
      </c>
      <c r="D164" s="31">
        <f t="shared" si="1"/>
        <v>6.85</v>
      </c>
      <c r="E164" s="4">
        <f t="shared" si="2"/>
        <v>2</v>
      </c>
      <c r="F164" s="15"/>
      <c r="G164" s="4"/>
    </row>
    <row r="165" ht="14.25" customHeight="1">
      <c r="A165" s="8" t="s">
        <v>451</v>
      </c>
      <c r="B165" s="8">
        <v>5.8</v>
      </c>
      <c r="C165" s="4" t="str">
        <f>IFERROR(__xludf.DUMMYFUNCTION("""COMPUTED_VALUE"""),"Mark Dindal")</f>
        <v>Mark Dindal</v>
      </c>
      <c r="D165" s="31">
        <f t="shared" si="1"/>
        <v>6.666666667</v>
      </c>
      <c r="E165" s="4">
        <f t="shared" si="2"/>
        <v>3</v>
      </c>
      <c r="F165" s="15"/>
      <c r="G165" s="4"/>
    </row>
    <row r="166" ht="14.25" customHeight="1">
      <c r="A166" s="8" t="s">
        <v>453</v>
      </c>
      <c r="B166" s="8">
        <v>6.0</v>
      </c>
      <c r="C166" s="4" t="str">
        <f>IFERROR(__xludf.DUMMYFUNCTION("""COMPUTED_VALUE"""),"Simon West")</f>
        <v>Simon West</v>
      </c>
      <c r="D166" s="31">
        <f t="shared" si="1"/>
        <v>6.085714286</v>
      </c>
      <c r="E166" s="4">
        <f t="shared" si="2"/>
        <v>7</v>
      </c>
      <c r="F166" s="15"/>
      <c r="G166" s="4"/>
    </row>
    <row r="167" ht="14.25" customHeight="1">
      <c r="A167" s="8" t="s">
        <v>456</v>
      </c>
      <c r="B167" s="8">
        <v>6.4</v>
      </c>
      <c r="C167" s="4" t="str">
        <f>IFERROR(__xludf.DUMMYFUNCTION("""COMPUTED_VALUE"""),"Stefen Fangmeier")</f>
        <v>Stefen Fangmeier</v>
      </c>
      <c r="D167" s="31">
        <f t="shared" si="1"/>
        <v>5.1</v>
      </c>
      <c r="E167" s="4">
        <f t="shared" si="2"/>
        <v>1</v>
      </c>
      <c r="F167" s="15"/>
      <c r="G167" s="4"/>
    </row>
    <row r="168" ht="14.25" customHeight="1">
      <c r="A168" s="8" t="s">
        <v>379</v>
      </c>
      <c r="B168" s="8">
        <v>6.9</v>
      </c>
      <c r="C168" s="4" t="str">
        <f>IFERROR(__xludf.DUMMYFUNCTION("""COMPUTED_VALUE"""),"Spike Jonze")</f>
        <v>Spike Jonze</v>
      </c>
      <c r="D168" s="31">
        <f t="shared" si="1"/>
        <v>7.575</v>
      </c>
      <c r="E168" s="4">
        <f t="shared" si="2"/>
        <v>4</v>
      </c>
      <c r="F168" s="15"/>
      <c r="G168" s="4"/>
    </row>
    <row r="169" ht="14.25" customHeight="1">
      <c r="A169" s="8" t="s">
        <v>316</v>
      </c>
      <c r="B169" s="8">
        <v>6.4</v>
      </c>
      <c r="C169" s="4" t="str">
        <f>IFERROR(__xludf.DUMMYFUNCTION("""COMPUTED_VALUE"""),"Chris Wedge")</f>
        <v>Chris Wedge</v>
      </c>
      <c r="D169" s="31">
        <f t="shared" si="1"/>
        <v>6.866666667</v>
      </c>
      <c r="E169" s="4">
        <f t="shared" si="2"/>
        <v>3</v>
      </c>
      <c r="F169" s="15"/>
      <c r="G169" s="4"/>
    </row>
    <row r="170" ht="14.25" customHeight="1">
      <c r="A170" s="8" t="s">
        <v>463</v>
      </c>
      <c r="B170" s="8">
        <v>7.4</v>
      </c>
      <c r="C170" s="4" t="str">
        <f>IFERROR(__xludf.DUMMYFUNCTION("""COMPUTED_VALUE"""),"Florian Henckel von Donnersmarck")</f>
        <v>Florian Henckel von Donnersmarck</v>
      </c>
      <c r="D170" s="31">
        <f t="shared" si="1"/>
        <v>6.833333333</v>
      </c>
      <c r="E170" s="4">
        <f t="shared" si="2"/>
        <v>3</v>
      </c>
      <c r="F170" s="15"/>
      <c r="G170" s="4"/>
    </row>
    <row r="171" ht="14.25" customHeight="1">
      <c r="A171" s="8" t="s">
        <v>467</v>
      </c>
      <c r="B171" s="8">
        <v>5.5</v>
      </c>
      <c r="C171" s="4" t="str">
        <f>IFERROR(__xludf.DUMMYFUNCTION("""COMPUTED_VALUE"""),"Peter Hyams")</f>
        <v>Peter Hyams</v>
      </c>
      <c r="D171" s="31">
        <f t="shared" si="1"/>
        <v>5.22</v>
      </c>
      <c r="E171" s="4">
        <f t="shared" si="2"/>
        <v>5</v>
      </c>
      <c r="F171" s="15"/>
      <c r="G171" s="4"/>
    </row>
    <row r="172" ht="14.25" customHeight="1">
      <c r="A172" s="8" t="s">
        <v>359</v>
      </c>
      <c r="B172" s="8">
        <v>5.9</v>
      </c>
      <c r="C172" s="4" t="str">
        <f>IFERROR(__xludf.DUMMYFUNCTION("""COMPUTED_VALUE"""),"Tom Tykwer")</f>
        <v>Tom Tykwer</v>
      </c>
      <c r="D172" s="31">
        <f t="shared" si="1"/>
        <v>7.325</v>
      </c>
      <c r="E172" s="4">
        <f t="shared" si="2"/>
        <v>4</v>
      </c>
      <c r="F172" s="15"/>
      <c r="G172" s="4"/>
    </row>
    <row r="173" ht="14.25" customHeight="1">
      <c r="A173" s="8" t="s">
        <v>472</v>
      </c>
      <c r="B173" s="8">
        <v>6.8</v>
      </c>
      <c r="C173" s="4" t="str">
        <f>IFERROR(__xludf.DUMMYFUNCTION("""COMPUTED_VALUE"""),"Pitof")</f>
        <v>Pitof</v>
      </c>
      <c r="D173" s="31">
        <f t="shared" si="1"/>
        <v>3.3</v>
      </c>
      <c r="E173" s="4">
        <f t="shared" si="2"/>
        <v>1</v>
      </c>
      <c r="F173" s="15"/>
      <c r="G173" s="4"/>
    </row>
    <row r="174" ht="14.25" customHeight="1">
      <c r="A174" s="8" t="s">
        <v>168</v>
      </c>
      <c r="B174" s="8">
        <v>6.8</v>
      </c>
      <c r="C174" s="4" t="str">
        <f>IFERROR(__xludf.DUMMYFUNCTION("""COMPUTED_VALUE"""),"Brad Silberling")</f>
        <v>Brad Silberling</v>
      </c>
      <c r="D174" s="31">
        <f t="shared" si="1"/>
        <v>6.2</v>
      </c>
      <c r="E174" s="4">
        <f t="shared" si="2"/>
        <v>4</v>
      </c>
      <c r="F174" s="15"/>
      <c r="G174" s="4"/>
    </row>
    <row r="175" ht="14.25" customHeight="1">
      <c r="A175" s="8" t="s">
        <v>476</v>
      </c>
      <c r="B175" s="8">
        <v>8.1</v>
      </c>
      <c r="C175" s="4" t="str">
        <f>IFERROR(__xludf.DUMMYFUNCTION("""COMPUTED_VALUE"""),"Patrick Hughes")</f>
        <v>Patrick Hughes</v>
      </c>
      <c r="D175" s="31">
        <f t="shared" si="1"/>
        <v>6.1</v>
      </c>
      <c r="E175" s="4">
        <f t="shared" si="2"/>
        <v>1</v>
      </c>
      <c r="F175" s="15"/>
      <c r="G175" s="4"/>
    </row>
    <row r="176" ht="14.25" customHeight="1">
      <c r="A176" s="8" t="s">
        <v>479</v>
      </c>
      <c r="B176" s="8">
        <v>6.5</v>
      </c>
      <c r="C176" s="4" t="str">
        <f>IFERROR(__xludf.DUMMYFUNCTION("""COMPUTED_VALUE"""),"Ericson Core")</f>
        <v>Ericson Core</v>
      </c>
      <c r="D176" s="31">
        <f t="shared" si="1"/>
        <v>5.3</v>
      </c>
      <c r="E176" s="4">
        <f t="shared" si="2"/>
        <v>2</v>
      </c>
      <c r="F176" s="15"/>
      <c r="G176" s="4"/>
    </row>
    <row r="177" ht="14.25" customHeight="1">
      <c r="A177" s="8" t="s">
        <v>17</v>
      </c>
      <c r="B177" s="8">
        <v>7.2</v>
      </c>
      <c r="C177" s="4" t="str">
        <f>IFERROR(__xludf.DUMMYFUNCTION("""COMPUTED_VALUE"""),"Lawrence Guterman")</f>
        <v>Lawrence Guterman</v>
      </c>
      <c r="D177" s="31">
        <f t="shared" si="1"/>
        <v>3.7</v>
      </c>
      <c r="E177" s="4">
        <f t="shared" si="2"/>
        <v>2</v>
      </c>
      <c r="F177" s="15"/>
      <c r="G177" s="4"/>
    </row>
    <row r="178" ht="14.25" customHeight="1">
      <c r="A178" s="8" t="s">
        <v>341</v>
      </c>
      <c r="B178" s="8">
        <v>6.7</v>
      </c>
      <c r="C178" s="4" t="str">
        <f>IFERROR(__xludf.DUMMYFUNCTION("""COMPUTED_VALUE"""),"Ron Underwood")</f>
        <v>Ron Underwood</v>
      </c>
      <c r="D178" s="31">
        <f t="shared" si="1"/>
        <v>5.5</v>
      </c>
      <c r="E178" s="4">
        <f t="shared" si="2"/>
        <v>3</v>
      </c>
      <c r="F178" s="15"/>
      <c r="G178" s="4"/>
    </row>
    <row r="179" ht="14.25" customHeight="1">
      <c r="A179" s="8" t="s">
        <v>484</v>
      </c>
      <c r="B179" s="8">
        <v>8.1</v>
      </c>
      <c r="C179" s="4" t="str">
        <f>IFERROR(__xludf.DUMMYFUNCTION("""COMPUTED_VALUE"""),"Steve Martino")</f>
        <v>Steve Martino</v>
      </c>
      <c r="D179" s="31">
        <f t="shared" si="1"/>
        <v>6.9</v>
      </c>
      <c r="E179" s="4">
        <f t="shared" si="2"/>
        <v>2</v>
      </c>
      <c r="F179" s="15"/>
      <c r="G179" s="4"/>
    </row>
    <row r="180" ht="14.25" customHeight="1">
      <c r="A180" s="8" t="s">
        <v>488</v>
      </c>
      <c r="B180" s="8">
        <v>7.6</v>
      </c>
      <c r="C180" s="4" t="str">
        <f>IFERROR(__xludf.DUMMYFUNCTION("""COMPUTED_VALUE"""),"David Mamet")</f>
        <v>David Mamet</v>
      </c>
      <c r="D180" s="31">
        <f t="shared" si="1"/>
        <v>7.05</v>
      </c>
      <c r="E180" s="4">
        <f t="shared" si="2"/>
        <v>2</v>
      </c>
      <c r="F180" s="15"/>
      <c r="G180" s="4"/>
    </row>
    <row r="181" ht="14.25" customHeight="1">
      <c r="A181" s="8" t="s">
        <v>490</v>
      </c>
      <c r="B181" s="8">
        <v>7.4</v>
      </c>
      <c r="C181" s="4" t="str">
        <f>IFERROR(__xludf.DUMMYFUNCTION("""COMPUTED_VALUE"""),"Yimou Zhang")</f>
        <v>Yimou Zhang</v>
      </c>
      <c r="D181" s="31">
        <f t="shared" si="1"/>
        <v>7.525</v>
      </c>
      <c r="E181" s="4">
        <f t="shared" si="2"/>
        <v>4</v>
      </c>
      <c r="F181" s="15"/>
      <c r="G181" s="4"/>
    </row>
    <row r="182" ht="14.25" customHeight="1">
      <c r="A182" s="8" t="s">
        <v>297</v>
      </c>
      <c r="B182" s="8">
        <v>7.6</v>
      </c>
      <c r="C182" s="4" t="str">
        <f>IFERROR(__xludf.DUMMYFUNCTION("""COMPUTED_VALUE"""),"Ash Brannon")</f>
        <v>Ash Brannon</v>
      </c>
      <c r="D182" s="31">
        <f t="shared" si="1"/>
        <v>6.8</v>
      </c>
      <c r="E182" s="4">
        <f t="shared" si="2"/>
        <v>1</v>
      </c>
      <c r="F182" s="15"/>
      <c r="G182" s="4"/>
    </row>
    <row r="183" ht="14.25" customHeight="1">
      <c r="A183" s="8" t="s">
        <v>494</v>
      </c>
      <c r="B183" s="8">
        <v>6.7</v>
      </c>
      <c r="C183" s="4" t="str">
        <f>IFERROR(__xludf.DUMMYFUNCTION("""COMPUTED_VALUE"""),"Frank Oz")</f>
        <v>Frank Oz</v>
      </c>
      <c r="D183" s="31">
        <f t="shared" si="1"/>
        <v>6.414285714</v>
      </c>
      <c r="E183" s="4">
        <f t="shared" si="2"/>
        <v>7</v>
      </c>
      <c r="F183" s="15"/>
      <c r="G183" s="4"/>
    </row>
    <row r="184" ht="14.25" customHeight="1">
      <c r="A184" s="8" t="s">
        <v>168</v>
      </c>
      <c r="B184" s="8">
        <v>6.5</v>
      </c>
      <c r="C184" s="4" t="str">
        <f>IFERROR(__xludf.DUMMYFUNCTION("""COMPUTED_VALUE"""),"Jay Roach")</f>
        <v>Jay Roach</v>
      </c>
      <c r="D184" s="31">
        <f t="shared" si="1"/>
        <v>6.571428571</v>
      </c>
      <c r="E184" s="4">
        <f t="shared" si="2"/>
        <v>7</v>
      </c>
      <c r="F184" s="15"/>
      <c r="G184" s="4"/>
    </row>
    <row r="185" ht="14.25" customHeight="1">
      <c r="A185" s="8" t="s">
        <v>121</v>
      </c>
      <c r="B185" s="8">
        <v>6.6</v>
      </c>
      <c r="C185" s="4" t="str">
        <f>IFERROR(__xludf.DUMMYFUNCTION("""COMPUTED_VALUE"""),"Luc Besson")</f>
        <v>Luc Besson</v>
      </c>
      <c r="D185" s="31">
        <f t="shared" si="1"/>
        <v>6.625</v>
      </c>
      <c r="E185" s="4">
        <f t="shared" si="2"/>
        <v>4</v>
      </c>
      <c r="F185" s="15"/>
      <c r="G185" s="4"/>
    </row>
    <row r="186" ht="14.25" customHeight="1">
      <c r="A186" s="8" t="s">
        <v>308</v>
      </c>
      <c r="B186" s="8">
        <v>6.7</v>
      </c>
      <c r="C186" s="4" t="str">
        <f>IFERROR(__xludf.DUMMYFUNCTION("""COMPUTED_VALUE"""),"Michael Patrick King")</f>
        <v>Michael Patrick King</v>
      </c>
      <c r="D186" s="31">
        <f t="shared" si="1"/>
        <v>4.3</v>
      </c>
      <c r="E186" s="4">
        <f t="shared" si="2"/>
        <v>1</v>
      </c>
      <c r="F186" s="15"/>
      <c r="G186" s="4"/>
    </row>
    <row r="187" ht="14.25" customHeight="1">
      <c r="A187" s="8" t="s">
        <v>502</v>
      </c>
      <c r="B187" s="8">
        <v>6.4</v>
      </c>
      <c r="C187" s="4" t="str">
        <f>IFERROR(__xludf.DUMMYFUNCTION("""COMPUTED_VALUE"""),"Bibo Bergeron")</f>
        <v>Bibo Bergeron</v>
      </c>
      <c r="D187" s="31">
        <f t="shared" si="1"/>
        <v>6.45</v>
      </c>
      <c r="E187" s="4">
        <f t="shared" si="2"/>
        <v>2</v>
      </c>
      <c r="F187" s="15"/>
      <c r="G187" s="4"/>
    </row>
    <row r="188" ht="14.25" customHeight="1">
      <c r="A188" s="8" t="s">
        <v>505</v>
      </c>
      <c r="B188" s="8">
        <v>5.8</v>
      </c>
      <c r="C188" s="4" t="str">
        <f>IFERROR(__xludf.DUMMYFUNCTION("""COMPUTED_VALUE"""),"Sergey Bodrov")</f>
        <v>Sergey Bodrov</v>
      </c>
      <c r="D188" s="31">
        <f t="shared" si="1"/>
        <v>6.266666667</v>
      </c>
      <c r="E188" s="4">
        <f t="shared" si="2"/>
        <v>3</v>
      </c>
      <c r="F188" s="15"/>
      <c r="G188" s="4"/>
    </row>
    <row r="189" ht="14.25" customHeight="1">
      <c r="A189" s="8" t="s">
        <v>168</v>
      </c>
      <c r="B189" s="8">
        <v>7.4</v>
      </c>
      <c r="C189" s="4" t="str">
        <f>IFERROR(__xludf.DUMMYFUNCTION("""COMPUTED_VALUE"""),"Wally Pfister")</f>
        <v>Wally Pfister</v>
      </c>
      <c r="D189" s="31">
        <f t="shared" si="1"/>
        <v>6.3</v>
      </c>
      <c r="E189" s="4">
        <f t="shared" si="2"/>
        <v>1</v>
      </c>
      <c r="F189" s="15"/>
      <c r="G189" s="4"/>
    </row>
    <row r="190" ht="14.25" customHeight="1">
      <c r="A190" s="8" t="s">
        <v>510</v>
      </c>
      <c r="B190" s="8">
        <v>7.8</v>
      </c>
      <c r="C190" s="4" t="str">
        <f>IFERROR(__xludf.DUMMYFUNCTION("""COMPUTED_VALUE"""),"Rupert Wyatt")</f>
        <v>Rupert Wyatt</v>
      </c>
      <c r="D190" s="31">
        <f t="shared" si="1"/>
        <v>6.533333333</v>
      </c>
      <c r="E190" s="4">
        <f t="shared" si="2"/>
        <v>3</v>
      </c>
      <c r="F190" s="15"/>
      <c r="G190" s="4"/>
    </row>
    <row r="191" ht="14.25" customHeight="1">
      <c r="A191" s="8" t="s">
        <v>159</v>
      </c>
      <c r="B191" s="8">
        <v>6.6</v>
      </c>
      <c r="C191" s="4" t="str">
        <f>IFERROR(__xludf.DUMMYFUNCTION("""COMPUTED_VALUE"""),"Mark Waters")</f>
        <v>Mark Waters</v>
      </c>
      <c r="D191" s="31">
        <f t="shared" si="1"/>
        <v>6.3</v>
      </c>
      <c r="E191" s="4">
        <f t="shared" si="2"/>
        <v>6</v>
      </c>
      <c r="F191" s="15"/>
      <c r="G191" s="4"/>
    </row>
    <row r="192" ht="14.25" customHeight="1">
      <c r="A192" s="8" t="s">
        <v>387</v>
      </c>
      <c r="B192" s="8">
        <v>4.9</v>
      </c>
      <c r="C192" s="4" t="str">
        <f>IFERROR(__xludf.DUMMYFUNCTION("""COMPUTED_VALUE"""),"John Moore")</f>
        <v>John Moore</v>
      </c>
      <c r="D192" s="31">
        <f t="shared" si="1"/>
        <v>5.8</v>
      </c>
      <c r="E192" s="4">
        <f t="shared" si="2"/>
        <v>4</v>
      </c>
      <c r="F192" s="15"/>
      <c r="G192" s="4"/>
    </row>
    <row r="193" ht="14.25" customHeight="1">
      <c r="A193" s="8" t="s">
        <v>516</v>
      </c>
      <c r="B193" s="8">
        <v>6.5</v>
      </c>
      <c r="C193" s="4" t="str">
        <f>IFERROR(__xludf.DUMMYFUNCTION("""COMPUTED_VALUE"""),"John Lee Hancock")</f>
        <v>John Lee Hancock</v>
      </c>
      <c r="D193" s="31">
        <f t="shared" si="1"/>
        <v>7.05</v>
      </c>
      <c r="E193" s="4">
        <f t="shared" si="2"/>
        <v>4</v>
      </c>
      <c r="F193" s="15"/>
      <c r="G193" s="4"/>
    </row>
    <row r="194" ht="14.25" customHeight="1">
      <c r="A194" s="8" t="s">
        <v>345</v>
      </c>
      <c r="B194" s="8">
        <v>6.2</v>
      </c>
      <c r="C194" s="4" t="str">
        <f>IFERROR(__xludf.DUMMYFUNCTION("""COMPUTED_VALUE"""),"Renny Harlin")</f>
        <v>Renny Harlin</v>
      </c>
      <c r="D194" s="31">
        <f t="shared" si="1"/>
        <v>5.746666667</v>
      </c>
      <c r="E194" s="4">
        <f t="shared" si="2"/>
        <v>15</v>
      </c>
      <c r="F194" s="15"/>
      <c r="G194" s="4"/>
    </row>
    <row r="195" ht="14.25" customHeight="1">
      <c r="A195" s="8" t="s">
        <v>521</v>
      </c>
      <c r="B195" s="8">
        <v>7.3</v>
      </c>
      <c r="C195" s="4" t="str">
        <f>IFERROR(__xludf.DUMMYFUNCTION("""COMPUTED_VALUE"""),"Phil Lord")</f>
        <v>Phil Lord</v>
      </c>
      <c r="D195" s="31">
        <f t="shared" si="1"/>
        <v>7.275</v>
      </c>
      <c r="E195" s="4">
        <f t="shared" si="2"/>
        <v>4</v>
      </c>
      <c r="F195" s="15"/>
      <c r="G195" s="4"/>
    </row>
    <row r="196" ht="14.25" customHeight="1">
      <c r="A196" s="8" t="s">
        <v>524</v>
      </c>
      <c r="B196" s="8">
        <v>7.5</v>
      </c>
      <c r="C196" s="4" t="str">
        <f>IFERROR(__xludf.DUMMYFUNCTION("""COMPUTED_VALUE"""),"Ben Stiller")</f>
        <v>Ben Stiller</v>
      </c>
      <c r="D196" s="31">
        <f t="shared" si="1"/>
        <v>6.34</v>
      </c>
      <c r="E196" s="4">
        <f t="shared" si="2"/>
        <v>5</v>
      </c>
      <c r="F196" s="15"/>
      <c r="G196" s="4"/>
    </row>
    <row r="197" ht="14.25" customHeight="1">
      <c r="A197" s="8" t="s">
        <v>526</v>
      </c>
      <c r="B197" s="8">
        <v>5.6</v>
      </c>
      <c r="C197" s="4" t="str">
        <f>IFERROR(__xludf.DUMMYFUNCTION("""COMPUTED_VALUE"""),"Tony Bancroft")</f>
        <v>Tony Bancroft</v>
      </c>
      <c r="D197" s="31">
        <f t="shared" si="1"/>
        <v>7.5</v>
      </c>
      <c r="E197" s="4">
        <f t="shared" si="2"/>
        <v>1</v>
      </c>
      <c r="F197" s="15"/>
      <c r="G197" s="4"/>
    </row>
    <row r="198" ht="14.25" customHeight="1">
      <c r="A198" s="8" t="s">
        <v>17</v>
      </c>
      <c r="B198" s="8">
        <v>8.1</v>
      </c>
      <c r="C198" s="4" t="str">
        <f>IFERROR(__xludf.DUMMYFUNCTION("""COMPUTED_VALUE"""),"Walt Becker")</f>
        <v>Walt Becker</v>
      </c>
      <c r="D198" s="31">
        <f t="shared" si="1"/>
        <v>5.6</v>
      </c>
      <c r="E198" s="4">
        <f t="shared" si="2"/>
        <v>3</v>
      </c>
      <c r="F198" s="15"/>
      <c r="G198" s="4"/>
    </row>
    <row r="199" ht="14.25" customHeight="1">
      <c r="A199" s="8" t="s">
        <v>297</v>
      </c>
      <c r="B199" s="8">
        <v>6.7</v>
      </c>
      <c r="C199" s="4" t="str">
        <f>IFERROR(__xludf.DUMMYFUNCTION("""COMPUTED_VALUE"""),"Dennis Dugan")</f>
        <v>Dennis Dugan</v>
      </c>
      <c r="D199" s="31">
        <f t="shared" si="1"/>
        <v>5.733333333</v>
      </c>
      <c r="E199" s="4">
        <f t="shared" si="2"/>
        <v>9</v>
      </c>
      <c r="F199" s="15"/>
      <c r="G199" s="4"/>
    </row>
    <row r="200" ht="14.25" customHeight="1">
      <c r="A200" s="8" t="s">
        <v>361</v>
      </c>
      <c r="B200" s="8">
        <v>6.6</v>
      </c>
      <c r="C200" s="4" t="str">
        <f>IFERROR(__xludf.DUMMYFUNCTION("""COMPUTED_VALUE"""),"Sydney Pollack")</f>
        <v>Sydney Pollack</v>
      </c>
      <c r="D200" s="31">
        <f t="shared" si="1"/>
        <v>6.58</v>
      </c>
      <c r="E200" s="4">
        <f t="shared" si="2"/>
        <v>5</v>
      </c>
      <c r="F200" s="15"/>
      <c r="G200" s="4"/>
    </row>
    <row r="201" ht="14.25" customHeight="1">
      <c r="A201" s="8" t="s">
        <v>532</v>
      </c>
      <c r="B201" s="8">
        <v>6.4</v>
      </c>
      <c r="C201" s="4" t="str">
        <f>IFERROR(__xludf.DUMMYFUNCTION("""COMPUTED_VALUE"""),"Thor Freudenthal")</f>
        <v>Thor Freudenthal</v>
      </c>
      <c r="D201" s="31">
        <f t="shared" si="1"/>
        <v>5.833333333</v>
      </c>
      <c r="E201" s="4">
        <f t="shared" si="2"/>
        <v>3</v>
      </c>
      <c r="F201" s="15"/>
      <c r="G201" s="4"/>
    </row>
    <row r="202" ht="14.25" customHeight="1">
      <c r="A202" s="8" t="s">
        <v>51</v>
      </c>
      <c r="B202" s="8">
        <v>7.5</v>
      </c>
      <c r="C202" s="4" t="str">
        <f>IFERROR(__xludf.DUMMYFUNCTION("""COMPUTED_VALUE"""),"Brian De Palma")</f>
        <v>Brian De Palma</v>
      </c>
      <c r="D202" s="31">
        <f t="shared" si="1"/>
        <v>6.6</v>
      </c>
      <c r="E202" s="4">
        <f t="shared" si="2"/>
        <v>10</v>
      </c>
      <c r="F202" s="15"/>
      <c r="G202" s="4"/>
    </row>
    <row r="203" ht="14.25" customHeight="1">
      <c r="A203" s="8" t="s">
        <v>174</v>
      </c>
      <c r="B203" s="8">
        <v>7.3</v>
      </c>
      <c r="C203" s="4" t="str">
        <f>IFERROR(__xludf.DUMMYFUNCTION("""COMPUTED_VALUE"""),"Mick Jackson")</f>
        <v>Mick Jackson</v>
      </c>
      <c r="D203" s="31">
        <f t="shared" si="1"/>
        <v>5.75</v>
      </c>
      <c r="E203" s="4">
        <f t="shared" si="2"/>
        <v>2</v>
      </c>
      <c r="F203" s="15"/>
      <c r="G203" s="4"/>
    </row>
    <row r="204" ht="14.25" customHeight="1">
      <c r="A204" s="8" t="s">
        <v>538</v>
      </c>
      <c r="B204" s="8">
        <v>7.5</v>
      </c>
      <c r="C204" s="4" t="str">
        <f>IFERROR(__xludf.DUMMYFUNCTION("""COMPUTED_VALUE"""),"Alan J. Pakula")</f>
        <v>Alan J. Pakula</v>
      </c>
      <c r="D204" s="31">
        <f t="shared" si="1"/>
        <v>6.3</v>
      </c>
      <c r="E204" s="4">
        <f t="shared" si="2"/>
        <v>2</v>
      </c>
      <c r="F204" s="15"/>
      <c r="G204" s="4"/>
    </row>
    <row r="205" ht="14.25" customHeight="1">
      <c r="A205" s="8" t="s">
        <v>472</v>
      </c>
      <c r="B205" s="8">
        <v>5.8</v>
      </c>
      <c r="C205" s="4" t="str">
        <f>IFERROR(__xludf.DUMMYFUNCTION("""COMPUTED_VALUE"""),"Kathryn Bigelow")</f>
        <v>Kathryn Bigelow</v>
      </c>
      <c r="D205" s="31">
        <f t="shared" si="1"/>
        <v>7.233333333</v>
      </c>
      <c r="E205" s="4">
        <f t="shared" si="2"/>
        <v>3</v>
      </c>
      <c r="F205" s="15"/>
      <c r="G205" s="4"/>
    </row>
    <row r="206" ht="14.25" customHeight="1">
      <c r="A206" s="8" t="s">
        <v>542</v>
      </c>
      <c r="B206" s="8">
        <v>7.5</v>
      </c>
      <c r="C206" s="4" t="str">
        <f>IFERROR(__xludf.DUMMYFUNCTION("""COMPUTED_VALUE"""),"John Milius")</f>
        <v>John Milius</v>
      </c>
      <c r="D206" s="31">
        <f t="shared" si="1"/>
        <v>6.5</v>
      </c>
      <c r="E206" s="4">
        <f t="shared" si="2"/>
        <v>3</v>
      </c>
      <c r="F206" s="15"/>
      <c r="G206" s="4"/>
    </row>
    <row r="207" ht="14.25" customHeight="1">
      <c r="A207" s="8" t="s">
        <v>545</v>
      </c>
      <c r="B207" s="8">
        <v>6.6</v>
      </c>
      <c r="C207" s="4" t="str">
        <f>IFERROR(__xludf.DUMMYFUNCTION("""COMPUTED_VALUE"""),"Andrey Konchalovskiy")</f>
        <v>Andrey Konchalovskiy</v>
      </c>
      <c r="D207" s="31">
        <f t="shared" si="1"/>
        <v>5.35</v>
      </c>
      <c r="E207" s="4">
        <f t="shared" si="2"/>
        <v>2</v>
      </c>
      <c r="F207" s="15"/>
      <c r="G207" s="4"/>
    </row>
    <row r="208" ht="14.25" customHeight="1">
      <c r="A208" s="8" t="s">
        <v>549</v>
      </c>
      <c r="B208" s="8">
        <v>6.7</v>
      </c>
      <c r="C208" s="4" t="str">
        <f>IFERROR(__xludf.DUMMYFUNCTION("""COMPUTED_VALUE"""),"Gary Ross")</f>
        <v>Gary Ross</v>
      </c>
      <c r="D208" s="31">
        <f t="shared" si="1"/>
        <v>7.1</v>
      </c>
      <c r="E208" s="4">
        <f t="shared" si="2"/>
        <v>3</v>
      </c>
      <c r="F208" s="15"/>
      <c r="G208" s="4"/>
    </row>
    <row r="209" ht="14.25" customHeight="1">
      <c r="A209" s="8" t="s">
        <v>552</v>
      </c>
      <c r="B209" s="8">
        <v>3.7</v>
      </c>
      <c r="C209" s="4" t="str">
        <f>IFERROR(__xludf.DUMMYFUNCTION("""COMPUTED_VALUE"""),"Paul W.S. Anderson")</f>
        <v>Paul W.S. Anderson</v>
      </c>
      <c r="D209" s="31">
        <f t="shared" si="1"/>
        <v>5.99</v>
      </c>
      <c r="E209" s="4">
        <f t="shared" si="2"/>
        <v>10</v>
      </c>
      <c r="F209" s="15"/>
      <c r="G209" s="4"/>
    </row>
    <row r="210" ht="14.25" customHeight="1">
      <c r="A210" s="8" t="s">
        <v>361</v>
      </c>
      <c r="B210" s="8">
        <v>6.0</v>
      </c>
      <c r="C210" s="4" t="str">
        <f>IFERROR(__xludf.DUMMYFUNCTION("""COMPUTED_VALUE"""),"Genndy Tartakovsky")</f>
        <v>Genndy Tartakovsky</v>
      </c>
      <c r="D210" s="31">
        <f t="shared" si="1"/>
        <v>6.9</v>
      </c>
      <c r="E210" s="4">
        <f t="shared" si="2"/>
        <v>2</v>
      </c>
      <c r="F210" s="15"/>
      <c r="G210" s="4"/>
    </row>
    <row r="211" ht="14.25" customHeight="1">
      <c r="A211" s="8" t="s">
        <v>183</v>
      </c>
      <c r="B211" s="8">
        <v>6.4</v>
      </c>
      <c r="C211" s="4" t="str">
        <f>IFERROR(__xludf.DUMMYFUNCTION("""COMPUTED_VALUE"""),"Kevin Lima")</f>
        <v>Kevin Lima</v>
      </c>
      <c r="D211" s="31">
        <f t="shared" si="1"/>
        <v>5.95</v>
      </c>
      <c r="E211" s="4">
        <f t="shared" si="2"/>
        <v>2</v>
      </c>
      <c r="F211" s="15"/>
      <c r="G211" s="4"/>
    </row>
    <row r="212" ht="14.25" customHeight="1">
      <c r="A212" s="8" t="s">
        <v>559</v>
      </c>
      <c r="B212" s="8">
        <v>6.1</v>
      </c>
      <c r="C212" s="4" t="str">
        <f>IFERROR(__xludf.DUMMYFUNCTION("""COMPUTED_VALUE"""),"Daniel Espinosa")</f>
        <v>Daniel Espinosa</v>
      </c>
      <c r="D212" s="31">
        <f t="shared" si="1"/>
        <v>6.6</v>
      </c>
      <c r="E212" s="4">
        <f t="shared" si="2"/>
        <v>2</v>
      </c>
      <c r="F212" s="15"/>
      <c r="G212" s="4"/>
    </row>
    <row r="213" ht="14.25" customHeight="1">
      <c r="A213" s="8" t="s">
        <v>303</v>
      </c>
      <c r="B213" s="8">
        <v>6.4</v>
      </c>
      <c r="C213" s="4" t="str">
        <f>IFERROR(__xludf.DUMMYFUNCTION("""COMPUTED_VALUE"""),"Nancy Meyers")</f>
        <v>Nancy Meyers</v>
      </c>
      <c r="D213" s="31">
        <f t="shared" si="1"/>
        <v>6.76</v>
      </c>
      <c r="E213" s="4">
        <f t="shared" si="2"/>
        <v>5</v>
      </c>
      <c r="F213" s="15"/>
      <c r="G213" s="4"/>
    </row>
    <row r="214" ht="14.25" customHeight="1">
      <c r="A214" s="8" t="s">
        <v>563</v>
      </c>
      <c r="B214" s="8">
        <v>5.6</v>
      </c>
      <c r="C214" s="4" t="str">
        <f>IFERROR(__xludf.DUMMYFUNCTION("""COMPUTED_VALUE"""),"Roger Allers")</f>
        <v>Roger Allers</v>
      </c>
      <c r="D214" s="31">
        <f t="shared" si="1"/>
        <v>7.35</v>
      </c>
      <c r="E214" s="4">
        <f t="shared" si="2"/>
        <v>2</v>
      </c>
      <c r="F214" s="15"/>
      <c r="G214" s="4"/>
    </row>
    <row r="215" ht="14.25" customHeight="1">
      <c r="A215" s="8" t="s">
        <v>448</v>
      </c>
      <c r="B215" s="8">
        <v>8.0</v>
      </c>
      <c r="C215" s="4" t="str">
        <f>IFERROR(__xludf.DUMMYFUNCTION("""COMPUTED_VALUE"""),"Neil Burger")</f>
        <v>Neil Burger</v>
      </c>
      <c r="D215" s="31">
        <f t="shared" si="1"/>
        <v>6.975</v>
      </c>
      <c r="E215" s="4">
        <f t="shared" si="2"/>
        <v>4</v>
      </c>
      <c r="F215" s="15"/>
      <c r="G215" s="4"/>
    </row>
    <row r="216" ht="14.25" customHeight="1">
      <c r="A216" s="8" t="s">
        <v>568</v>
      </c>
      <c r="B216" s="8">
        <v>5.2</v>
      </c>
      <c r="C216" s="4" t="str">
        <f>IFERROR(__xludf.DUMMYFUNCTION("""COMPUTED_VALUE"""),"Jean-Jacques Annaud")</f>
        <v>Jean-Jacques Annaud</v>
      </c>
      <c r="D216" s="31">
        <f t="shared" si="1"/>
        <v>7.233333333</v>
      </c>
      <c r="E216" s="4">
        <f t="shared" si="2"/>
        <v>3</v>
      </c>
      <c r="F216" s="15"/>
      <c r="G216" s="4"/>
    </row>
    <row r="217" ht="14.25" customHeight="1">
      <c r="A217" s="8" t="s">
        <v>484</v>
      </c>
      <c r="B217" s="8">
        <v>7.1</v>
      </c>
      <c r="C217" s="4" t="str">
        <f>IFERROR(__xludf.DUMMYFUNCTION("""COMPUTED_VALUE"""),"Sarah Smith")</f>
        <v>Sarah Smith</v>
      </c>
      <c r="D217" s="31">
        <f t="shared" si="1"/>
        <v>7.1</v>
      </c>
      <c r="E217" s="4">
        <f t="shared" si="2"/>
        <v>1</v>
      </c>
      <c r="F217" s="15"/>
      <c r="G217" s="4"/>
    </row>
    <row r="218" ht="14.25" customHeight="1">
      <c r="A218" s="8" t="s">
        <v>142</v>
      </c>
      <c r="B218" s="8">
        <v>4.8</v>
      </c>
      <c r="C218" s="4" t="str">
        <f>IFERROR(__xludf.DUMMYFUNCTION("""COMPUTED_VALUE"""),"Martin Brest")</f>
        <v>Martin Brest</v>
      </c>
      <c r="D218" s="31">
        <f t="shared" si="1"/>
        <v>6.1</v>
      </c>
      <c r="E218" s="4">
        <f t="shared" si="2"/>
        <v>4</v>
      </c>
      <c r="F218" s="15"/>
      <c r="G218" s="4"/>
    </row>
    <row r="219" ht="14.25" customHeight="1">
      <c r="A219" s="8" t="s">
        <v>80</v>
      </c>
      <c r="B219" s="8">
        <v>7.0</v>
      </c>
      <c r="C219" s="4" t="str">
        <f>IFERROR(__xludf.DUMMYFUNCTION("""COMPUTED_VALUE"""),"Andrew Davis")</f>
        <v>Andrew Davis</v>
      </c>
      <c r="D219" s="31">
        <f t="shared" si="1"/>
        <v>6.5</v>
      </c>
      <c r="E219" s="4">
        <f t="shared" si="2"/>
        <v>4</v>
      </c>
      <c r="F219" s="15"/>
      <c r="G219" s="4"/>
    </row>
    <row r="220" ht="14.25" customHeight="1">
      <c r="A220" s="8" t="s">
        <v>401</v>
      </c>
      <c r="B220" s="8">
        <v>5.4</v>
      </c>
      <c r="C220" s="4" t="str">
        <f>IFERROR(__xludf.DUMMYFUNCTION("""COMPUTED_VALUE"""),"Tarsem Singh")</f>
        <v>Tarsem Singh</v>
      </c>
      <c r="D220" s="31">
        <f t="shared" si="1"/>
        <v>6.125</v>
      </c>
      <c r="E220" s="4">
        <f t="shared" si="2"/>
        <v>4</v>
      </c>
      <c r="F220" s="15"/>
      <c r="G220" s="4"/>
    </row>
    <row r="221" ht="14.25" customHeight="1">
      <c r="A221" s="8" t="s">
        <v>580</v>
      </c>
      <c r="B221" s="8">
        <v>6.6</v>
      </c>
      <c r="C221" s="4" t="str">
        <f>IFERROR(__xludf.DUMMYFUNCTION("""COMPUTED_VALUE"""),"Edgar Wright")</f>
        <v>Edgar Wright</v>
      </c>
      <c r="D221" s="31">
        <f t="shared" si="1"/>
        <v>7.6</v>
      </c>
      <c r="E221" s="4">
        <f t="shared" si="2"/>
        <v>4</v>
      </c>
      <c r="F221" s="15"/>
      <c r="G221" s="4"/>
    </row>
    <row r="222" ht="14.25" customHeight="1">
      <c r="A222" s="8" t="s">
        <v>583</v>
      </c>
      <c r="B222" s="8">
        <v>6.7</v>
      </c>
      <c r="C222" s="4" t="str">
        <f>IFERROR(__xludf.DUMMYFUNCTION("""COMPUTED_VALUE"""),"Jon Amiel")</f>
        <v>Jon Amiel</v>
      </c>
      <c r="D222" s="31">
        <f t="shared" si="1"/>
        <v>6.2</v>
      </c>
      <c r="E222" s="4">
        <f t="shared" si="2"/>
        <v>4</v>
      </c>
      <c r="F222" s="15"/>
      <c r="G222" s="4"/>
    </row>
    <row r="223" ht="14.25" customHeight="1">
      <c r="A223" s="8" t="s">
        <v>586</v>
      </c>
      <c r="B223" s="8">
        <v>6.2</v>
      </c>
      <c r="C223" s="4" t="str">
        <f>IFERROR(__xludf.DUMMYFUNCTION("""COMPUTED_VALUE"""),"Peter Segal")</f>
        <v>Peter Segal</v>
      </c>
      <c r="D223" s="31">
        <f t="shared" si="1"/>
        <v>6.185714286</v>
      </c>
      <c r="E223" s="4">
        <f t="shared" si="2"/>
        <v>7</v>
      </c>
      <c r="F223" s="15"/>
      <c r="G223" s="4"/>
    </row>
    <row r="224" ht="14.25" customHeight="1">
      <c r="A224" s="8" t="s">
        <v>190</v>
      </c>
      <c r="B224" s="8">
        <v>6.1</v>
      </c>
      <c r="C224" s="4" t="str">
        <f>IFERROR(__xludf.DUMMYFUNCTION("""COMPUTED_VALUE"""),"Pete Travis")</f>
        <v>Pete Travis</v>
      </c>
      <c r="D224" s="31">
        <f t="shared" si="1"/>
        <v>6.933333333</v>
      </c>
      <c r="E224" s="4">
        <f t="shared" si="2"/>
        <v>3</v>
      </c>
      <c r="F224" s="15"/>
      <c r="G224" s="4"/>
    </row>
    <row r="225" ht="14.25" customHeight="1">
      <c r="A225" s="8" t="s">
        <v>592</v>
      </c>
      <c r="B225" s="8">
        <v>5.3</v>
      </c>
      <c r="C225" s="4" t="str">
        <f>IFERROR(__xludf.DUMMYFUNCTION("""COMPUTED_VALUE"""),"Sylvester Stallone")</f>
        <v>Sylvester Stallone</v>
      </c>
      <c r="D225" s="31">
        <f t="shared" si="1"/>
        <v>6.85</v>
      </c>
      <c r="E225" s="4">
        <f t="shared" si="2"/>
        <v>2</v>
      </c>
      <c r="F225" s="15"/>
      <c r="G225" s="4"/>
    </row>
    <row r="226" ht="14.25" customHeight="1">
      <c r="A226" s="8" t="s">
        <v>596</v>
      </c>
      <c r="B226" s="8">
        <v>6.3</v>
      </c>
      <c r="C226" s="4" t="str">
        <f>IFERROR(__xludf.DUMMYFUNCTION("""COMPUTED_VALUE"""),"Todd Phillips")</f>
        <v>Todd Phillips</v>
      </c>
      <c r="D226" s="31">
        <f t="shared" si="1"/>
        <v>6.657142857</v>
      </c>
      <c r="E226" s="4">
        <f t="shared" si="2"/>
        <v>7</v>
      </c>
      <c r="F226" s="15"/>
      <c r="G226" s="4"/>
    </row>
    <row r="227" ht="14.25" customHeight="1">
      <c r="A227" s="8" t="s">
        <v>129</v>
      </c>
      <c r="B227" s="8">
        <v>7.0</v>
      </c>
      <c r="C227" s="4" t="str">
        <f>IFERROR(__xludf.DUMMYFUNCTION("""COMPUTED_VALUE"""),"Mimi Leder")</f>
        <v>Mimi Leder</v>
      </c>
      <c r="D227" s="31">
        <f t="shared" si="1"/>
        <v>6.4</v>
      </c>
      <c r="E227" s="4">
        <f t="shared" si="2"/>
        <v>3</v>
      </c>
      <c r="F227" s="15"/>
      <c r="G227" s="4"/>
    </row>
    <row r="228" ht="14.25" customHeight="1">
      <c r="A228" s="8" t="s">
        <v>602</v>
      </c>
      <c r="B228" s="8">
        <v>7.6</v>
      </c>
      <c r="C228" s="4" t="str">
        <f>IFERROR(__xludf.DUMMYFUNCTION("""COMPUTED_VALUE"""),"Seth Gordon")</f>
        <v>Seth Gordon</v>
      </c>
      <c r="D228" s="31">
        <f t="shared" si="1"/>
        <v>6.066666667</v>
      </c>
      <c r="E228" s="4">
        <f t="shared" si="2"/>
        <v>3</v>
      </c>
      <c r="F228" s="15"/>
      <c r="G228" s="4"/>
    </row>
    <row r="229" ht="14.25" customHeight="1">
      <c r="A229" s="8" t="s">
        <v>602</v>
      </c>
      <c r="B229" s="8">
        <v>6.7</v>
      </c>
      <c r="C229" s="4" t="str">
        <f>IFERROR(__xludf.DUMMYFUNCTION("""COMPUTED_VALUE"""),"Adam Shankman")</f>
        <v>Adam Shankman</v>
      </c>
      <c r="D229" s="31">
        <f t="shared" si="1"/>
        <v>5.9625</v>
      </c>
      <c r="E229" s="4">
        <f t="shared" si="2"/>
        <v>8</v>
      </c>
      <c r="F229" s="15"/>
      <c r="G229" s="4"/>
    </row>
    <row r="230" ht="14.25" customHeight="1">
      <c r="A230" s="8" t="s">
        <v>199</v>
      </c>
      <c r="B230" s="8">
        <v>8.1</v>
      </c>
      <c r="C230" s="4" t="str">
        <f>IFERROR(__xludf.DUMMYFUNCTION("""COMPUTED_VALUE"""),"D.J. Caruso")</f>
        <v>D.J. Caruso</v>
      </c>
      <c r="D230" s="31">
        <f t="shared" si="1"/>
        <v>6.74</v>
      </c>
      <c r="E230" s="4">
        <f t="shared" si="2"/>
        <v>5</v>
      </c>
      <c r="F230" s="15"/>
      <c r="G230" s="4"/>
    </row>
    <row r="231" ht="14.25" customHeight="1">
      <c r="A231" s="8" t="s">
        <v>596</v>
      </c>
      <c r="B231" s="8">
        <v>6.7</v>
      </c>
      <c r="C231" s="4" t="str">
        <f>IFERROR(__xludf.DUMMYFUNCTION("""COMPUTED_VALUE"""),"Anthony Minghella")</f>
        <v>Anthony Minghella</v>
      </c>
      <c r="D231" s="31">
        <f t="shared" si="1"/>
        <v>7.3</v>
      </c>
      <c r="E231" s="4">
        <f t="shared" si="2"/>
        <v>3</v>
      </c>
      <c r="F231" s="15"/>
      <c r="G231" s="4"/>
    </row>
    <row r="232" ht="14.25" customHeight="1">
      <c r="A232" s="8" t="s">
        <v>602</v>
      </c>
      <c r="B232" s="8">
        <v>6.5</v>
      </c>
      <c r="C232" s="4" t="str">
        <f>IFERROR(__xludf.DUMMYFUNCTION("""COMPUTED_VALUE"""),"Albert Hughes")</f>
        <v>Albert Hughes</v>
      </c>
      <c r="D232" s="31">
        <f t="shared" si="1"/>
        <v>7.066666667</v>
      </c>
      <c r="E232" s="4">
        <f t="shared" si="2"/>
        <v>3</v>
      </c>
      <c r="F232" s="15"/>
      <c r="G232" s="4"/>
    </row>
    <row r="233" ht="14.25" customHeight="1">
      <c r="A233" s="8" t="s">
        <v>609</v>
      </c>
      <c r="B233" s="8">
        <v>7.3</v>
      </c>
      <c r="C233" s="4" t="str">
        <f>IFERROR(__xludf.DUMMYFUNCTION("""COMPUTED_VALUE"""),"Les Mayfield")</f>
        <v>Les Mayfield</v>
      </c>
      <c r="D233" s="31">
        <f t="shared" si="1"/>
        <v>5.5</v>
      </c>
      <c r="E233" s="4">
        <f t="shared" si="2"/>
        <v>5</v>
      </c>
      <c r="F233" s="15"/>
      <c r="G233" s="4"/>
    </row>
    <row r="234" ht="14.25" customHeight="1">
      <c r="A234" s="8" t="s">
        <v>559</v>
      </c>
      <c r="B234" s="8">
        <v>6.0</v>
      </c>
      <c r="C234" s="4" t="str">
        <f>IFERROR(__xludf.DUMMYFUNCTION("""COMPUTED_VALUE"""),"Joe Pytka")</f>
        <v>Joe Pytka</v>
      </c>
      <c r="D234" s="31">
        <f t="shared" si="1"/>
        <v>6.3</v>
      </c>
      <c r="E234" s="4">
        <f t="shared" si="2"/>
        <v>1</v>
      </c>
      <c r="F234" s="15"/>
      <c r="G234" s="4"/>
    </row>
    <row r="235" ht="14.25" customHeight="1">
      <c r="A235" s="8" t="s">
        <v>613</v>
      </c>
      <c r="B235" s="8">
        <v>6.1</v>
      </c>
      <c r="C235" s="4" t="str">
        <f>IFERROR(__xludf.DUMMYFUNCTION("""COMPUTED_VALUE"""),"Scott Derrickson")</f>
        <v>Scott Derrickson</v>
      </c>
      <c r="D235" s="31">
        <f t="shared" si="1"/>
        <v>6.14</v>
      </c>
      <c r="E235" s="4">
        <f t="shared" si="2"/>
        <v>5</v>
      </c>
      <c r="F235" s="15"/>
      <c r="G235" s="4"/>
    </row>
    <row r="236" ht="14.25" customHeight="1">
      <c r="A236" s="8" t="s">
        <v>373</v>
      </c>
      <c r="B236" s="8">
        <v>5.9</v>
      </c>
      <c r="C236" s="4" t="str">
        <f>IFERROR(__xludf.DUMMYFUNCTION("""COMPUTED_VALUE"""),"Ivan Reitman")</f>
        <v>Ivan Reitman</v>
      </c>
      <c r="D236" s="31">
        <f t="shared" si="1"/>
        <v>6.075</v>
      </c>
      <c r="E236" s="4">
        <f t="shared" si="2"/>
        <v>8</v>
      </c>
      <c r="F236" s="15"/>
      <c r="G236" s="4"/>
    </row>
    <row r="237" ht="14.25" customHeight="1">
      <c r="A237" s="8" t="s">
        <v>510</v>
      </c>
      <c r="B237" s="8">
        <v>7.8</v>
      </c>
      <c r="C237" s="4" t="str">
        <f>IFERROR(__xludf.DUMMYFUNCTION("""COMPUTED_VALUE"""),"Eric Brevig")</f>
        <v>Eric Brevig</v>
      </c>
      <c r="D237" s="31">
        <f t="shared" si="1"/>
        <v>5.2</v>
      </c>
      <c r="E237" s="4">
        <f t="shared" si="2"/>
        <v>2</v>
      </c>
      <c r="F237" s="15"/>
      <c r="G237" s="4"/>
    </row>
    <row r="238" ht="14.25" customHeight="1">
      <c r="A238" s="8" t="s">
        <v>620</v>
      </c>
      <c r="B238" s="8">
        <v>5.8</v>
      </c>
      <c r="C238" s="4" t="str">
        <f>IFERROR(__xludf.DUMMYFUNCTION("""COMPUTED_VALUE"""),"Kelly Asbury")</f>
        <v>Kelly Asbury</v>
      </c>
      <c r="D238" s="31">
        <f t="shared" si="1"/>
        <v>7</v>
      </c>
      <c r="E238" s="4">
        <f t="shared" si="2"/>
        <v>1</v>
      </c>
      <c r="F238" s="15"/>
      <c r="G238" s="4"/>
    </row>
    <row r="239" ht="14.25" customHeight="1">
      <c r="A239" s="8" t="s">
        <v>623</v>
      </c>
      <c r="B239" s="8">
        <v>6.3</v>
      </c>
      <c r="C239" s="4" t="str">
        <f>IFERROR(__xludf.DUMMYFUNCTION("""COMPUTED_VALUE"""),"Stephen Hopkins")</f>
        <v>Stephen Hopkins</v>
      </c>
      <c r="D239" s="31">
        <f t="shared" si="1"/>
        <v>5.78</v>
      </c>
      <c r="E239" s="4">
        <f t="shared" si="2"/>
        <v>5</v>
      </c>
      <c r="F239" s="15"/>
      <c r="G239" s="4"/>
    </row>
    <row r="240" ht="14.25" customHeight="1">
      <c r="A240" s="8" t="s">
        <v>626</v>
      </c>
      <c r="B240" s="8">
        <v>4.3</v>
      </c>
      <c r="C240" s="4" t="str">
        <f>IFERROR(__xludf.DUMMYFUNCTION("""COMPUTED_VALUE"""),"Jonathan Demme")</f>
        <v>Jonathan Demme</v>
      </c>
      <c r="D240" s="31">
        <f t="shared" si="1"/>
        <v>7.2</v>
      </c>
      <c r="E240" s="4">
        <f t="shared" si="2"/>
        <v>4</v>
      </c>
      <c r="F240" s="15"/>
      <c r="G240" s="4"/>
    </row>
    <row r="241" ht="14.25" customHeight="1">
      <c r="A241" s="8" t="s">
        <v>345</v>
      </c>
      <c r="B241" s="8">
        <v>6.4</v>
      </c>
      <c r="C241" s="4" t="str">
        <f>IFERROR(__xludf.DUMMYFUNCTION("""COMPUTED_VALUE"""),"James Algar")</f>
        <v>James Algar</v>
      </c>
      <c r="D241" s="31">
        <f t="shared" si="1"/>
        <v>7.55</v>
      </c>
      <c r="E241" s="4">
        <f t="shared" si="2"/>
        <v>2</v>
      </c>
      <c r="F241" s="15"/>
      <c r="G241" s="4"/>
    </row>
    <row r="242" ht="14.25" customHeight="1">
      <c r="A242" s="8" t="s">
        <v>631</v>
      </c>
      <c r="B242" s="8">
        <v>6.1</v>
      </c>
      <c r="C242" s="4" t="str">
        <f>IFERROR(__xludf.DUMMYFUNCTION("""COMPUTED_VALUE"""),"Vincent Ward")</f>
        <v>Vincent Ward</v>
      </c>
      <c r="D242" s="31">
        <f t="shared" si="1"/>
        <v>7</v>
      </c>
      <c r="E242" s="4">
        <f t="shared" si="2"/>
        <v>1</v>
      </c>
      <c r="F242" s="15"/>
      <c r="G242" s="4"/>
    </row>
    <row r="243" ht="14.25" customHeight="1">
      <c r="A243" s="8" t="s">
        <v>634</v>
      </c>
      <c r="B243" s="8">
        <v>6.5</v>
      </c>
      <c r="C243" s="4" t="str">
        <f>IFERROR(__xludf.DUMMYFUNCTION("""COMPUTED_VALUE"""),"Steven Brill")</f>
        <v>Steven Brill</v>
      </c>
      <c r="D243" s="31">
        <f t="shared" si="1"/>
        <v>5.675</v>
      </c>
      <c r="E243" s="4">
        <f t="shared" si="2"/>
        <v>4</v>
      </c>
      <c r="F243" s="15"/>
      <c r="G243" s="4"/>
    </row>
    <row r="244" ht="14.25" customHeight="1">
      <c r="A244" s="8" t="s">
        <v>183</v>
      </c>
      <c r="B244" s="8">
        <v>7.1</v>
      </c>
      <c r="C244" s="4" t="str">
        <f>IFERROR(__xludf.DUMMYFUNCTION("""COMPUTED_VALUE"""),"Terry Gilliam")</f>
        <v>Terry Gilliam</v>
      </c>
      <c r="D244" s="31">
        <f t="shared" si="1"/>
        <v>7.328571429</v>
      </c>
      <c r="E244" s="4">
        <f t="shared" si="2"/>
        <v>7</v>
      </c>
      <c r="F244" s="15"/>
      <c r="G244" s="4"/>
    </row>
    <row r="245" ht="14.25" customHeight="1">
      <c r="A245" s="8" t="s">
        <v>639</v>
      </c>
      <c r="B245" s="8">
        <v>6.4</v>
      </c>
      <c r="C245" s="4" t="str">
        <f>IFERROR(__xludf.DUMMYFUNCTION("""COMPUTED_VALUE"""),"Barry Cook")</f>
        <v>Barry Cook</v>
      </c>
      <c r="D245" s="31">
        <f t="shared" si="1"/>
        <v>5.2</v>
      </c>
      <c r="E245" s="4">
        <f t="shared" si="2"/>
        <v>1</v>
      </c>
      <c r="F245" s="15"/>
      <c r="G245" s="4"/>
    </row>
    <row r="246" ht="14.25" customHeight="1">
      <c r="A246" s="8" t="s">
        <v>225</v>
      </c>
      <c r="B246" s="8">
        <v>6.5</v>
      </c>
      <c r="C246" s="4" t="str">
        <f>IFERROR(__xludf.DUMMYFUNCTION("""COMPUTED_VALUE"""),"Roger Christian")</f>
        <v>Roger Christian</v>
      </c>
      <c r="D246" s="31">
        <f t="shared" si="1"/>
        <v>2.4</v>
      </c>
      <c r="E246" s="4">
        <f t="shared" si="2"/>
        <v>1</v>
      </c>
      <c r="F246" s="15"/>
      <c r="G246" s="4"/>
    </row>
    <row r="247" ht="14.25" customHeight="1">
      <c r="A247" s="8" t="s">
        <v>526</v>
      </c>
      <c r="B247" s="8">
        <v>6.3</v>
      </c>
      <c r="C247" s="4" t="str">
        <f>IFERROR(__xludf.DUMMYFUNCTION("""COMPUTED_VALUE"""),"Joe Dante")</f>
        <v>Joe Dante</v>
      </c>
      <c r="D247" s="31">
        <f t="shared" si="1"/>
        <v>6.4</v>
      </c>
      <c r="E247" s="4">
        <f t="shared" si="2"/>
        <v>6</v>
      </c>
      <c r="F247" s="15"/>
      <c r="G247" s="4"/>
    </row>
    <row r="248" ht="14.25" customHeight="1">
      <c r="A248" s="8" t="s">
        <v>208</v>
      </c>
      <c r="B248" s="8">
        <v>7.5</v>
      </c>
      <c r="C248" s="4" t="str">
        <f>IFERROR(__xludf.DUMMYFUNCTION("""COMPUTED_VALUE"""),"Kevin Costner")</f>
        <v>Kevin Costner</v>
      </c>
      <c r="D248" s="31">
        <f t="shared" si="1"/>
        <v>7.166666667</v>
      </c>
      <c r="E248" s="4">
        <f t="shared" si="2"/>
        <v>3</v>
      </c>
      <c r="F248" s="15"/>
      <c r="G248" s="4"/>
    </row>
    <row r="249" ht="14.25" customHeight="1">
      <c r="A249" s="8" t="s">
        <v>202</v>
      </c>
      <c r="B249" s="8">
        <v>4.9</v>
      </c>
      <c r="C249" s="4" t="str">
        <f>IFERROR(__xludf.DUMMYFUNCTION("""COMPUTED_VALUE"""),"Antony Hoffman")</f>
        <v>Antony Hoffman</v>
      </c>
      <c r="D249" s="31">
        <f t="shared" si="1"/>
        <v>5.7</v>
      </c>
      <c r="E249" s="4">
        <f t="shared" si="2"/>
        <v>1</v>
      </c>
      <c r="F249" s="15"/>
      <c r="G249" s="4"/>
    </row>
    <row r="250" ht="14.25" customHeight="1">
      <c r="A250" s="8" t="s">
        <v>650</v>
      </c>
      <c r="B250" s="8">
        <v>5.8</v>
      </c>
      <c r="C250" s="4" t="str">
        <f>IFERROR(__xludf.DUMMYFUNCTION("""COMPUTED_VALUE"""),"Jacques Perrin")</f>
        <v>Jacques Perrin</v>
      </c>
      <c r="D250" s="31">
        <f t="shared" si="1"/>
        <v>7.9</v>
      </c>
      <c r="E250" s="4">
        <f t="shared" si="2"/>
        <v>2</v>
      </c>
      <c r="F250" s="15"/>
      <c r="G250" s="4"/>
    </row>
    <row r="251" ht="14.25" customHeight="1">
      <c r="A251" s="8" t="s">
        <v>653</v>
      </c>
      <c r="B251" s="8">
        <v>6.2</v>
      </c>
      <c r="C251" s="4" t="str">
        <f>IFERROR(__xludf.DUMMYFUNCTION("""COMPUTED_VALUE"""),"Cody Cameron")</f>
        <v>Cody Cameron</v>
      </c>
      <c r="D251" s="31">
        <f t="shared" si="1"/>
        <v>6.5</v>
      </c>
      <c r="E251" s="4">
        <f t="shared" si="2"/>
        <v>1</v>
      </c>
      <c r="F251" s="15"/>
      <c r="G251" s="4"/>
    </row>
    <row r="252" ht="14.25" customHeight="1">
      <c r="A252" s="8" t="s">
        <v>657</v>
      </c>
      <c r="B252" s="8">
        <v>5.5</v>
      </c>
      <c r="C252" s="4" t="str">
        <f>IFERROR(__xludf.DUMMYFUNCTION("""COMPUTED_VALUE"""),"John Singleton")</f>
        <v>John Singleton</v>
      </c>
      <c r="D252" s="31">
        <f t="shared" si="1"/>
        <v>6.257142857</v>
      </c>
      <c r="E252" s="4">
        <f t="shared" si="2"/>
        <v>7</v>
      </c>
      <c r="F252" s="15"/>
      <c r="G252" s="4"/>
    </row>
    <row r="253" ht="14.25" customHeight="1">
      <c r="A253" s="8" t="s">
        <v>660</v>
      </c>
      <c r="B253" s="8">
        <v>5.4</v>
      </c>
      <c r="C253" s="4" t="str">
        <f>IFERROR(__xludf.DUMMYFUNCTION("""COMPUTED_VALUE"""),"Oliver Hirschbiegel")</f>
        <v>Oliver Hirschbiegel</v>
      </c>
      <c r="D253" s="31">
        <f t="shared" si="1"/>
        <v>7.1</v>
      </c>
      <c r="E253" s="4">
        <f t="shared" si="2"/>
        <v>2</v>
      </c>
      <c r="F253" s="15"/>
      <c r="G253" s="4"/>
    </row>
    <row r="254" ht="14.25" customHeight="1">
      <c r="A254" s="8" t="s">
        <v>526</v>
      </c>
      <c r="B254" s="8">
        <v>5.8</v>
      </c>
      <c r="C254" s="4" t="str">
        <f>IFERROR(__xludf.DUMMYFUNCTION("""COMPUTED_VALUE"""),"Des McAnuff")</f>
        <v>Des McAnuff</v>
      </c>
      <c r="D254" s="31">
        <f t="shared" si="1"/>
        <v>4.1</v>
      </c>
      <c r="E254" s="4">
        <f t="shared" si="2"/>
        <v>1</v>
      </c>
      <c r="F254" s="15"/>
      <c r="G254" s="4"/>
    </row>
    <row r="255" ht="14.25" customHeight="1">
      <c r="A255" s="8" t="s">
        <v>345</v>
      </c>
      <c r="B255" s="8">
        <v>7.1</v>
      </c>
      <c r="C255" s="4" t="str">
        <f>IFERROR(__xludf.DUMMYFUNCTION("""COMPUTED_VALUE"""),"Yarrow Cheney")</f>
        <v>Yarrow Cheney</v>
      </c>
      <c r="D255" s="31">
        <f t="shared" si="1"/>
        <v>6.8</v>
      </c>
      <c r="E255" s="4">
        <f t="shared" si="2"/>
        <v>1</v>
      </c>
      <c r="F255" s="15"/>
      <c r="G255" s="4"/>
    </row>
    <row r="256" ht="14.25" customHeight="1">
      <c r="A256" s="8" t="s">
        <v>657</v>
      </c>
      <c r="B256" s="8">
        <v>5.4</v>
      </c>
      <c r="C256" s="4" t="str">
        <f>IFERROR(__xludf.DUMMYFUNCTION("""COMPUTED_VALUE"""),"Stephen Norrington")</f>
        <v>Stephen Norrington</v>
      </c>
      <c r="D256" s="31">
        <f t="shared" si="1"/>
        <v>6.45</v>
      </c>
      <c r="E256" s="4">
        <f t="shared" si="2"/>
        <v>2</v>
      </c>
      <c r="F256" s="15"/>
      <c r="G256" s="4"/>
    </row>
    <row r="257" ht="14.25" customHeight="1">
      <c r="A257" s="8" t="s">
        <v>669</v>
      </c>
      <c r="B257" s="8">
        <v>3.7</v>
      </c>
      <c r="C257" s="4" t="str">
        <f>IFERROR(__xludf.DUMMYFUNCTION("""COMPUTED_VALUE"""),"Pierre Coffin")</f>
        <v>Pierre Coffin</v>
      </c>
      <c r="D257" s="31">
        <f t="shared" si="1"/>
        <v>7.6</v>
      </c>
      <c r="E257" s="4">
        <f t="shared" si="2"/>
        <v>2</v>
      </c>
      <c r="F257" s="15"/>
      <c r="G257" s="4"/>
    </row>
    <row r="258" ht="14.25" customHeight="1">
      <c r="A258" s="8" t="s">
        <v>348</v>
      </c>
      <c r="B258" s="8">
        <v>6.7</v>
      </c>
      <c r="C258" s="4" t="str">
        <f>IFERROR(__xludf.DUMMYFUNCTION("""COMPUTED_VALUE"""),"Timur Bekmambetov")</f>
        <v>Timur Bekmambetov</v>
      </c>
      <c r="D258" s="31">
        <f t="shared" si="1"/>
        <v>6.366666667</v>
      </c>
      <c r="E258" s="4">
        <f t="shared" si="2"/>
        <v>3</v>
      </c>
      <c r="F258" s="15"/>
      <c r="G258" s="4"/>
    </row>
    <row r="259" ht="14.25" customHeight="1">
      <c r="A259" s="8" t="s">
        <v>674</v>
      </c>
      <c r="B259" s="8">
        <v>7.2</v>
      </c>
      <c r="C259" s="4" t="str">
        <f>IFERROR(__xludf.DUMMYFUNCTION("""COMPUTED_VALUE"""),"David Kellogg")</f>
        <v>David Kellogg</v>
      </c>
      <c r="D259" s="31">
        <f t="shared" si="1"/>
        <v>4.1</v>
      </c>
      <c r="E259" s="4">
        <f t="shared" si="2"/>
        <v>1</v>
      </c>
      <c r="F259" s="15"/>
      <c r="G259" s="4"/>
    </row>
    <row r="260" ht="14.25" customHeight="1">
      <c r="A260" s="8" t="s">
        <v>73</v>
      </c>
      <c r="B260" s="8">
        <v>8.8</v>
      </c>
      <c r="C260" s="4" t="str">
        <f>IFERROR(__xludf.DUMMYFUNCTION("""COMPUTED_VALUE"""),"Mike Nichols")</f>
        <v>Mike Nichols</v>
      </c>
      <c r="D260" s="31">
        <f t="shared" si="1"/>
        <v>6.58</v>
      </c>
      <c r="E260" s="4">
        <f t="shared" si="2"/>
        <v>5</v>
      </c>
      <c r="F260" s="15"/>
      <c r="G260" s="4"/>
    </row>
    <row r="261" ht="14.25" customHeight="1">
      <c r="A261" s="8" t="s">
        <v>677</v>
      </c>
      <c r="B261" s="8">
        <v>5.8</v>
      </c>
      <c r="C261" s="4" t="str">
        <f>IFERROR(__xludf.DUMMYFUNCTION("""COMPUTED_VALUE"""),"F. Gary Gray")</f>
        <v>F. Gary Gray</v>
      </c>
      <c r="D261" s="31">
        <f t="shared" si="1"/>
        <v>6.9375</v>
      </c>
      <c r="E261" s="4">
        <f t="shared" si="2"/>
        <v>8</v>
      </c>
      <c r="F261" s="15"/>
      <c r="G261" s="4"/>
    </row>
    <row r="262" ht="14.25" customHeight="1">
      <c r="A262" s="8" t="s">
        <v>680</v>
      </c>
      <c r="B262" s="8">
        <v>6.8</v>
      </c>
      <c r="C262" s="4" t="str">
        <f>IFERROR(__xludf.DUMMYFUNCTION("""COMPUTED_VALUE"""),"Antoine Fuqua")</f>
        <v>Antoine Fuqua</v>
      </c>
      <c r="D262" s="31">
        <f t="shared" si="1"/>
        <v>6.9375</v>
      </c>
      <c r="E262" s="4">
        <f t="shared" si="2"/>
        <v>8</v>
      </c>
      <c r="F262" s="15"/>
      <c r="G262" s="4"/>
    </row>
    <row r="263" ht="14.25" customHeight="1">
      <c r="A263" s="8" t="s">
        <v>683</v>
      </c>
      <c r="B263" s="8">
        <v>3.8</v>
      </c>
      <c r="C263" s="4" t="str">
        <f>IFERROR(__xludf.DUMMYFUNCTION("""COMPUTED_VALUE"""),"Robert Luketic")</f>
        <v>Robert Luketic</v>
      </c>
      <c r="D263" s="31">
        <f t="shared" si="1"/>
        <v>6</v>
      </c>
      <c r="E263" s="4">
        <f t="shared" si="2"/>
        <v>6</v>
      </c>
      <c r="F263" s="15"/>
      <c r="G263" s="4"/>
    </row>
    <row r="264" ht="14.25" customHeight="1">
      <c r="A264" s="8" t="s">
        <v>439</v>
      </c>
      <c r="B264" s="8">
        <v>7.1</v>
      </c>
      <c r="C264" s="4" t="str">
        <f>IFERROR(__xludf.DUMMYFUNCTION("""COMPUTED_VALUE"""),"Gil Kenan")</f>
        <v>Gil Kenan</v>
      </c>
      <c r="D264" s="31">
        <f t="shared" si="1"/>
        <v>6.55</v>
      </c>
      <c r="E264" s="4">
        <f t="shared" si="2"/>
        <v>2</v>
      </c>
      <c r="F264" s="15"/>
      <c r="G264" s="4"/>
    </row>
    <row r="265" ht="14.25" customHeight="1">
      <c r="A265" s="8" t="s">
        <v>80</v>
      </c>
      <c r="B265" s="8">
        <v>7.2</v>
      </c>
      <c r="C265" s="4" t="str">
        <f>IFERROR(__xludf.DUMMYFUNCTION("""COMPUTED_VALUE"""),"Barry Levinson")</f>
        <v>Barry Levinson</v>
      </c>
      <c r="D265" s="31">
        <f t="shared" si="1"/>
        <v>6.576923077</v>
      </c>
      <c r="E265" s="4">
        <f t="shared" si="2"/>
        <v>13</v>
      </c>
      <c r="F265" s="15"/>
      <c r="G265" s="4"/>
    </row>
    <row r="266" ht="14.25" customHeight="1">
      <c r="A266" s="8" t="s">
        <v>401</v>
      </c>
      <c r="B266" s="8">
        <v>5.9</v>
      </c>
      <c r="C266" s="4" t="str">
        <f>IFERROR(__xludf.DUMMYFUNCTION("""COMPUTED_VALUE"""),"Jerry Zucker")</f>
        <v>Jerry Zucker</v>
      </c>
      <c r="D266" s="31">
        <f t="shared" si="1"/>
        <v>6.433333333</v>
      </c>
      <c r="E266" s="4">
        <f t="shared" si="2"/>
        <v>3</v>
      </c>
      <c r="F266" s="15"/>
      <c r="G266" s="4"/>
    </row>
    <row r="267" ht="14.25" customHeight="1">
      <c r="A267" s="8" t="s">
        <v>691</v>
      </c>
      <c r="B267" s="8">
        <v>7.1</v>
      </c>
      <c r="C267" s="4" t="str">
        <f>IFERROR(__xludf.DUMMYFUNCTION("""COMPUTED_VALUE"""),"Andy Tennant")</f>
        <v>Andy Tennant</v>
      </c>
      <c r="D267" s="31">
        <f t="shared" si="1"/>
        <v>6.25</v>
      </c>
      <c r="E267" s="4">
        <f t="shared" si="2"/>
        <v>6</v>
      </c>
      <c r="F267" s="15"/>
      <c r="G267" s="4"/>
    </row>
    <row r="268" ht="14.25" customHeight="1">
      <c r="A268" s="8" t="s">
        <v>80</v>
      </c>
      <c r="B268" s="8">
        <v>8.1</v>
      </c>
      <c r="C268" s="4" t="str">
        <f>IFERROR(__xludf.DUMMYFUNCTION("""COMPUTED_VALUE"""),"Florent-Emilio Siri")</f>
        <v>Florent-Emilio Siri</v>
      </c>
      <c r="D268" s="31">
        <f t="shared" si="1"/>
        <v>6.6</v>
      </c>
      <c r="E268" s="4">
        <f t="shared" si="2"/>
        <v>1</v>
      </c>
      <c r="F268" s="15"/>
      <c r="G268" s="4"/>
    </row>
    <row r="269" ht="14.25" customHeight="1">
      <c r="A269" s="8" t="s">
        <v>121</v>
      </c>
      <c r="B269" s="8">
        <v>6.9</v>
      </c>
      <c r="C269" s="4" t="str">
        <f>IFERROR(__xludf.DUMMYFUNCTION("""COMPUTED_VALUE"""),"Don Bluth")</f>
        <v>Don Bluth</v>
      </c>
      <c r="D269" s="31">
        <f t="shared" si="1"/>
        <v>7</v>
      </c>
      <c r="E269" s="4">
        <f t="shared" si="2"/>
        <v>3</v>
      </c>
      <c r="F269" s="15"/>
      <c r="G269" s="4"/>
    </row>
    <row r="270" ht="14.25" customHeight="1">
      <c r="A270" s="8" t="s">
        <v>698</v>
      </c>
      <c r="B270" s="8">
        <v>4.4</v>
      </c>
      <c r="C270" s="4" t="str">
        <f>IFERROR(__xludf.DUMMYFUNCTION("""COMPUTED_VALUE"""),"Ron Shelton")</f>
        <v>Ron Shelton</v>
      </c>
      <c r="D270" s="31">
        <f t="shared" si="1"/>
        <v>5.9</v>
      </c>
      <c r="E270" s="4">
        <f t="shared" si="2"/>
        <v>4</v>
      </c>
      <c r="F270" s="15"/>
      <c r="G270" s="4"/>
    </row>
    <row r="271" ht="14.25" customHeight="1">
      <c r="A271" s="8" t="s">
        <v>702</v>
      </c>
      <c r="B271" s="8">
        <v>6.5</v>
      </c>
      <c r="C271" s="4" t="str">
        <f>IFERROR(__xludf.DUMMYFUNCTION("""COMPUTED_VALUE"""),"Henry Selick")</f>
        <v>Henry Selick</v>
      </c>
      <c r="D271" s="31">
        <f t="shared" si="1"/>
        <v>6.2</v>
      </c>
      <c r="E271" s="4">
        <f t="shared" si="2"/>
        <v>2</v>
      </c>
      <c r="F271" s="15"/>
      <c r="G271" s="4"/>
    </row>
    <row r="272" ht="14.25" customHeight="1">
      <c r="A272" s="8" t="s">
        <v>80</v>
      </c>
      <c r="B272" s="8">
        <v>8.5</v>
      </c>
      <c r="C272" s="4" t="str">
        <f>IFERROR(__xludf.DUMMYFUNCTION("""COMPUTED_VALUE"""),"Kyle Balda")</f>
        <v>Kyle Balda</v>
      </c>
      <c r="D272" s="31">
        <f t="shared" si="1"/>
        <v>6.4</v>
      </c>
      <c r="E272" s="4">
        <f t="shared" si="2"/>
        <v>1</v>
      </c>
      <c r="F272" s="15"/>
      <c r="G272" s="4"/>
    </row>
    <row r="273" ht="14.25" customHeight="1">
      <c r="A273" s="8" t="s">
        <v>168</v>
      </c>
      <c r="B273" s="8">
        <v>7.7</v>
      </c>
      <c r="C273" s="4" t="str">
        <f>IFERROR(__xludf.DUMMYFUNCTION("""COMPUTED_VALUE"""),"Clay Kaytis")</f>
        <v>Clay Kaytis</v>
      </c>
      <c r="D273" s="31">
        <f t="shared" si="1"/>
        <v>6.3</v>
      </c>
      <c r="E273" s="4">
        <f t="shared" si="2"/>
        <v>1</v>
      </c>
      <c r="F273" s="15"/>
      <c r="G273" s="4"/>
    </row>
    <row r="274" ht="14.25" customHeight="1">
      <c r="A274" s="8" t="s">
        <v>524</v>
      </c>
      <c r="B274" s="8">
        <v>7.4</v>
      </c>
      <c r="C274" s="4" t="str">
        <f>IFERROR(__xludf.DUMMYFUNCTION("""COMPUTED_VALUE"""),"Judd Apatow")</f>
        <v>Judd Apatow</v>
      </c>
      <c r="D274" s="31">
        <f t="shared" si="1"/>
        <v>6.6</v>
      </c>
      <c r="E274" s="4">
        <f t="shared" si="2"/>
        <v>5</v>
      </c>
      <c r="F274" s="15"/>
      <c r="G274" s="4"/>
    </row>
    <row r="275" ht="14.25" customHeight="1">
      <c r="A275" s="8" t="s">
        <v>136</v>
      </c>
      <c r="B275" s="8">
        <v>8.0</v>
      </c>
      <c r="C275" s="4" t="str">
        <f>IFERROR(__xludf.DUMMYFUNCTION("""COMPUTED_VALUE"""),"Steve Carr")</f>
        <v>Steve Carr</v>
      </c>
      <c r="D275" s="31">
        <f t="shared" si="1"/>
        <v>5.35</v>
      </c>
      <c r="E275" s="4">
        <f t="shared" si="2"/>
        <v>4</v>
      </c>
      <c r="F275" s="15"/>
      <c r="G275" s="4"/>
    </row>
    <row r="276" ht="14.25" customHeight="1">
      <c r="A276" s="8" t="s">
        <v>111</v>
      </c>
      <c r="B276" s="8">
        <v>5.7</v>
      </c>
      <c r="C276" s="4" t="str">
        <f>IFERROR(__xludf.DUMMYFUNCTION("""COMPUTED_VALUE"""),"Mel Gibson")</f>
        <v>Mel Gibson</v>
      </c>
      <c r="D276" s="31">
        <f t="shared" si="1"/>
        <v>7.766666667</v>
      </c>
      <c r="E276" s="4">
        <f t="shared" si="2"/>
        <v>3</v>
      </c>
      <c r="F276" s="15"/>
      <c r="G276" s="4"/>
    </row>
    <row r="277" ht="14.25" customHeight="1">
      <c r="A277" s="8" t="s">
        <v>12</v>
      </c>
      <c r="B277" s="8">
        <v>8.5</v>
      </c>
      <c r="C277" s="4" t="str">
        <f>IFERROR(__xludf.DUMMYFUNCTION("""COMPUTED_VALUE"""),"David Silverman")</f>
        <v>David Silverman</v>
      </c>
      <c r="D277" s="31">
        <f t="shared" si="1"/>
        <v>7.4</v>
      </c>
      <c r="E277" s="4">
        <f t="shared" si="2"/>
        <v>1</v>
      </c>
      <c r="F277" s="15"/>
      <c r="G277" s="4"/>
    </row>
    <row r="278" ht="14.25" customHeight="1">
      <c r="A278" s="8" t="s">
        <v>680</v>
      </c>
      <c r="B278" s="8">
        <v>7.0</v>
      </c>
      <c r="C278" s="4" t="str">
        <f>IFERROR(__xludf.DUMMYFUNCTION("""COMPUTED_VALUE"""),"Frank Darabont")</f>
        <v>Frank Darabont</v>
      </c>
      <c r="D278" s="31">
        <f t="shared" si="1"/>
        <v>7.975</v>
      </c>
      <c r="E278" s="4">
        <f t="shared" si="2"/>
        <v>4</v>
      </c>
      <c r="F278" s="15"/>
      <c r="G278" s="4"/>
    </row>
    <row r="279" ht="14.25" customHeight="1">
      <c r="A279" s="8" t="s">
        <v>80</v>
      </c>
      <c r="B279" s="8">
        <v>7.8</v>
      </c>
      <c r="C279" s="4" t="str">
        <f>IFERROR(__xludf.DUMMYFUNCTION("""COMPUTED_VALUE"""),"Betty Thomas")</f>
        <v>Betty Thomas</v>
      </c>
      <c r="D279" s="31">
        <f t="shared" si="1"/>
        <v>5.3</v>
      </c>
      <c r="E279" s="4">
        <f t="shared" si="2"/>
        <v>4</v>
      </c>
      <c r="F279" s="15"/>
      <c r="G279" s="4"/>
    </row>
    <row r="280" ht="14.25" customHeight="1">
      <c r="A280" s="8" t="s">
        <v>12</v>
      </c>
      <c r="B280" s="8">
        <v>7.2</v>
      </c>
      <c r="C280" s="4" t="str">
        <f>IFERROR(__xludf.DUMMYFUNCTION("""COMPUTED_VALUE"""),"Garry Marshall")</f>
        <v>Garry Marshall</v>
      </c>
      <c r="D280" s="31">
        <f t="shared" si="1"/>
        <v>5.95</v>
      </c>
      <c r="E280" s="4">
        <f t="shared" si="2"/>
        <v>8</v>
      </c>
      <c r="F280" s="15"/>
      <c r="G280" s="4"/>
    </row>
    <row r="281" ht="14.25" customHeight="1">
      <c r="A281" s="8" t="s">
        <v>722</v>
      </c>
      <c r="B281" s="8">
        <v>6.4</v>
      </c>
      <c r="C281" s="4" t="str">
        <f>IFERROR(__xludf.DUMMYFUNCTION("""COMPUTED_VALUE"""),"Paul Tibbitt")</f>
        <v>Paul Tibbitt</v>
      </c>
      <c r="D281" s="31">
        <f t="shared" si="1"/>
        <v>6</v>
      </c>
      <c r="E281" s="4">
        <f t="shared" si="2"/>
        <v>1</v>
      </c>
      <c r="F281" s="15"/>
      <c r="G281" s="4"/>
    </row>
    <row r="282" ht="14.25" customHeight="1">
      <c r="A282" s="8" t="s">
        <v>724</v>
      </c>
      <c r="B282" s="8">
        <v>5.5</v>
      </c>
      <c r="C282" s="4" t="str">
        <f>IFERROR(__xludf.DUMMYFUNCTION("""COMPUTED_VALUE"""),"Clark Johnson")</f>
        <v>Clark Johnson</v>
      </c>
      <c r="D282" s="31">
        <f t="shared" si="1"/>
        <v>6.05</v>
      </c>
      <c r="E282" s="4">
        <f t="shared" si="2"/>
        <v>2</v>
      </c>
      <c r="F282" s="15"/>
      <c r="G282" s="4"/>
    </row>
    <row r="283" ht="14.25" customHeight="1">
      <c r="A283" s="8" t="s">
        <v>727</v>
      </c>
      <c r="B283" s="8">
        <v>6.7</v>
      </c>
      <c r="C283" s="4" t="str">
        <f>IFERROR(__xludf.DUMMYFUNCTION("""COMPUTED_VALUE"""),"Cameron Crowe")</f>
        <v>Cameron Crowe</v>
      </c>
      <c r="D283" s="31">
        <f t="shared" si="1"/>
        <v>6.55</v>
      </c>
      <c r="E283" s="4">
        <f t="shared" si="2"/>
        <v>6</v>
      </c>
      <c r="F283" s="15"/>
      <c r="G283" s="4"/>
    </row>
    <row r="284" ht="14.25" customHeight="1">
      <c r="A284" s="8" t="s">
        <v>730</v>
      </c>
      <c r="B284" s="8">
        <v>6.1</v>
      </c>
      <c r="C284" s="4" t="str">
        <f>IFERROR(__xludf.DUMMYFUNCTION("""COMPUTED_VALUE"""),"Randall Wallace")</f>
        <v>Randall Wallace</v>
      </c>
      <c r="D284" s="31">
        <f t="shared" si="1"/>
        <v>6.625</v>
      </c>
      <c r="E284" s="4">
        <f t="shared" si="2"/>
        <v>4</v>
      </c>
      <c r="F284" s="15"/>
      <c r="G284" s="4"/>
    </row>
    <row r="285" ht="14.25" customHeight="1">
      <c r="A285" s="8" t="s">
        <v>734</v>
      </c>
      <c r="B285" s="8">
        <v>8.5</v>
      </c>
      <c r="C285" s="4" t="str">
        <f>IFERROR(__xludf.DUMMYFUNCTION("""COMPUTED_VALUE"""),"Jonathan Frakes")</f>
        <v>Jonathan Frakes</v>
      </c>
      <c r="D285" s="31">
        <f t="shared" si="1"/>
        <v>5.85</v>
      </c>
      <c r="E285" s="4">
        <f t="shared" si="2"/>
        <v>4</v>
      </c>
      <c r="F285" s="15"/>
      <c r="G285" s="4"/>
    </row>
    <row r="286" ht="14.25" customHeight="1">
      <c r="A286" s="8" t="s">
        <v>737</v>
      </c>
      <c r="B286" s="8">
        <v>6.9</v>
      </c>
      <c r="C286" s="4" t="str">
        <f>IFERROR(__xludf.DUMMYFUNCTION("""COMPUTED_VALUE"""),"George Clooney")</f>
        <v>George Clooney</v>
      </c>
      <c r="D286" s="31">
        <f t="shared" si="1"/>
        <v>6.675</v>
      </c>
      <c r="E286" s="4">
        <f t="shared" si="2"/>
        <v>4</v>
      </c>
      <c r="F286" s="15"/>
      <c r="G286" s="4"/>
    </row>
    <row r="287" ht="14.25" customHeight="1">
      <c r="A287" s="8" t="s">
        <v>740</v>
      </c>
      <c r="B287" s="8">
        <v>7.3</v>
      </c>
      <c r="C287" s="4" t="str">
        <f>IFERROR(__xludf.DUMMYFUNCTION("""COMPUTED_VALUE"""),"Gary Shore")</f>
        <v>Gary Shore</v>
      </c>
      <c r="D287" s="31">
        <f t="shared" si="1"/>
        <v>6.3</v>
      </c>
      <c r="E287" s="4">
        <f t="shared" si="2"/>
        <v>1</v>
      </c>
      <c r="F287" s="15"/>
      <c r="G287" s="4"/>
    </row>
    <row r="288" ht="14.25" customHeight="1">
      <c r="A288" s="8" t="s">
        <v>743</v>
      </c>
      <c r="B288" s="8">
        <v>6.7</v>
      </c>
      <c r="C288" s="4" t="str">
        <f>IFERROR(__xludf.DUMMYFUNCTION("""COMPUTED_VALUE"""),"Andrzej Bartkowiak")</f>
        <v>Andrzej Bartkowiak</v>
      </c>
      <c r="D288" s="31">
        <f t="shared" si="1"/>
        <v>5.26</v>
      </c>
      <c r="E288" s="4">
        <f t="shared" si="2"/>
        <v>5</v>
      </c>
      <c r="F288" s="15"/>
      <c r="G288" s="4"/>
    </row>
    <row r="289" ht="14.25" customHeight="1">
      <c r="A289" s="8" t="s">
        <v>300</v>
      </c>
      <c r="B289" s="8">
        <v>6.9</v>
      </c>
      <c r="C289" s="4" t="str">
        <f>IFERROR(__xludf.DUMMYFUNCTION("""COMPUTED_VALUE"""),"MÃ¥ns MÃ¥rlind")</f>
        <v>MÃ¥ns MÃ¥rlind</v>
      </c>
      <c r="D289" s="31">
        <f t="shared" si="1"/>
        <v>6.4</v>
      </c>
      <c r="E289" s="4">
        <f t="shared" si="2"/>
        <v>1</v>
      </c>
      <c r="F289" s="15"/>
      <c r="G289" s="4"/>
    </row>
    <row r="290" ht="14.25" customHeight="1">
      <c r="A290" s="8" t="s">
        <v>747</v>
      </c>
      <c r="B290" s="8">
        <v>5.1</v>
      </c>
      <c r="C290" s="4" t="str">
        <f>IFERROR(__xludf.DUMMYFUNCTION("""COMPUTED_VALUE"""),"Gregory Hoblit")</f>
        <v>Gregory Hoblit</v>
      </c>
      <c r="D290" s="31">
        <f t="shared" si="1"/>
        <v>6.6</v>
      </c>
      <c r="E290" s="4">
        <f t="shared" si="2"/>
        <v>3</v>
      </c>
      <c r="F290" s="15"/>
      <c r="G290" s="4"/>
    </row>
    <row r="291" ht="14.25" customHeight="1">
      <c r="A291" s="8" t="s">
        <v>749</v>
      </c>
      <c r="B291" s="8">
        <v>6.8</v>
      </c>
      <c r="C291" s="4" t="str">
        <f>IFERROR(__xludf.DUMMYFUNCTION("""COMPUTED_VALUE"""),"Gary McKendry")</f>
        <v>Gary McKendry</v>
      </c>
      <c r="D291" s="31">
        <f t="shared" si="1"/>
        <v>6.5</v>
      </c>
      <c r="E291" s="4">
        <f t="shared" si="2"/>
        <v>1</v>
      </c>
      <c r="F291" s="15"/>
      <c r="G291" s="4"/>
    </row>
    <row r="292" ht="14.25" customHeight="1">
      <c r="A292" s="8" t="s">
        <v>752</v>
      </c>
      <c r="B292" s="8">
        <v>6.7</v>
      </c>
      <c r="C292" s="4" t="str">
        <f>IFERROR(__xludf.DUMMYFUNCTION("""COMPUTED_VALUE"""),"Wych Kaosayananda")</f>
        <v>Wych Kaosayananda</v>
      </c>
      <c r="D292" s="31">
        <f t="shared" si="1"/>
        <v>3.6</v>
      </c>
      <c r="E292" s="4">
        <f t="shared" si="2"/>
        <v>1</v>
      </c>
      <c r="F292" s="15"/>
      <c r="G292" s="4"/>
    </row>
    <row r="293" ht="14.25" customHeight="1">
      <c r="A293" s="8" t="s">
        <v>755</v>
      </c>
      <c r="B293" s="8">
        <v>6.0</v>
      </c>
      <c r="C293" s="4" t="str">
        <f>IFERROR(__xludf.DUMMYFUNCTION("""COMPUTED_VALUE"""),"Mikael Salomon")</f>
        <v>Mikael Salomon</v>
      </c>
      <c r="D293" s="31">
        <f t="shared" si="1"/>
        <v>5.8</v>
      </c>
      <c r="E293" s="4">
        <f t="shared" si="2"/>
        <v>1</v>
      </c>
      <c r="F293" s="15"/>
      <c r="G293" s="4"/>
    </row>
    <row r="294" ht="14.25" customHeight="1">
      <c r="A294" s="8" t="s">
        <v>758</v>
      </c>
      <c r="B294" s="8">
        <v>5.7</v>
      </c>
      <c r="C294" s="4" t="str">
        <f>IFERROR(__xludf.DUMMYFUNCTION("""COMPUTED_VALUE"""),"Bobby Farrelly")</f>
        <v>Bobby Farrelly</v>
      </c>
      <c r="D294" s="31">
        <f t="shared" si="1"/>
        <v>6.244444444</v>
      </c>
      <c r="E294" s="4">
        <f t="shared" si="2"/>
        <v>9</v>
      </c>
      <c r="F294" s="15"/>
      <c r="G294" s="4"/>
    </row>
    <row r="295" ht="14.25" customHeight="1">
      <c r="A295" s="8" t="s">
        <v>430</v>
      </c>
      <c r="B295" s="8">
        <v>8.0</v>
      </c>
      <c r="C295" s="4" t="str">
        <f>IFERROR(__xludf.DUMMYFUNCTION("""COMPUTED_VALUE"""),"Kerry Conran")</f>
        <v>Kerry Conran</v>
      </c>
      <c r="D295" s="31">
        <f t="shared" si="1"/>
        <v>6.1</v>
      </c>
      <c r="E295" s="4">
        <f t="shared" si="2"/>
        <v>1</v>
      </c>
      <c r="F295" s="15"/>
      <c r="G295" s="4"/>
    </row>
    <row r="296" ht="14.25" customHeight="1">
      <c r="A296" s="8" t="s">
        <v>208</v>
      </c>
      <c r="B296" s="8">
        <v>8.2</v>
      </c>
      <c r="C296" s="4" t="str">
        <f>IFERROR(__xludf.DUMMYFUNCTION("""COMPUTED_VALUE"""),"Michael Caton-Jones")</f>
        <v>Michael Caton-Jones</v>
      </c>
      <c r="D296" s="31">
        <f t="shared" si="1"/>
        <v>5.9</v>
      </c>
      <c r="E296" s="4">
        <f t="shared" si="2"/>
        <v>4</v>
      </c>
      <c r="F296" s="15"/>
      <c r="G296" s="4"/>
    </row>
    <row r="297" ht="14.25" customHeight="1">
      <c r="A297" s="8" t="s">
        <v>552</v>
      </c>
      <c r="B297" s="8">
        <v>5.4</v>
      </c>
      <c r="C297" s="4" t="str">
        <f>IFERROR(__xludf.DUMMYFUNCTION("""COMPUTED_VALUE"""),"Mikael HÃ¥fstrÃ¶m")</f>
        <v>Mikael HÃ¥fstrÃ¶m</v>
      </c>
      <c r="D297" s="31">
        <f t="shared" si="1"/>
        <v>6.525</v>
      </c>
      <c r="E297" s="4">
        <f t="shared" si="2"/>
        <v>4</v>
      </c>
      <c r="F297" s="15"/>
      <c r="G297" s="4"/>
    </row>
    <row r="298" ht="14.25" customHeight="1">
      <c r="A298" s="8" t="s">
        <v>542</v>
      </c>
      <c r="B298" s="8">
        <v>7.2</v>
      </c>
      <c r="C298" s="4" t="str">
        <f>IFERROR(__xludf.DUMMYFUNCTION("""COMPUTED_VALUE"""),"Phil Alden Robinson")</f>
        <v>Phil Alden Robinson</v>
      </c>
      <c r="D298" s="31">
        <f t="shared" si="1"/>
        <v>6.4</v>
      </c>
      <c r="E298" s="4">
        <f t="shared" si="2"/>
        <v>1</v>
      </c>
      <c r="F298" s="15"/>
      <c r="G298" s="4"/>
    </row>
    <row r="299" ht="14.25" customHeight="1">
      <c r="A299" s="8" t="s">
        <v>769</v>
      </c>
      <c r="B299" s="8">
        <v>7.5</v>
      </c>
      <c r="C299" s="4" t="str">
        <f>IFERROR(__xludf.DUMMYFUNCTION("""COMPUTED_VALUE"""),"David Slade")</f>
        <v>David Slade</v>
      </c>
      <c r="D299" s="31">
        <f t="shared" si="1"/>
        <v>6.2</v>
      </c>
      <c r="E299" s="4">
        <f t="shared" si="2"/>
        <v>3</v>
      </c>
      <c r="F299" s="15"/>
      <c r="G299" s="4"/>
    </row>
    <row r="300" ht="14.25" customHeight="1">
      <c r="A300" s="8" t="s">
        <v>48</v>
      </c>
      <c r="B300" s="8">
        <v>7.0</v>
      </c>
      <c r="C300" s="4" t="str">
        <f>IFERROR(__xludf.DUMMYFUNCTION("""COMPUTED_VALUE"""),"Joseph Ruben")</f>
        <v>Joseph Ruben</v>
      </c>
      <c r="D300" s="31">
        <f t="shared" si="1"/>
        <v>5.6</v>
      </c>
      <c r="E300" s="4">
        <f t="shared" si="2"/>
        <v>1</v>
      </c>
      <c r="F300" s="15"/>
      <c r="G300" s="4"/>
    </row>
    <row r="301" ht="14.25" customHeight="1">
      <c r="A301" s="8" t="s">
        <v>775</v>
      </c>
      <c r="B301" s="8">
        <v>3.3</v>
      </c>
      <c r="C301" s="4" t="str">
        <f>IFERROR(__xludf.DUMMYFUNCTION("""COMPUTED_VALUE"""),"Seth MacFarlane")</f>
        <v>Seth MacFarlane</v>
      </c>
      <c r="D301" s="31">
        <f t="shared" si="1"/>
        <v>6.5</v>
      </c>
      <c r="E301" s="4">
        <f t="shared" si="2"/>
        <v>3</v>
      </c>
      <c r="F301" s="15"/>
      <c r="G301" s="4"/>
    </row>
    <row r="302" ht="14.25" customHeight="1">
      <c r="A302" s="8" t="s">
        <v>113</v>
      </c>
      <c r="B302" s="8">
        <v>6.0</v>
      </c>
      <c r="C302" s="4" t="str">
        <f>IFERROR(__xludf.DUMMYFUNCTION("""COMPUTED_VALUE"""),"Alejandro AmenÃ¡bar")</f>
        <v>Alejandro AmenÃ¡bar</v>
      </c>
      <c r="D302" s="31">
        <f t="shared" si="1"/>
        <v>7.633333333</v>
      </c>
      <c r="E302" s="4">
        <f t="shared" si="2"/>
        <v>3</v>
      </c>
      <c r="F302" s="15"/>
      <c r="G302" s="4"/>
    </row>
    <row r="303" ht="14.25" customHeight="1">
      <c r="A303" s="8" t="s">
        <v>691</v>
      </c>
      <c r="B303" s="8">
        <v>7.1</v>
      </c>
      <c r="C303" s="4" t="str">
        <f>IFERROR(__xludf.DUMMYFUNCTION("""COMPUTED_VALUE"""),"Kinka Usher")</f>
        <v>Kinka Usher</v>
      </c>
      <c r="D303" s="31">
        <f t="shared" si="1"/>
        <v>6</v>
      </c>
      <c r="E303" s="4">
        <f t="shared" si="2"/>
        <v>1</v>
      </c>
      <c r="F303" s="15"/>
      <c r="G303" s="4"/>
    </row>
    <row r="304" ht="14.25" customHeight="1">
      <c r="A304" s="8" t="s">
        <v>781</v>
      </c>
      <c r="B304" s="8">
        <v>5.4</v>
      </c>
      <c r="C304" s="4" t="str">
        <f>IFERROR(__xludf.DUMMYFUNCTION("""COMPUTED_VALUE"""),"Rob Bowman")</f>
        <v>Rob Bowman</v>
      </c>
      <c r="D304" s="31">
        <f t="shared" si="1"/>
        <v>6.05</v>
      </c>
      <c r="E304" s="4">
        <f t="shared" si="2"/>
        <v>4</v>
      </c>
      <c r="F304" s="15"/>
      <c r="G304" s="4"/>
    </row>
    <row r="305" ht="14.25" customHeight="1">
      <c r="A305" s="8" t="s">
        <v>785</v>
      </c>
      <c r="B305" s="8">
        <v>6.1</v>
      </c>
      <c r="C305" s="4" t="str">
        <f>IFERROR(__xludf.DUMMYFUNCTION("""COMPUTED_VALUE"""),"Doug Lefler")</f>
        <v>Doug Lefler</v>
      </c>
      <c r="D305" s="31">
        <f t="shared" si="1"/>
        <v>5.4</v>
      </c>
      <c r="E305" s="4">
        <f t="shared" si="2"/>
        <v>1</v>
      </c>
      <c r="F305" s="15"/>
      <c r="G305" s="4"/>
    </row>
    <row r="306" ht="14.25" customHeight="1">
      <c r="A306" s="8" t="s">
        <v>787</v>
      </c>
      <c r="B306" s="8">
        <v>5.3</v>
      </c>
      <c r="C306" s="4" t="str">
        <f>IFERROR(__xludf.DUMMYFUNCTION("""COMPUTED_VALUE"""),"Scott Waugh")</f>
        <v>Scott Waugh</v>
      </c>
      <c r="D306" s="31">
        <f t="shared" si="1"/>
        <v>6.5</v>
      </c>
      <c r="E306" s="4">
        <f t="shared" si="2"/>
        <v>1</v>
      </c>
      <c r="F306" s="15"/>
      <c r="G306" s="4"/>
    </row>
    <row r="307" ht="14.25" customHeight="1">
      <c r="A307" s="8" t="s">
        <v>791</v>
      </c>
      <c r="B307" s="8">
        <v>2.2</v>
      </c>
      <c r="C307" s="4" t="str">
        <f>IFERROR(__xludf.DUMMYFUNCTION("""COMPUTED_VALUE"""),"Lawrence Kasdan")</f>
        <v>Lawrence Kasdan</v>
      </c>
      <c r="D307" s="31">
        <f t="shared" si="1"/>
        <v>6.55</v>
      </c>
      <c r="E307" s="4">
        <f t="shared" si="2"/>
        <v>4</v>
      </c>
      <c r="F307" s="15"/>
      <c r="G307" s="4"/>
    </row>
    <row r="308" ht="14.25" customHeight="1">
      <c r="A308" s="8" t="s">
        <v>361</v>
      </c>
      <c r="B308" s="8">
        <v>7.0</v>
      </c>
      <c r="C308" s="4" t="str">
        <f>IFERROR(__xludf.DUMMYFUNCTION("""COMPUTED_VALUE"""),"Michael Lembeck")</f>
        <v>Michael Lembeck</v>
      </c>
      <c r="D308" s="31">
        <f t="shared" si="1"/>
        <v>5.9</v>
      </c>
      <c r="E308" s="4">
        <f t="shared" si="2"/>
        <v>2</v>
      </c>
      <c r="F308" s="15"/>
      <c r="G308" s="4"/>
    </row>
    <row r="309" ht="14.25" customHeight="1">
      <c r="A309" s="8" t="s">
        <v>796</v>
      </c>
      <c r="B309" s="8">
        <v>3.8</v>
      </c>
      <c r="C309" s="4" t="str">
        <f>IFERROR(__xludf.DUMMYFUNCTION("""COMPUTED_VALUE"""),"Tom Hooper")</f>
        <v>Tom Hooper</v>
      </c>
      <c r="D309" s="31">
        <f t="shared" si="1"/>
        <v>7.733333333</v>
      </c>
      <c r="E309" s="4">
        <f t="shared" si="2"/>
        <v>3</v>
      </c>
      <c r="F309" s="15"/>
      <c r="G309" s="4"/>
    </row>
    <row r="310" ht="14.25" customHeight="1">
      <c r="A310" s="8" t="s">
        <v>484</v>
      </c>
      <c r="B310" s="8">
        <v>6.9</v>
      </c>
      <c r="C310" s="4" t="str">
        <f>IFERROR(__xludf.DUMMYFUNCTION("""COMPUTED_VALUE"""),"Nora Ephron")</f>
        <v>Nora Ephron</v>
      </c>
      <c r="D310" s="31">
        <f t="shared" si="1"/>
        <v>6.166666667</v>
      </c>
      <c r="E310" s="4">
        <f t="shared" si="2"/>
        <v>3</v>
      </c>
      <c r="F310" s="15"/>
      <c r="G310" s="4"/>
    </row>
    <row r="311" ht="14.25" customHeight="1">
      <c r="A311" s="8" t="s">
        <v>802</v>
      </c>
      <c r="B311" s="8">
        <v>7.2</v>
      </c>
      <c r="C311" s="4" t="str">
        <f>IFERROR(__xludf.DUMMYFUNCTION("""COMPUTED_VALUE"""),"Angelina Jolie Pitt")</f>
        <v>Angelina Jolie Pitt</v>
      </c>
      <c r="D311" s="31">
        <f t="shared" si="1"/>
        <v>5.6</v>
      </c>
      <c r="E311" s="4">
        <f t="shared" si="2"/>
        <v>3</v>
      </c>
      <c r="F311" s="15"/>
      <c r="G311" s="4"/>
    </row>
    <row r="312" ht="14.25" customHeight="1">
      <c r="A312" s="8" t="s">
        <v>805</v>
      </c>
      <c r="B312" s="8">
        <v>7.3</v>
      </c>
      <c r="C312" s="4" t="str">
        <f>IFERROR(__xludf.DUMMYFUNCTION("""COMPUTED_VALUE"""),"Clint Eastwood")</f>
        <v>Clint Eastwood</v>
      </c>
      <c r="D312" s="31">
        <f t="shared" si="1"/>
        <v>7.205263158</v>
      </c>
      <c r="E312" s="4">
        <f t="shared" si="2"/>
        <v>19</v>
      </c>
      <c r="F312" s="15"/>
      <c r="G312" s="4"/>
    </row>
    <row r="313" ht="14.25" customHeight="1">
      <c r="A313" s="8" t="s">
        <v>231</v>
      </c>
      <c r="B313" s="8">
        <v>6.3</v>
      </c>
      <c r="C313" s="4" t="str">
        <f>IFERROR(__xludf.DUMMYFUNCTION("""COMPUTED_VALUE"""),"Larry Charles")</f>
        <v>Larry Charles</v>
      </c>
      <c r="D313" s="31">
        <f t="shared" si="1"/>
        <v>6.8</v>
      </c>
      <c r="E313" s="4">
        <f t="shared" si="2"/>
        <v>4</v>
      </c>
      <c r="F313" s="15"/>
      <c r="G313" s="4"/>
    </row>
    <row r="314" ht="14.25" customHeight="1">
      <c r="A314" s="8" t="s">
        <v>208</v>
      </c>
      <c r="B314" s="8">
        <v>7.5</v>
      </c>
      <c r="C314" s="4" t="str">
        <f>IFERROR(__xludf.DUMMYFUNCTION("""COMPUTED_VALUE"""),"Stanley Kubrick")</f>
        <v>Stanley Kubrick</v>
      </c>
      <c r="D314" s="31">
        <f t="shared" si="1"/>
        <v>7.8</v>
      </c>
      <c r="E314" s="4">
        <f t="shared" si="2"/>
        <v>2</v>
      </c>
      <c r="F314" s="15"/>
      <c r="G314" s="4"/>
    </row>
    <row r="315" ht="14.25" customHeight="1">
      <c r="A315" s="8" t="s">
        <v>813</v>
      </c>
      <c r="B315" s="8">
        <v>7.6</v>
      </c>
      <c r="C315" s="4" t="str">
        <f>IFERROR(__xludf.DUMMYFUNCTION("""COMPUTED_VALUE"""),"Will Gluck")</f>
        <v>Will Gluck</v>
      </c>
      <c r="D315" s="31">
        <f t="shared" si="1"/>
        <v>6.3</v>
      </c>
      <c r="E315" s="4">
        <f t="shared" si="2"/>
        <v>3</v>
      </c>
      <c r="F315" s="15"/>
      <c r="G315" s="4"/>
    </row>
    <row r="316" ht="14.25" customHeight="1">
      <c r="A316" s="8" t="s">
        <v>817</v>
      </c>
      <c r="B316" s="8">
        <v>6.8</v>
      </c>
      <c r="C316" s="4" t="str">
        <f>IFERROR(__xludf.DUMMYFUNCTION("""COMPUTED_VALUE"""),"Glenn Ficarra")</f>
        <v>Glenn Ficarra</v>
      </c>
      <c r="D316" s="31">
        <f t="shared" si="1"/>
        <v>6.866666667</v>
      </c>
      <c r="E316" s="4">
        <f t="shared" si="2"/>
        <v>3</v>
      </c>
      <c r="F316" s="15"/>
      <c r="G316" s="4"/>
    </row>
    <row r="317" ht="14.25" customHeight="1">
      <c r="A317" s="8" t="s">
        <v>820</v>
      </c>
      <c r="B317" s="8">
        <v>5.2</v>
      </c>
      <c r="C317" s="4" t="str">
        <f>IFERROR(__xludf.DUMMYFUNCTION("""COMPUTED_VALUE"""),"David S. Goyer")</f>
        <v>David S. Goyer</v>
      </c>
      <c r="D317" s="31">
        <f t="shared" si="1"/>
        <v>5.166666667</v>
      </c>
      <c r="E317" s="4">
        <f t="shared" si="2"/>
        <v>3</v>
      </c>
      <c r="F317" s="15"/>
      <c r="G317" s="4"/>
    </row>
    <row r="318" ht="14.25" customHeight="1">
      <c r="A318" s="8" t="s">
        <v>80</v>
      </c>
      <c r="B318" s="8">
        <v>7.7</v>
      </c>
      <c r="C318" s="4" t="str">
        <f>IFERROR(__xludf.DUMMYFUNCTION("""COMPUTED_VALUE"""),"Taylor Hackford")</f>
        <v>Taylor Hackford</v>
      </c>
      <c r="D318" s="31">
        <f t="shared" si="1"/>
        <v>6.883333333</v>
      </c>
      <c r="E318" s="4">
        <f t="shared" si="2"/>
        <v>6</v>
      </c>
      <c r="F318" s="15"/>
      <c r="G318" s="4"/>
    </row>
    <row r="319" ht="14.25" customHeight="1">
      <c r="A319" s="8" t="s">
        <v>827</v>
      </c>
      <c r="B319" s="8">
        <v>6.2</v>
      </c>
      <c r="C319" s="4" t="str">
        <f>IFERROR(__xludf.DUMMYFUNCTION("""COMPUTED_VALUE"""),"Michael Lehmann")</f>
        <v>Michael Lehmann</v>
      </c>
      <c r="D319" s="31">
        <f t="shared" si="1"/>
        <v>5.65</v>
      </c>
      <c r="E319" s="4">
        <f t="shared" si="2"/>
        <v>2</v>
      </c>
      <c r="F319" s="15"/>
      <c r="G319" s="4"/>
    </row>
    <row r="320" ht="14.25" customHeight="1">
      <c r="A320" s="8" t="s">
        <v>830</v>
      </c>
      <c r="B320" s="8">
        <v>7.7</v>
      </c>
      <c r="C320" s="4" t="str">
        <f>IFERROR(__xludf.DUMMYFUNCTION("""COMPUTED_VALUE"""),"Stuart Beattie")</f>
        <v>Stuart Beattie</v>
      </c>
      <c r="D320" s="31">
        <f t="shared" si="1"/>
        <v>5.1</v>
      </c>
      <c r="E320" s="4">
        <f t="shared" si="2"/>
        <v>1</v>
      </c>
      <c r="F320" s="15"/>
      <c r="G320" s="4"/>
    </row>
    <row r="321" ht="14.25" customHeight="1">
      <c r="A321" s="8" t="s">
        <v>833</v>
      </c>
      <c r="B321" s="8">
        <v>4.3</v>
      </c>
      <c r="C321" s="4" t="str">
        <f>IFERROR(__xludf.DUMMYFUNCTION("""COMPUTED_VALUE"""),"Roman Polanski")</f>
        <v>Roman Polanski</v>
      </c>
      <c r="D321" s="31">
        <f t="shared" si="1"/>
        <v>7.325</v>
      </c>
      <c r="E321" s="4">
        <f t="shared" si="2"/>
        <v>4</v>
      </c>
      <c r="F321" s="15"/>
      <c r="G321" s="4"/>
    </row>
    <row r="322" ht="14.25" customHeight="1">
      <c r="A322" s="8" t="s">
        <v>836</v>
      </c>
      <c r="B322" s="8">
        <v>6.9</v>
      </c>
      <c r="C322" s="4" t="str">
        <f>IFERROR(__xludf.DUMMYFUNCTION("""COMPUTED_VALUE"""),"Frank Miller")</f>
        <v>Frank Miller</v>
      </c>
      <c r="D322" s="31">
        <f t="shared" si="1"/>
        <v>6.466666667</v>
      </c>
      <c r="E322" s="4">
        <f t="shared" si="2"/>
        <v>3</v>
      </c>
      <c r="F322" s="15"/>
      <c r="G322" s="4"/>
    </row>
    <row r="323" ht="14.25" customHeight="1">
      <c r="A323" s="8" t="s">
        <v>802</v>
      </c>
      <c r="B323" s="8">
        <v>6.6</v>
      </c>
      <c r="C323" s="4" t="str">
        <f>IFERROR(__xludf.DUMMYFUNCTION("""COMPUTED_VALUE"""),"Baltasar KormÃ¡kur")</f>
        <v>Baltasar KormÃ¡kur</v>
      </c>
      <c r="D323" s="31">
        <f t="shared" si="1"/>
        <v>6.766666667</v>
      </c>
      <c r="E323" s="4">
        <f t="shared" si="2"/>
        <v>3</v>
      </c>
      <c r="F323" s="15"/>
      <c r="G323" s="4"/>
    </row>
    <row r="324" ht="14.25" customHeight="1">
      <c r="A324" s="8" t="s">
        <v>364</v>
      </c>
      <c r="B324" s="8">
        <v>7.0</v>
      </c>
      <c r="C324" s="4" t="str">
        <f>IFERROR(__xludf.DUMMYFUNCTION("""COMPUTED_VALUE"""),"Daniel Lee")</f>
        <v>Daniel Lee</v>
      </c>
      <c r="D324" s="31">
        <f t="shared" si="1"/>
        <v>6.1</v>
      </c>
      <c r="E324" s="4">
        <f t="shared" si="2"/>
        <v>1</v>
      </c>
      <c r="F324" s="15"/>
      <c r="G324" s="4"/>
    </row>
    <row r="325" ht="14.25" customHeight="1">
      <c r="A325" s="8" t="s">
        <v>73</v>
      </c>
      <c r="B325" s="8">
        <v>6.7</v>
      </c>
      <c r="C325" s="4" t="str">
        <f>IFERROR(__xludf.DUMMYFUNCTION("""COMPUTED_VALUE"""),"Keenen Ivory Wayans")</f>
        <v>Keenen Ivory Wayans</v>
      </c>
      <c r="D325" s="31">
        <f t="shared" si="1"/>
        <v>5.175</v>
      </c>
      <c r="E325" s="4">
        <f t="shared" si="2"/>
        <v>4</v>
      </c>
      <c r="F325" s="15"/>
      <c r="G325" s="4"/>
    </row>
    <row r="326" ht="14.25" customHeight="1">
      <c r="A326" s="8" t="s">
        <v>29</v>
      </c>
      <c r="B326" s="8">
        <v>8.2</v>
      </c>
      <c r="C326" s="4" t="str">
        <f>IFERROR(__xludf.DUMMYFUNCTION("""COMPUTED_VALUE"""),"Rob Reiner")</f>
        <v>Rob Reiner</v>
      </c>
      <c r="D326" s="31">
        <f t="shared" si="1"/>
        <v>7.018181818</v>
      </c>
      <c r="E326" s="4">
        <f t="shared" si="2"/>
        <v>11</v>
      </c>
      <c r="F326" s="15"/>
      <c r="G326" s="4"/>
    </row>
    <row r="327" ht="14.25" customHeight="1">
      <c r="A327" s="8" t="s">
        <v>73</v>
      </c>
      <c r="B327" s="8">
        <v>8.9</v>
      </c>
      <c r="C327" s="4" t="str">
        <f>IFERROR(__xludf.DUMMYFUNCTION("""COMPUTED_VALUE"""),"Marco Schnabel")</f>
        <v>Marco Schnabel</v>
      </c>
      <c r="D327" s="31">
        <f t="shared" si="1"/>
        <v>3.8</v>
      </c>
      <c r="E327" s="4">
        <f t="shared" si="2"/>
        <v>1</v>
      </c>
      <c r="F327" s="15"/>
      <c r="G327" s="4"/>
    </row>
    <row r="328" ht="14.25" customHeight="1">
      <c r="A328" s="8" t="s">
        <v>73</v>
      </c>
      <c r="B328" s="8">
        <v>8.7</v>
      </c>
      <c r="C328" s="4" t="str">
        <f>IFERROR(__xludf.DUMMYFUNCTION("""COMPUTED_VALUE"""),"Demian Lichtenstein")</f>
        <v>Demian Lichtenstein</v>
      </c>
      <c r="D328" s="31">
        <f t="shared" si="1"/>
        <v>5.9</v>
      </c>
      <c r="E328" s="4">
        <f t="shared" si="2"/>
        <v>1</v>
      </c>
      <c r="F328" s="15"/>
      <c r="G328" s="4"/>
    </row>
    <row r="329" ht="14.25" customHeight="1">
      <c r="A329" s="8" t="s">
        <v>852</v>
      </c>
      <c r="B329" s="8">
        <v>5.5</v>
      </c>
      <c r="C329" s="4" t="str">
        <f>IFERROR(__xludf.DUMMYFUNCTION("""COMPUTED_VALUE"""),"Josh Gordon")</f>
        <v>Josh Gordon</v>
      </c>
      <c r="D329" s="31">
        <f t="shared" si="1"/>
        <v>6.2</v>
      </c>
      <c r="E329" s="4">
        <f t="shared" si="2"/>
        <v>2</v>
      </c>
      <c r="F329" s="15"/>
      <c r="G329" s="4"/>
    </row>
    <row r="330" ht="14.25" customHeight="1">
      <c r="A330" s="8" t="s">
        <v>743</v>
      </c>
      <c r="B330" s="8">
        <v>5.7</v>
      </c>
      <c r="C330" s="4" t="str">
        <f>IFERROR(__xludf.DUMMYFUNCTION("""COMPUTED_VALUE"""),"Tim Hill")</f>
        <v>Tim Hill</v>
      </c>
      <c r="D330" s="31">
        <f t="shared" si="1"/>
        <v>5.55</v>
      </c>
      <c r="E330" s="4">
        <f t="shared" si="2"/>
        <v>4</v>
      </c>
      <c r="F330" s="15"/>
      <c r="G330" s="4"/>
    </row>
    <row r="331" ht="14.25" customHeight="1">
      <c r="A331" s="8" t="s">
        <v>855</v>
      </c>
      <c r="B331" s="8">
        <v>6.3</v>
      </c>
      <c r="C331" s="4" t="str">
        <f>IFERROR(__xludf.DUMMYFUNCTION("""COMPUTED_VALUE"""),"David Frankel")</f>
        <v>David Frankel</v>
      </c>
      <c r="D331" s="31">
        <f t="shared" si="1"/>
        <v>6.6</v>
      </c>
      <c r="E331" s="4">
        <f t="shared" si="2"/>
        <v>4</v>
      </c>
      <c r="F331" s="15"/>
      <c r="G331" s="4"/>
    </row>
    <row r="332" ht="14.25" customHeight="1">
      <c r="A332" s="8" t="s">
        <v>379</v>
      </c>
      <c r="B332" s="8">
        <v>5.9</v>
      </c>
      <c r="C332" s="4" t="str">
        <f>IFERROR(__xludf.DUMMYFUNCTION("""COMPUTED_VALUE"""),"Brenda Chapman")</f>
        <v>Brenda Chapman</v>
      </c>
      <c r="D332" s="31">
        <f t="shared" si="1"/>
        <v>7</v>
      </c>
      <c r="E332" s="4">
        <f t="shared" si="2"/>
        <v>1</v>
      </c>
      <c r="F332" s="15"/>
      <c r="G332" s="4"/>
    </row>
    <row r="333" ht="14.25" customHeight="1">
      <c r="A333" s="8" t="s">
        <v>860</v>
      </c>
      <c r="B333" s="8">
        <v>7.6</v>
      </c>
      <c r="C333" s="4" t="str">
        <f>IFERROR(__xludf.DUMMYFUNCTION("""COMPUTED_VALUE"""),"Marc Lawrence")</f>
        <v>Marc Lawrence</v>
      </c>
      <c r="D333" s="31">
        <f t="shared" si="1"/>
        <v>5.4</v>
      </c>
      <c r="E333" s="4">
        <f t="shared" si="2"/>
        <v>2</v>
      </c>
      <c r="F333" s="15"/>
      <c r="G333" s="4"/>
    </row>
    <row r="334" ht="14.25" customHeight="1">
      <c r="A334" s="8" t="s">
        <v>863</v>
      </c>
      <c r="B334" s="8">
        <v>6.6</v>
      </c>
      <c r="C334" s="4" t="str">
        <f>IFERROR(__xludf.DUMMYFUNCTION("""COMPUTED_VALUE"""),"Peter Billingsley")</f>
        <v>Peter Billingsley</v>
      </c>
      <c r="D334" s="31">
        <f t="shared" si="1"/>
        <v>5.5</v>
      </c>
      <c r="E334" s="4">
        <f t="shared" si="2"/>
        <v>1</v>
      </c>
      <c r="F334" s="15"/>
      <c r="G334" s="4"/>
    </row>
    <row r="335" ht="14.25" customHeight="1">
      <c r="A335" s="8" t="s">
        <v>866</v>
      </c>
      <c r="B335" s="8">
        <v>5.3</v>
      </c>
      <c r="C335" s="4" t="str">
        <f>IFERROR(__xludf.DUMMYFUNCTION("""COMPUTED_VALUE"""),"Wes Ball")</f>
        <v>Wes Ball</v>
      </c>
      <c r="D335" s="31">
        <f t="shared" si="1"/>
        <v>6.6</v>
      </c>
      <c r="E335" s="4">
        <f t="shared" si="2"/>
        <v>2</v>
      </c>
      <c r="F335" s="15"/>
      <c r="G335" s="4"/>
    </row>
    <row r="336" ht="14.25" customHeight="1">
      <c r="A336" s="8" t="s">
        <v>868</v>
      </c>
      <c r="B336" s="8">
        <v>6.0</v>
      </c>
      <c r="C336" s="4" t="str">
        <f>IFERROR(__xludf.DUMMYFUNCTION("""COMPUTED_VALUE"""),"Ryan Murphy")</f>
        <v>Ryan Murphy</v>
      </c>
      <c r="D336" s="31">
        <f t="shared" si="1"/>
        <v>5.95</v>
      </c>
      <c r="E336" s="4">
        <f t="shared" si="2"/>
        <v>2</v>
      </c>
      <c r="F336" s="15"/>
      <c r="G336" s="4"/>
    </row>
    <row r="337" ht="14.25" customHeight="1">
      <c r="A337" s="8" t="s">
        <v>258</v>
      </c>
      <c r="B337" s="8">
        <v>8.0</v>
      </c>
      <c r="C337" s="4" t="str">
        <f>IFERROR(__xludf.DUMMYFUNCTION("""COMPUTED_VALUE"""),"Robert Redford")</f>
        <v>Robert Redford</v>
      </c>
      <c r="D337" s="31">
        <f t="shared" si="1"/>
        <v>6.84</v>
      </c>
      <c r="E337" s="4">
        <f t="shared" si="2"/>
        <v>5</v>
      </c>
      <c r="F337" s="15"/>
      <c r="G337" s="4"/>
    </row>
    <row r="338" ht="14.25" customHeight="1">
      <c r="A338" s="8" t="s">
        <v>875</v>
      </c>
      <c r="B338" s="8">
        <v>5.6</v>
      </c>
      <c r="C338" s="4" t="str">
        <f>IFERROR(__xludf.DUMMYFUNCTION("""COMPUTED_VALUE"""),"Jay Russell")</f>
        <v>Jay Russell</v>
      </c>
      <c r="D338" s="31">
        <f t="shared" si="1"/>
        <v>6.733333333</v>
      </c>
      <c r="E338" s="4">
        <f t="shared" si="2"/>
        <v>3</v>
      </c>
      <c r="F338" s="15"/>
      <c r="G338" s="4"/>
    </row>
    <row r="339" ht="14.25" customHeight="1">
      <c r="A339" s="8" t="s">
        <v>524</v>
      </c>
      <c r="B339" s="8">
        <v>5.9</v>
      </c>
      <c r="C339" s="4" t="str">
        <f>IFERROR(__xludf.DUMMYFUNCTION("""COMPUTED_VALUE"""),"Kenny Ortega")</f>
        <v>Kenny Ortega</v>
      </c>
      <c r="D339" s="31">
        <f t="shared" si="1"/>
        <v>6.166666667</v>
      </c>
      <c r="E339" s="4">
        <f t="shared" si="2"/>
        <v>3</v>
      </c>
      <c r="F339" s="15"/>
      <c r="G339" s="4"/>
    </row>
    <row r="340" ht="14.25" customHeight="1">
      <c r="A340" s="8" t="s">
        <v>69</v>
      </c>
      <c r="B340" s="8">
        <v>7.3</v>
      </c>
      <c r="C340" s="4" t="str">
        <f>IFERROR(__xludf.DUMMYFUNCTION("""COMPUTED_VALUE"""),"David McNally")</f>
        <v>David McNally</v>
      </c>
      <c r="D340" s="31">
        <f t="shared" si="1"/>
        <v>5</v>
      </c>
      <c r="E340" s="4">
        <f t="shared" si="2"/>
        <v>2</v>
      </c>
      <c r="F340" s="15"/>
      <c r="G340" s="4"/>
    </row>
    <row r="341" ht="14.25" customHeight="1">
      <c r="A341" s="8" t="s">
        <v>132</v>
      </c>
      <c r="B341" s="8">
        <v>7.9</v>
      </c>
      <c r="C341" s="4" t="str">
        <f>IFERROR(__xludf.DUMMYFUNCTION("""COMPUTED_VALUE"""),"Brian Robbins")</f>
        <v>Brian Robbins</v>
      </c>
      <c r="D341" s="31">
        <f t="shared" si="1"/>
        <v>5.533333333</v>
      </c>
      <c r="E341" s="4">
        <f t="shared" si="2"/>
        <v>6</v>
      </c>
      <c r="F341" s="15"/>
      <c r="G341" s="4"/>
    </row>
    <row r="342" ht="14.25" customHeight="1">
      <c r="A342" s="8" t="s">
        <v>722</v>
      </c>
      <c r="B342" s="8">
        <v>6.8</v>
      </c>
      <c r="C342" s="4" t="str">
        <f>IFERROR(__xludf.DUMMYFUNCTION("""COMPUTED_VALUE"""),"Brian Levant")</f>
        <v>Brian Levant</v>
      </c>
      <c r="D342" s="31">
        <f t="shared" si="1"/>
        <v>4.816666667</v>
      </c>
      <c r="E342" s="4">
        <f t="shared" si="2"/>
        <v>6</v>
      </c>
      <c r="F342" s="15"/>
      <c r="G342" s="4"/>
    </row>
    <row r="343" ht="14.25" customHeight="1">
      <c r="A343" s="8" t="s">
        <v>113</v>
      </c>
      <c r="B343" s="8">
        <v>6.6</v>
      </c>
      <c r="C343" s="4" t="str">
        <f>IFERROR(__xludf.DUMMYFUNCTION("""COMPUTED_VALUE"""),"Steven Zaillian")</f>
        <v>Steven Zaillian</v>
      </c>
      <c r="D343" s="31">
        <f t="shared" si="1"/>
        <v>6.35</v>
      </c>
      <c r="E343" s="4">
        <f t="shared" si="2"/>
        <v>2</v>
      </c>
      <c r="F343" s="15"/>
      <c r="G343" s="4"/>
    </row>
    <row r="344" ht="14.25" customHeight="1">
      <c r="A344" s="8" t="s">
        <v>186</v>
      </c>
      <c r="B344" s="8">
        <v>6.6</v>
      </c>
      <c r="C344" s="4" t="str">
        <f>IFERROR(__xludf.DUMMYFUNCTION("""COMPUTED_VALUE"""),"Chris Butler")</f>
        <v>Chris Butler</v>
      </c>
      <c r="D344" s="31">
        <f t="shared" si="1"/>
        <v>7</v>
      </c>
      <c r="E344" s="4">
        <f t="shared" si="2"/>
        <v>1</v>
      </c>
      <c r="F344" s="15"/>
      <c r="G344" s="4"/>
    </row>
    <row r="345" ht="14.25" customHeight="1">
      <c r="A345" s="8" t="s">
        <v>888</v>
      </c>
      <c r="B345" s="8">
        <v>7.0</v>
      </c>
      <c r="C345" s="4" t="str">
        <f>IFERROR(__xludf.DUMMYFUNCTION("""COMPUTED_VALUE"""),"Jon Avnet")</f>
        <v>Jon Avnet</v>
      </c>
      <c r="D345" s="31">
        <f t="shared" si="1"/>
        <v>6</v>
      </c>
      <c r="E345" s="4">
        <f t="shared" si="2"/>
        <v>3</v>
      </c>
      <c r="F345" s="15"/>
      <c r="G345" s="4"/>
    </row>
    <row r="346" ht="14.25" customHeight="1">
      <c r="A346" s="8" t="s">
        <v>532</v>
      </c>
      <c r="B346" s="8">
        <v>7.0</v>
      </c>
      <c r="C346" s="4" t="str">
        <f>IFERROR(__xludf.DUMMYFUNCTION("""COMPUTED_VALUE"""),"Sam Fell")</f>
        <v>Sam Fell</v>
      </c>
      <c r="D346" s="31">
        <f t="shared" si="1"/>
        <v>6.1</v>
      </c>
      <c r="E346" s="4">
        <f t="shared" si="2"/>
        <v>1</v>
      </c>
      <c r="F346" s="15"/>
      <c r="G346" s="4"/>
    </row>
    <row r="347" ht="14.25" customHeight="1">
      <c r="A347" s="8" t="s">
        <v>894</v>
      </c>
      <c r="B347" s="8">
        <v>7.3</v>
      </c>
      <c r="C347" s="4" t="str">
        <f>IFERROR(__xludf.DUMMYFUNCTION("""COMPUTED_VALUE"""),"Kevin Donovan")</f>
        <v>Kevin Donovan</v>
      </c>
      <c r="D347" s="31">
        <f t="shared" si="1"/>
        <v>5.3</v>
      </c>
      <c r="E347" s="4">
        <f t="shared" si="2"/>
        <v>1</v>
      </c>
      <c r="F347" s="15"/>
      <c r="G347" s="4"/>
    </row>
    <row r="348" ht="14.25" customHeight="1">
      <c r="A348" s="8" t="s">
        <v>142</v>
      </c>
      <c r="B348" s="8">
        <v>5.5</v>
      </c>
      <c r="C348" s="4" t="str">
        <f>IFERROR(__xludf.DUMMYFUNCTION("""COMPUTED_VALUE"""),"Geoff Murphy")</f>
        <v>Geoff Murphy</v>
      </c>
      <c r="D348" s="31">
        <f t="shared" si="1"/>
        <v>5.4</v>
      </c>
      <c r="E348" s="4">
        <f t="shared" si="2"/>
        <v>1</v>
      </c>
      <c r="F348" s="15"/>
      <c r="G348" s="4"/>
    </row>
    <row r="349" ht="14.25" customHeight="1">
      <c r="A349" s="8" t="s">
        <v>208</v>
      </c>
      <c r="B349" s="8">
        <v>8.5</v>
      </c>
      <c r="C349" s="4" t="str">
        <f>IFERROR(__xludf.DUMMYFUNCTION("""COMPUTED_VALUE"""),"David O. Russell")</f>
        <v>David O. Russell</v>
      </c>
      <c r="D349" s="31">
        <f t="shared" si="1"/>
        <v>7.171428571</v>
      </c>
      <c r="E349" s="4">
        <f t="shared" si="2"/>
        <v>7</v>
      </c>
      <c r="F349" s="15"/>
      <c r="G349" s="4"/>
    </row>
    <row r="350" ht="14.25" customHeight="1">
      <c r="A350" s="8" t="s">
        <v>903</v>
      </c>
      <c r="B350" s="8">
        <v>7.5</v>
      </c>
      <c r="C350" s="4" t="str">
        <f>IFERROR(__xludf.DUMMYFUNCTION("""COMPUTED_VALUE"""),"Babak Najafi")</f>
        <v>Babak Najafi</v>
      </c>
      <c r="D350" s="31">
        <f t="shared" si="1"/>
        <v>5.9</v>
      </c>
      <c r="E350" s="4">
        <f t="shared" si="2"/>
        <v>1</v>
      </c>
      <c r="F350" s="15"/>
      <c r="G350" s="4"/>
    </row>
    <row r="351" ht="14.25" customHeight="1">
      <c r="A351" s="8" t="s">
        <v>894</v>
      </c>
      <c r="B351" s="8">
        <v>7.0</v>
      </c>
      <c r="C351" s="4" t="str">
        <f>IFERROR(__xludf.DUMMYFUNCTION("""COMPUTED_VALUE"""),"Jean-Pierre Jeunet")</f>
        <v>Jean-Pierre Jeunet</v>
      </c>
      <c r="D351" s="31">
        <f t="shared" si="1"/>
        <v>7.34</v>
      </c>
      <c r="E351" s="4">
        <f t="shared" si="2"/>
        <v>5</v>
      </c>
      <c r="F351" s="15"/>
      <c r="G351" s="4"/>
    </row>
    <row r="352" ht="14.25" customHeight="1">
      <c r="A352" s="8" t="s">
        <v>291</v>
      </c>
      <c r="B352" s="8">
        <v>7.8</v>
      </c>
      <c r="C352" s="4" t="str">
        <f>IFERROR(__xludf.DUMMYFUNCTION("""COMPUTED_VALUE"""),"Graham Annable")</f>
        <v>Graham Annable</v>
      </c>
      <c r="D352" s="31">
        <f t="shared" si="1"/>
        <v>6.8</v>
      </c>
      <c r="E352" s="4">
        <f t="shared" si="2"/>
        <v>1</v>
      </c>
      <c r="F352" s="15"/>
      <c r="G352" s="4"/>
    </row>
    <row r="353" ht="14.25" customHeight="1">
      <c r="A353" s="8" t="s">
        <v>545</v>
      </c>
      <c r="B353" s="8">
        <v>7.6</v>
      </c>
      <c r="C353" s="4" t="str">
        <f>IFERROR(__xludf.DUMMYFUNCTION("""COMPUTED_VALUE"""),"Griffin Dunne")</f>
        <v>Griffin Dunne</v>
      </c>
      <c r="D353" s="31">
        <f t="shared" si="1"/>
        <v>6.1</v>
      </c>
      <c r="E353" s="4">
        <f t="shared" si="2"/>
        <v>1</v>
      </c>
      <c r="F353" s="15"/>
      <c r="G353" s="4"/>
    </row>
    <row r="354" ht="14.25" customHeight="1">
      <c r="A354" s="8" t="s">
        <v>538</v>
      </c>
      <c r="B354" s="8">
        <v>7.6</v>
      </c>
      <c r="C354" s="4" t="str">
        <f>IFERROR(__xludf.DUMMYFUNCTION("""COMPUTED_VALUE"""),"John Pasquin")</f>
        <v>John Pasquin</v>
      </c>
      <c r="D354" s="31">
        <f t="shared" si="1"/>
        <v>5.633333333</v>
      </c>
      <c r="E354" s="4">
        <f t="shared" si="2"/>
        <v>3</v>
      </c>
      <c r="F354" s="15"/>
      <c r="G354" s="4"/>
    </row>
    <row r="355" ht="14.25" customHeight="1">
      <c r="A355" s="8" t="s">
        <v>737</v>
      </c>
      <c r="B355" s="8">
        <v>6.8</v>
      </c>
      <c r="C355" s="4" t="str">
        <f>IFERROR(__xludf.DUMMYFUNCTION("""COMPUTED_VALUE"""),"Ruben Fleischer")</f>
        <v>Ruben Fleischer</v>
      </c>
      <c r="D355" s="31">
        <f t="shared" si="1"/>
        <v>6.833333333</v>
      </c>
      <c r="E355" s="4">
        <f t="shared" si="2"/>
        <v>3</v>
      </c>
      <c r="F355" s="15"/>
      <c r="G355" s="4"/>
    </row>
    <row r="356" ht="14.25" customHeight="1">
      <c r="A356" s="8" t="s">
        <v>916</v>
      </c>
      <c r="B356" s="8">
        <v>5.0</v>
      </c>
      <c r="C356" s="4" t="str">
        <f>IFERROR(__xludf.DUMMYFUNCTION("""COMPUTED_VALUE"""),"Harold Ramis")</f>
        <v>Harold Ramis</v>
      </c>
      <c r="D356" s="31">
        <f t="shared" si="1"/>
        <v>6.55</v>
      </c>
      <c r="E356" s="4">
        <f t="shared" si="2"/>
        <v>8</v>
      </c>
      <c r="F356" s="15"/>
      <c r="G356" s="4"/>
    </row>
    <row r="357" ht="14.25" customHeight="1">
      <c r="A357" s="8" t="s">
        <v>51</v>
      </c>
      <c r="B357" s="8">
        <v>7.1</v>
      </c>
      <c r="C357" s="4" t="str">
        <f>IFERROR(__xludf.DUMMYFUNCTION("""COMPUTED_VALUE"""),"Donald Petrie")</f>
        <v>Donald Petrie</v>
      </c>
      <c r="D357" s="31">
        <f t="shared" si="1"/>
        <v>5.6625</v>
      </c>
      <c r="E357" s="4">
        <f t="shared" si="2"/>
        <v>8</v>
      </c>
      <c r="F357" s="15"/>
      <c r="G357" s="4"/>
    </row>
    <row r="358" ht="14.25" customHeight="1">
      <c r="A358" s="8" t="s">
        <v>922</v>
      </c>
      <c r="B358" s="8">
        <v>5.5</v>
      </c>
      <c r="C358" s="4" t="str">
        <f>IFERROR(__xludf.DUMMYFUNCTION("""COMPUTED_VALUE"""),"Jorge Blanco")</f>
        <v>Jorge Blanco</v>
      </c>
      <c r="D358" s="31">
        <f t="shared" si="1"/>
        <v>6.1</v>
      </c>
      <c r="E358" s="4">
        <f t="shared" si="2"/>
        <v>1</v>
      </c>
      <c r="F358" s="15"/>
      <c r="G358" s="4"/>
    </row>
    <row r="359" ht="14.25" customHeight="1">
      <c r="A359" s="8" t="s">
        <v>524</v>
      </c>
      <c r="B359" s="8">
        <v>5.6</v>
      </c>
      <c r="C359" s="4" t="str">
        <f>IFERROR(__xludf.DUMMYFUNCTION("""COMPUTED_VALUE"""),"Stuart Baird")</f>
        <v>Stuart Baird</v>
      </c>
      <c r="D359" s="31">
        <f t="shared" si="1"/>
        <v>6.4</v>
      </c>
      <c r="E359" s="4">
        <f t="shared" si="2"/>
        <v>2</v>
      </c>
      <c r="F359" s="15"/>
      <c r="G359" s="4"/>
    </row>
    <row r="360" ht="14.25" customHeight="1">
      <c r="A360" s="8" t="s">
        <v>168</v>
      </c>
      <c r="B360" s="8">
        <v>7.1</v>
      </c>
      <c r="C360" s="4" t="str">
        <f>IFERROR(__xludf.DUMMYFUNCTION("""COMPUTED_VALUE"""),"Joel Coen")</f>
        <v>Joel Coen</v>
      </c>
      <c r="D360" s="31">
        <f t="shared" si="1"/>
        <v>7.4</v>
      </c>
      <c r="E360" s="4">
        <f t="shared" si="2"/>
        <v>4</v>
      </c>
      <c r="F360" s="15"/>
      <c r="G360" s="4"/>
    </row>
    <row r="361" ht="14.25" customHeight="1">
      <c r="A361" s="8" t="s">
        <v>401</v>
      </c>
      <c r="B361" s="8">
        <v>4.9</v>
      </c>
      <c r="C361" s="4" t="str">
        <f>IFERROR(__xludf.DUMMYFUNCTION("""COMPUTED_VALUE"""),"Harold Becker")</f>
        <v>Harold Becker</v>
      </c>
      <c r="D361" s="31">
        <f t="shared" si="1"/>
        <v>6.14</v>
      </c>
      <c r="E361" s="4">
        <f t="shared" si="2"/>
        <v>5</v>
      </c>
      <c r="F361" s="15"/>
      <c r="G361" s="4"/>
    </row>
    <row r="362" ht="14.25" customHeight="1">
      <c r="A362" s="8" t="s">
        <v>186</v>
      </c>
      <c r="B362" s="8">
        <v>7.4</v>
      </c>
      <c r="C362" s="4" t="str">
        <f>IFERROR(__xludf.DUMMYFUNCTION("""COMPUTED_VALUE"""),"Scott Stewart")</f>
        <v>Scott Stewart</v>
      </c>
      <c r="D362" s="31">
        <f t="shared" si="1"/>
        <v>5.45</v>
      </c>
      <c r="E362" s="4">
        <f t="shared" si="2"/>
        <v>2</v>
      </c>
      <c r="F362" s="15"/>
      <c r="G362" s="4"/>
    </row>
    <row r="363" ht="14.25" customHeight="1">
      <c r="A363" s="8" t="s">
        <v>542</v>
      </c>
      <c r="B363" s="8">
        <v>5.7</v>
      </c>
      <c r="C363" s="4" t="str">
        <f>IFERROR(__xludf.DUMMYFUNCTION("""COMPUTED_VALUE"""),"Patrick Gilmore")</f>
        <v>Patrick Gilmore</v>
      </c>
      <c r="D363" s="31">
        <f t="shared" si="1"/>
        <v>6.7</v>
      </c>
      <c r="E363" s="4">
        <f t="shared" si="2"/>
        <v>1</v>
      </c>
      <c r="F363" s="15"/>
      <c r="G363" s="4"/>
    </row>
    <row r="364" ht="14.25" customHeight="1">
      <c r="A364" s="8" t="s">
        <v>937</v>
      </c>
      <c r="B364" s="8">
        <v>6.4</v>
      </c>
      <c r="C364" s="4" t="str">
        <f>IFERROR(__xludf.DUMMYFUNCTION("""COMPUTED_VALUE"""),"Tony Bill")</f>
        <v>Tony Bill</v>
      </c>
      <c r="D364" s="31">
        <f t="shared" si="1"/>
        <v>6.6</v>
      </c>
      <c r="E364" s="4">
        <f t="shared" si="2"/>
        <v>1</v>
      </c>
      <c r="F364" s="15"/>
      <c r="G364" s="4"/>
    </row>
    <row r="365" ht="14.25" customHeight="1">
      <c r="A365" s="8" t="s">
        <v>942</v>
      </c>
      <c r="B365" s="8">
        <v>5.9</v>
      </c>
      <c r="C365" s="4" t="str">
        <f>IFERROR(__xludf.DUMMYFUNCTION("""COMPUTED_VALUE"""),"Rod Lurie")</f>
        <v>Rod Lurie</v>
      </c>
      <c r="D365" s="31">
        <f t="shared" si="1"/>
        <v>6.6</v>
      </c>
      <c r="E365" s="4">
        <f t="shared" si="2"/>
        <v>5</v>
      </c>
      <c r="F365" s="15"/>
      <c r="G365" s="4"/>
    </row>
    <row r="366" ht="14.25" customHeight="1">
      <c r="A366" s="8" t="s">
        <v>669</v>
      </c>
      <c r="B366" s="8">
        <v>5.5</v>
      </c>
      <c r="C366" s="4" t="str">
        <f>IFERROR(__xludf.DUMMYFUNCTION("""COMPUTED_VALUE"""),"Walter Hill")</f>
        <v>Walter Hill</v>
      </c>
      <c r="D366" s="31">
        <f t="shared" si="1"/>
        <v>5.533333333</v>
      </c>
      <c r="E366" s="4">
        <f t="shared" si="2"/>
        <v>3</v>
      </c>
      <c r="F366" s="15"/>
      <c r="G366" s="4"/>
    </row>
    <row r="367" ht="14.25" customHeight="1">
      <c r="A367" s="8" t="s">
        <v>451</v>
      </c>
      <c r="B367" s="8">
        <v>6.9</v>
      </c>
      <c r="C367" s="4" t="str">
        <f>IFERROR(__xludf.DUMMYFUNCTION("""COMPUTED_VALUE"""),"Akiva Goldsman")</f>
        <v>Akiva Goldsman</v>
      </c>
      <c r="D367" s="31">
        <f t="shared" si="1"/>
        <v>6.2</v>
      </c>
      <c r="E367" s="4">
        <f t="shared" si="2"/>
        <v>1</v>
      </c>
      <c r="F367" s="15"/>
      <c r="G367" s="4"/>
    </row>
    <row r="368" ht="14.25" customHeight="1">
      <c r="A368" s="8" t="s">
        <v>502</v>
      </c>
      <c r="B368" s="8">
        <v>6.2</v>
      </c>
      <c r="C368" s="4" t="str">
        <f>IFERROR(__xludf.DUMMYFUNCTION("""COMPUTED_VALUE"""),"Harald Zwart")</f>
        <v>Harald Zwart</v>
      </c>
      <c r="D368" s="31">
        <f t="shared" si="1"/>
        <v>5.5</v>
      </c>
      <c r="E368" s="4">
        <f t="shared" si="2"/>
        <v>2</v>
      </c>
      <c r="F368" s="15"/>
      <c r="G368" s="4"/>
    </row>
    <row r="369" ht="14.25" customHeight="1">
      <c r="A369" s="8" t="s">
        <v>722</v>
      </c>
      <c r="B369" s="8">
        <v>7.0</v>
      </c>
      <c r="C369" s="4" t="str">
        <f>IFERROR(__xludf.DUMMYFUNCTION("""COMPUTED_VALUE"""),"Walter Salles")</f>
        <v>Walter Salles</v>
      </c>
      <c r="D369" s="31">
        <f t="shared" si="1"/>
        <v>6.566666667</v>
      </c>
      <c r="E369" s="4">
        <f t="shared" si="2"/>
        <v>3</v>
      </c>
      <c r="F369" s="15"/>
      <c r="G369" s="4"/>
    </row>
    <row r="370" ht="14.25" customHeight="1">
      <c r="A370" s="8" t="s">
        <v>950</v>
      </c>
      <c r="B370" s="8">
        <v>5.6</v>
      </c>
      <c r="C370" s="4" t="str">
        <f>IFERROR(__xludf.DUMMYFUNCTION("""COMPUTED_VALUE"""),"Iain Softley")</f>
        <v>Iain Softley</v>
      </c>
      <c r="D370" s="31">
        <f t="shared" si="1"/>
        <v>6.55</v>
      </c>
      <c r="E370" s="4">
        <f t="shared" si="2"/>
        <v>4</v>
      </c>
      <c r="F370" s="15"/>
      <c r="G370" s="4"/>
    </row>
    <row r="371" ht="14.25" customHeight="1">
      <c r="A371" s="8" t="s">
        <v>532</v>
      </c>
      <c r="B371" s="8">
        <v>7.0</v>
      </c>
      <c r="C371" s="4" t="str">
        <f>IFERROR(__xludf.DUMMYFUNCTION("""COMPUTED_VALUE"""),"David Koepp")</f>
        <v>David Koepp</v>
      </c>
      <c r="D371" s="31">
        <f t="shared" si="1"/>
        <v>6.46</v>
      </c>
      <c r="E371" s="4">
        <f t="shared" si="2"/>
        <v>5</v>
      </c>
      <c r="F371" s="15"/>
      <c r="G371" s="4"/>
    </row>
    <row r="372" ht="14.25" customHeight="1">
      <c r="A372" s="8" t="s">
        <v>524</v>
      </c>
      <c r="B372" s="8">
        <v>6.8</v>
      </c>
      <c r="C372" s="4" t="str">
        <f>IFERROR(__xludf.DUMMYFUNCTION("""COMPUTED_VALUE"""),"Uwe Boll")</f>
        <v>Uwe Boll</v>
      </c>
      <c r="D372" s="31">
        <f t="shared" si="1"/>
        <v>3</v>
      </c>
      <c r="E372" s="4">
        <f t="shared" si="2"/>
        <v>3</v>
      </c>
      <c r="F372" s="15"/>
      <c r="G372" s="4"/>
    </row>
    <row r="373" ht="14.25" customHeight="1">
      <c r="A373" s="8" t="s">
        <v>957</v>
      </c>
      <c r="B373" s="8">
        <v>5.4</v>
      </c>
      <c r="C373" s="4" t="str">
        <f>IFERROR(__xludf.DUMMYFUNCTION("""COMPUTED_VALUE"""),"John Dahl")</f>
        <v>John Dahl</v>
      </c>
      <c r="D373" s="31">
        <f t="shared" si="1"/>
        <v>6.8</v>
      </c>
      <c r="E373" s="4">
        <f t="shared" si="2"/>
        <v>4</v>
      </c>
      <c r="F373" s="15"/>
      <c r="G373" s="4"/>
    </row>
    <row r="374" ht="14.25" customHeight="1">
      <c r="A374" s="8" t="s">
        <v>959</v>
      </c>
      <c r="B374" s="8">
        <v>6.1</v>
      </c>
      <c r="C374" s="4" t="str">
        <f>IFERROR(__xludf.DUMMYFUNCTION("""COMPUTED_VALUE"""),"Tim Miller")</f>
        <v>Tim Miller</v>
      </c>
      <c r="D374" s="31">
        <f t="shared" si="1"/>
        <v>8.1</v>
      </c>
      <c r="E374" s="4">
        <f t="shared" si="2"/>
        <v>1</v>
      </c>
      <c r="F374" s="15"/>
      <c r="G374" s="4"/>
    </row>
    <row r="375" ht="14.25" customHeight="1">
      <c r="A375" s="8" t="s">
        <v>961</v>
      </c>
      <c r="B375" s="8">
        <v>6.7</v>
      </c>
      <c r="C375" s="4" t="str">
        <f>IFERROR(__xludf.DUMMYFUNCTION("""COMPUTED_VALUE"""),"Stephen Herek")</f>
        <v>Stephen Herek</v>
      </c>
      <c r="D375" s="31">
        <f t="shared" si="1"/>
        <v>6.128571429</v>
      </c>
      <c r="E375" s="4">
        <f t="shared" si="2"/>
        <v>7</v>
      </c>
      <c r="F375" s="15"/>
      <c r="G375" s="4"/>
    </row>
    <row r="376" ht="14.25" customHeight="1">
      <c r="A376" s="8" t="s">
        <v>963</v>
      </c>
      <c r="B376" s="8">
        <v>6.9</v>
      </c>
      <c r="C376" s="4" t="str">
        <f>IFERROR(__xludf.DUMMYFUNCTION("""COMPUTED_VALUE"""),"Peter MacDonald")</f>
        <v>Peter MacDonald</v>
      </c>
      <c r="D376" s="31">
        <f t="shared" si="1"/>
        <v>5.7</v>
      </c>
      <c r="E376" s="4">
        <f t="shared" si="2"/>
        <v>1</v>
      </c>
      <c r="F376" s="15"/>
      <c r="G376" s="4"/>
    </row>
    <row r="377" ht="14.25" customHeight="1">
      <c r="A377" s="8" t="s">
        <v>361</v>
      </c>
      <c r="B377" s="8">
        <v>8.0</v>
      </c>
      <c r="C377" s="4" t="str">
        <f>IFERROR(__xludf.DUMMYFUNCTION("""COMPUTED_VALUE"""),"Anthony Hemingway")</f>
        <v>Anthony Hemingway</v>
      </c>
      <c r="D377" s="31">
        <f t="shared" si="1"/>
        <v>5.9</v>
      </c>
      <c r="E377" s="4">
        <f t="shared" si="2"/>
        <v>1</v>
      </c>
      <c r="F377" s="15"/>
      <c r="G377" s="4"/>
    </row>
    <row r="378" ht="14.25" customHeight="1">
      <c r="A378" s="8" t="s">
        <v>968</v>
      </c>
      <c r="B378" s="8">
        <v>4.4</v>
      </c>
      <c r="C378" s="4" t="str">
        <f>IFERROR(__xludf.DUMMYFUNCTION("""COMPUTED_VALUE"""),"Sean Anders")</f>
        <v>Sean Anders</v>
      </c>
      <c r="D378" s="31">
        <f t="shared" si="1"/>
        <v>6.125</v>
      </c>
      <c r="E378" s="4">
        <f t="shared" si="2"/>
        <v>4</v>
      </c>
      <c r="F378" s="15"/>
      <c r="G378" s="4"/>
    </row>
    <row r="379" ht="14.25" customHeight="1">
      <c r="A379" s="8" t="s">
        <v>972</v>
      </c>
      <c r="B379" s="8">
        <v>7.3</v>
      </c>
      <c r="C379" s="4" t="str">
        <f>IFERROR(__xludf.DUMMYFUNCTION("""COMPUTED_VALUE"""),"Mark Neveldine")</f>
        <v>Mark Neveldine</v>
      </c>
      <c r="D379" s="31">
        <f t="shared" si="1"/>
        <v>5.56</v>
      </c>
      <c r="E379" s="4">
        <f t="shared" si="2"/>
        <v>5</v>
      </c>
      <c r="F379" s="15"/>
      <c r="G379" s="4"/>
    </row>
    <row r="380" ht="14.25" customHeight="1">
      <c r="A380" s="8" t="s">
        <v>669</v>
      </c>
      <c r="B380" s="8">
        <v>6.3</v>
      </c>
      <c r="C380" s="4" t="str">
        <f>IFERROR(__xludf.DUMMYFUNCTION("""COMPUTED_VALUE"""),"John Madden")</f>
        <v>John Madden</v>
      </c>
      <c r="D380" s="31">
        <f t="shared" si="1"/>
        <v>6.78</v>
      </c>
      <c r="E380" s="4">
        <f t="shared" si="2"/>
        <v>5</v>
      </c>
      <c r="F380" s="15"/>
      <c r="G380" s="4"/>
    </row>
    <row r="381" ht="14.25" customHeight="1">
      <c r="A381" s="8" t="s">
        <v>186</v>
      </c>
      <c r="B381" s="8">
        <v>7.7</v>
      </c>
      <c r="C381" s="4" t="str">
        <f>IFERROR(__xludf.DUMMYFUNCTION("""COMPUTED_VALUE"""),"Kevin Bray")</f>
        <v>Kevin Bray</v>
      </c>
      <c r="D381" s="31">
        <f t="shared" si="1"/>
        <v>5.95</v>
      </c>
      <c r="E381" s="4">
        <f t="shared" si="2"/>
        <v>2</v>
      </c>
      <c r="F381" s="15"/>
      <c r="G381" s="4"/>
    </row>
    <row r="382" ht="14.25" customHeight="1">
      <c r="A382" s="8" t="s">
        <v>359</v>
      </c>
      <c r="B382" s="8">
        <v>6.5</v>
      </c>
      <c r="C382" s="4" t="str">
        <f>IFERROR(__xludf.DUMMYFUNCTION("""COMPUTED_VALUE"""),"Mike Gabriel")</f>
        <v>Mike Gabriel</v>
      </c>
      <c r="D382" s="31">
        <f t="shared" si="1"/>
        <v>6.6</v>
      </c>
      <c r="E382" s="4">
        <f t="shared" si="2"/>
        <v>1</v>
      </c>
      <c r="F382" s="15"/>
      <c r="G382" s="4"/>
    </row>
    <row r="383" ht="14.25" customHeight="1">
      <c r="A383" s="8" t="s">
        <v>484</v>
      </c>
      <c r="B383" s="8">
        <v>7.8</v>
      </c>
      <c r="C383" s="4" t="str">
        <f>IFERROR(__xludf.DUMMYFUNCTION("""COMPUTED_VALUE"""),"Sam Weisman")</f>
        <v>Sam Weisman</v>
      </c>
      <c r="D383" s="31">
        <f t="shared" si="1"/>
        <v>5.45</v>
      </c>
      <c r="E383" s="4">
        <f t="shared" si="2"/>
        <v>4</v>
      </c>
      <c r="F383" s="15"/>
      <c r="G383" s="4"/>
    </row>
    <row r="384" ht="14.25" customHeight="1">
      <c r="A384" s="8" t="s">
        <v>303</v>
      </c>
      <c r="B384" s="8">
        <v>6.4</v>
      </c>
      <c r="C384" s="4" t="str">
        <f>IFERROR(__xludf.DUMMYFUNCTION("""COMPUTED_VALUE"""),"Jesse Dylan")</f>
        <v>Jesse Dylan</v>
      </c>
      <c r="D384" s="31">
        <f t="shared" si="1"/>
        <v>6.033333333</v>
      </c>
      <c r="E384" s="4">
        <f t="shared" si="2"/>
        <v>3</v>
      </c>
      <c r="F384" s="15"/>
      <c r="G384" s="4"/>
    </row>
    <row r="385" ht="14.25" customHeight="1">
      <c r="A385" s="8" t="s">
        <v>639</v>
      </c>
      <c r="B385" s="8">
        <v>7.8</v>
      </c>
      <c r="C385" s="4" t="str">
        <f>IFERROR(__xludf.DUMMYFUNCTION("""COMPUTED_VALUE"""),"Wayne Wang")</f>
        <v>Wayne Wang</v>
      </c>
      <c r="D385" s="31">
        <f t="shared" si="1"/>
        <v>6.02</v>
      </c>
      <c r="E385" s="4">
        <f t="shared" si="2"/>
        <v>5</v>
      </c>
      <c r="F385" s="15"/>
      <c r="G385" s="4"/>
    </row>
    <row r="386" ht="14.25" customHeight="1">
      <c r="A386" s="8" t="s">
        <v>983</v>
      </c>
      <c r="B386" s="8">
        <v>5.8</v>
      </c>
      <c r="C386" s="4" t="str">
        <f>IFERROR(__xludf.DUMMYFUNCTION("""COMPUTED_VALUE"""),"Gabriele Muccino")</f>
        <v>Gabriele Muccino</v>
      </c>
      <c r="D386" s="31">
        <f t="shared" si="1"/>
        <v>6.975</v>
      </c>
      <c r="E386" s="4">
        <f t="shared" si="2"/>
        <v>4</v>
      </c>
      <c r="F386" s="15"/>
      <c r="G386" s="4"/>
    </row>
    <row r="387" ht="14.25" customHeight="1">
      <c r="A387" s="8" t="s">
        <v>985</v>
      </c>
      <c r="B387" s="8">
        <v>7.1</v>
      </c>
      <c r="C387" s="4" t="str">
        <f>IFERROR(__xludf.DUMMYFUNCTION("""COMPUTED_VALUE"""),"Tom Dey")</f>
        <v>Tom Dey</v>
      </c>
      <c r="D387" s="31">
        <f t="shared" si="1"/>
        <v>5.466666667</v>
      </c>
      <c r="E387" s="4">
        <f t="shared" si="2"/>
        <v>3</v>
      </c>
      <c r="F387" s="15"/>
      <c r="G387" s="4"/>
    </row>
    <row r="388" ht="14.25" customHeight="1">
      <c r="A388" s="8" t="s">
        <v>987</v>
      </c>
      <c r="B388" s="8">
        <v>7.1</v>
      </c>
      <c r="C388" s="4" t="str">
        <f>IFERROR(__xludf.DUMMYFUNCTION("""COMPUTED_VALUE"""),"Jimmy Hayward")</f>
        <v>Jimmy Hayward</v>
      </c>
      <c r="D388" s="31">
        <f t="shared" si="1"/>
        <v>5.3</v>
      </c>
      <c r="E388" s="4">
        <f t="shared" si="2"/>
        <v>2</v>
      </c>
      <c r="F388" s="15"/>
      <c r="G388" s="4"/>
    </row>
    <row r="389" ht="14.25" customHeight="1">
      <c r="A389" s="8" t="s">
        <v>991</v>
      </c>
      <c r="B389" s="8">
        <v>6.8</v>
      </c>
      <c r="C389" s="4" t="str">
        <f>IFERROR(__xludf.DUMMYFUNCTION("""COMPUTED_VALUE"""),"Alan Parker")</f>
        <v>Alan Parker</v>
      </c>
      <c r="D389" s="31">
        <f t="shared" si="1"/>
        <v>7.033333333</v>
      </c>
      <c r="E389" s="4">
        <f t="shared" si="2"/>
        <v>3</v>
      </c>
      <c r="F389" s="15"/>
      <c r="G389" s="4"/>
    </row>
    <row r="390" ht="14.25" customHeight="1">
      <c r="A390" s="8" t="s">
        <v>987</v>
      </c>
      <c r="B390" s="8">
        <v>4.8</v>
      </c>
      <c r="C390" s="4" t="str">
        <f>IFERROR(__xludf.DUMMYFUNCTION("""COMPUTED_VALUE"""),"John Frankenheimer")</f>
        <v>John Frankenheimer</v>
      </c>
      <c r="D390" s="31">
        <f t="shared" si="1"/>
        <v>5.8</v>
      </c>
      <c r="E390" s="4">
        <f t="shared" si="2"/>
        <v>3</v>
      </c>
      <c r="F390" s="15"/>
      <c r="G390" s="4"/>
    </row>
    <row r="391" ht="14.25" customHeight="1">
      <c r="A391" s="8" t="s">
        <v>113</v>
      </c>
      <c r="B391" s="8">
        <v>6.2</v>
      </c>
      <c r="C391" s="4" t="str">
        <f>IFERROR(__xludf.DUMMYFUNCTION("""COMPUTED_VALUE"""),"Paul King")</f>
        <v>Paul King</v>
      </c>
      <c r="D391" s="31">
        <f t="shared" si="1"/>
        <v>7.2</v>
      </c>
      <c r="E391" s="4">
        <f t="shared" si="2"/>
        <v>1</v>
      </c>
      <c r="F391" s="15"/>
      <c r="G391" s="4"/>
    </row>
    <row r="392" ht="14.25" customHeight="1">
      <c r="A392" s="8" t="s">
        <v>996</v>
      </c>
      <c r="B392" s="8">
        <v>6.9</v>
      </c>
      <c r="C392" s="4" t="str">
        <f>IFERROR(__xludf.DUMMYFUNCTION("""COMPUTED_VALUE"""),"Akiva Schaffer")</f>
        <v>Akiva Schaffer</v>
      </c>
      <c r="D392" s="31">
        <f t="shared" si="1"/>
        <v>5.7</v>
      </c>
      <c r="E392" s="4">
        <f t="shared" si="2"/>
        <v>2</v>
      </c>
      <c r="F392" s="15"/>
      <c r="G392" s="4"/>
    </row>
    <row r="393" ht="14.25" customHeight="1">
      <c r="A393" s="8" t="s">
        <v>722</v>
      </c>
      <c r="B393" s="8">
        <v>7.3</v>
      </c>
      <c r="C393" s="4" t="str">
        <f>IFERROR(__xludf.DUMMYFUNCTION("""COMPUTED_VALUE"""),"William Friedkin")</f>
        <v>William Friedkin</v>
      </c>
      <c r="D393" s="31">
        <f t="shared" si="1"/>
        <v>6.45</v>
      </c>
      <c r="E393" s="4">
        <f t="shared" si="2"/>
        <v>4</v>
      </c>
      <c r="F393" s="15"/>
      <c r="G393" s="4"/>
    </row>
    <row r="394" ht="14.25" customHeight="1">
      <c r="A394" s="8" t="s">
        <v>996</v>
      </c>
      <c r="B394" s="8">
        <v>6.6</v>
      </c>
      <c r="C394" s="4" t="str">
        <f>IFERROR(__xludf.DUMMYFUNCTION("""COMPUTED_VALUE"""),"Kent Alterman")</f>
        <v>Kent Alterman</v>
      </c>
      <c r="D394" s="31">
        <f t="shared" si="1"/>
        <v>5.8</v>
      </c>
      <c r="E394" s="4">
        <f t="shared" si="2"/>
        <v>1</v>
      </c>
      <c r="F394" s="15"/>
      <c r="G394" s="4"/>
    </row>
    <row r="395" ht="14.25" customHeight="1">
      <c r="A395" s="8" t="s">
        <v>639</v>
      </c>
      <c r="B395" s="8">
        <v>6.9</v>
      </c>
      <c r="C395" s="4" t="str">
        <f>IFERROR(__xludf.DUMMYFUNCTION("""COMPUTED_VALUE"""),"Peter Lord")</f>
        <v>Peter Lord</v>
      </c>
      <c r="D395" s="31">
        <f t="shared" si="1"/>
        <v>6.85</v>
      </c>
      <c r="E395" s="4">
        <f t="shared" si="2"/>
        <v>2</v>
      </c>
      <c r="F395" s="15"/>
      <c r="G395" s="4"/>
    </row>
    <row r="396" ht="14.25" customHeight="1">
      <c r="A396" s="8" t="s">
        <v>1004</v>
      </c>
      <c r="B396" s="8">
        <v>6.2</v>
      </c>
      <c r="C396" s="4" t="str">
        <f>IFERROR(__xludf.DUMMYFUNCTION("""COMPUTED_VALUE"""),"Shekhar Kapur")</f>
        <v>Shekhar Kapur</v>
      </c>
      <c r="D396" s="31">
        <f t="shared" si="1"/>
        <v>6.966666667</v>
      </c>
      <c r="E396" s="4">
        <f t="shared" si="2"/>
        <v>3</v>
      </c>
      <c r="F396" s="15"/>
      <c r="G396" s="4"/>
    </row>
    <row r="397" ht="14.25" customHeight="1">
      <c r="A397" s="8" t="s">
        <v>1006</v>
      </c>
      <c r="B397" s="8">
        <v>6.7</v>
      </c>
      <c r="C397" s="4" t="str">
        <f>IFERROR(__xludf.DUMMYFUNCTION("""COMPUTED_VALUE"""),"Karyn Kusama")</f>
        <v>Karyn Kusama</v>
      </c>
      <c r="D397" s="31">
        <f t="shared" si="1"/>
        <v>5.3</v>
      </c>
      <c r="E397" s="4">
        <f t="shared" si="2"/>
        <v>2</v>
      </c>
      <c r="F397" s="15"/>
      <c r="G397" s="4"/>
    </row>
    <row r="398" ht="14.25" customHeight="1">
      <c r="A398" s="8" t="s">
        <v>1008</v>
      </c>
      <c r="B398" s="8">
        <v>7.6</v>
      </c>
      <c r="C398" s="4" t="str">
        <f>IFERROR(__xludf.DUMMYFUNCTION("""COMPUTED_VALUE"""),"Ron Maxwell")</f>
        <v>Ron Maxwell</v>
      </c>
      <c r="D398" s="31">
        <f t="shared" si="1"/>
        <v>7</v>
      </c>
      <c r="E398" s="4">
        <f t="shared" si="2"/>
        <v>2</v>
      </c>
      <c r="F398" s="15"/>
      <c r="G398" s="4"/>
    </row>
    <row r="399" ht="14.25" customHeight="1">
      <c r="A399" s="8" t="s">
        <v>98</v>
      </c>
      <c r="B399" s="8">
        <v>6.7</v>
      </c>
      <c r="C399" s="4" t="str">
        <f>IFERROR(__xludf.DUMMYFUNCTION("""COMPUTED_VALUE"""),"Robert Butler")</f>
        <v>Robert Butler</v>
      </c>
      <c r="D399" s="31">
        <f t="shared" si="1"/>
        <v>4.7</v>
      </c>
      <c r="E399" s="4">
        <f t="shared" si="2"/>
        <v>1</v>
      </c>
      <c r="F399" s="15"/>
      <c r="G399" s="4"/>
    </row>
    <row r="400" ht="14.25" customHeight="1">
      <c r="A400" s="8" t="s">
        <v>545</v>
      </c>
      <c r="B400" s="8">
        <v>6.2</v>
      </c>
      <c r="C400" s="4" t="str">
        <f>IFERROR(__xludf.DUMMYFUNCTION("""COMPUTED_VALUE"""),"Karey Kirkpatrick")</f>
        <v>Karey Kirkpatrick</v>
      </c>
      <c r="D400" s="31">
        <f t="shared" si="1"/>
        <v>5.6</v>
      </c>
      <c r="E400" s="4">
        <f t="shared" si="2"/>
        <v>1</v>
      </c>
      <c r="F400" s="15"/>
      <c r="G400" s="4"/>
    </row>
    <row r="401" ht="14.25" customHeight="1">
      <c r="A401" s="8" t="s">
        <v>67</v>
      </c>
      <c r="B401" s="8">
        <v>7.3</v>
      </c>
      <c r="C401" s="4" t="str">
        <f>IFERROR(__xludf.DUMMYFUNCTION("""COMPUTED_VALUE"""),"Steve Antin")</f>
        <v>Steve Antin</v>
      </c>
      <c r="D401" s="31">
        <f t="shared" si="1"/>
        <v>6.4</v>
      </c>
      <c r="E401" s="4">
        <f t="shared" si="2"/>
        <v>1</v>
      </c>
      <c r="F401" s="15"/>
      <c r="G401" s="4"/>
    </row>
    <row r="402" ht="14.25" customHeight="1">
      <c r="A402" s="8" t="s">
        <v>174</v>
      </c>
      <c r="B402" s="8">
        <v>6.0</v>
      </c>
      <c r="C402" s="4" t="str">
        <f>IFERROR(__xludf.DUMMYFUNCTION("""COMPUTED_VALUE"""),"Francis Ford Coppola")</f>
        <v>Francis Ford Coppola</v>
      </c>
      <c r="D402" s="31">
        <f t="shared" si="1"/>
        <v>7.655555556</v>
      </c>
      <c r="E402" s="4">
        <f t="shared" si="2"/>
        <v>9</v>
      </c>
      <c r="F402" s="15"/>
      <c r="G402" s="4"/>
    </row>
    <row r="403" ht="14.25" customHeight="1">
      <c r="A403" s="8" t="s">
        <v>1019</v>
      </c>
      <c r="B403" s="8">
        <v>7.1</v>
      </c>
      <c r="C403" s="4" t="str">
        <f>IFERROR(__xludf.DUMMYFUNCTION("""COMPUTED_VALUE"""),"Richard Lester")</f>
        <v>Richard Lester</v>
      </c>
      <c r="D403" s="31">
        <f t="shared" si="1"/>
        <v>6.466666667</v>
      </c>
      <c r="E403" s="4">
        <f t="shared" si="2"/>
        <v>3</v>
      </c>
      <c r="F403" s="15"/>
      <c r="G403" s="4"/>
    </row>
    <row r="404" ht="14.25" customHeight="1">
      <c r="A404" s="8" t="s">
        <v>1021</v>
      </c>
      <c r="B404" s="8">
        <v>7.1</v>
      </c>
      <c r="C404" s="4" t="str">
        <f>IFERROR(__xludf.DUMMYFUNCTION("""COMPUTED_VALUE"""),"Scott Cooper")</f>
        <v>Scott Cooper</v>
      </c>
      <c r="D404" s="31">
        <f t="shared" si="1"/>
        <v>7.033333333</v>
      </c>
      <c r="E404" s="4">
        <f t="shared" si="2"/>
        <v>3</v>
      </c>
      <c r="F404" s="15"/>
      <c r="G404" s="4"/>
    </row>
    <row r="405" ht="14.25" customHeight="1">
      <c r="A405" s="8" t="s">
        <v>1023</v>
      </c>
      <c r="B405" s="8">
        <v>5.5</v>
      </c>
      <c r="C405" s="4" t="str">
        <f>IFERROR(__xludf.DUMMYFUNCTION("""COMPUTED_VALUE"""),"Robert Rodriguez")</f>
        <v>Robert Rodriguez</v>
      </c>
      <c r="D405" s="31">
        <f t="shared" si="1"/>
        <v>5.692307692</v>
      </c>
      <c r="E405" s="4">
        <f t="shared" si="2"/>
        <v>13</v>
      </c>
      <c r="F405" s="15"/>
      <c r="G405" s="4"/>
    </row>
    <row r="406" ht="14.25" customHeight="1">
      <c r="A406" s="8" t="s">
        <v>1026</v>
      </c>
      <c r="B406" s="8">
        <v>5.6</v>
      </c>
      <c r="C406" s="4" t="str">
        <f>IFERROR(__xludf.DUMMYFUNCTION("""COMPUTED_VALUE"""),"Curtis Hanson")</f>
        <v>Curtis Hanson</v>
      </c>
      <c r="D406" s="31">
        <f t="shared" si="1"/>
        <v>6.98</v>
      </c>
      <c r="E406" s="4">
        <f t="shared" si="2"/>
        <v>5</v>
      </c>
      <c r="F406" s="15"/>
      <c r="G406" s="4"/>
    </row>
    <row r="407" ht="14.25" customHeight="1">
      <c r="A407" s="8" t="s">
        <v>1030</v>
      </c>
      <c r="B407" s="8">
        <v>7.5</v>
      </c>
      <c r="C407" s="4" t="str">
        <f>IFERROR(__xludf.DUMMYFUNCTION("""COMPUTED_VALUE"""),"Phyllida Lloyd")</f>
        <v>Phyllida Lloyd</v>
      </c>
      <c r="D407" s="31">
        <f t="shared" si="1"/>
        <v>6.35</v>
      </c>
      <c r="E407" s="4">
        <f t="shared" si="2"/>
        <v>2</v>
      </c>
      <c r="F407" s="15"/>
      <c r="G407" s="4"/>
    </row>
    <row r="408" ht="14.25" customHeight="1">
      <c r="A408" s="8" t="s">
        <v>1034</v>
      </c>
      <c r="B408" s="8">
        <v>5.4</v>
      </c>
      <c r="C408" s="4" t="str">
        <f>IFERROR(__xludf.DUMMYFUNCTION("""COMPUTED_VALUE"""),"Jay Chandrasekhar")</f>
        <v>Jay Chandrasekhar</v>
      </c>
      <c r="D408" s="31">
        <f t="shared" si="1"/>
        <v>6.025</v>
      </c>
      <c r="E408" s="4">
        <f t="shared" si="2"/>
        <v>4</v>
      </c>
      <c r="F408" s="15"/>
      <c r="G408" s="4"/>
    </row>
    <row r="409" ht="14.25" customHeight="1">
      <c r="A409" s="8" t="s">
        <v>1036</v>
      </c>
      <c r="B409" s="8">
        <v>4.3</v>
      </c>
      <c r="C409" s="4" t="str">
        <f>IFERROR(__xludf.DUMMYFUNCTION("""COMPUTED_VALUE"""),"Terrence Malick")</f>
        <v>Terrence Malick</v>
      </c>
      <c r="D409" s="31">
        <f t="shared" si="1"/>
        <v>7</v>
      </c>
      <c r="E409" s="4">
        <f t="shared" si="2"/>
        <v>3</v>
      </c>
      <c r="F409" s="15"/>
      <c r="G409" s="4"/>
    </row>
    <row r="410" ht="14.25" customHeight="1">
      <c r="A410" s="8" t="s">
        <v>657</v>
      </c>
      <c r="B410" s="8">
        <v>4.9</v>
      </c>
      <c r="C410" s="4" t="str">
        <f>IFERROR(__xludf.DUMMYFUNCTION("""COMPUTED_VALUE"""),"David Dobkin")</f>
        <v>David Dobkin</v>
      </c>
      <c r="D410" s="31">
        <f t="shared" si="1"/>
        <v>6.65</v>
      </c>
      <c r="E410" s="4">
        <f t="shared" si="2"/>
        <v>4</v>
      </c>
      <c r="F410" s="15"/>
      <c r="G410" s="4"/>
    </row>
    <row r="411" ht="14.25" customHeight="1">
      <c r="A411" s="8" t="s">
        <v>1043</v>
      </c>
      <c r="B411" s="8">
        <v>7.1</v>
      </c>
      <c r="C411" s="4" t="str">
        <f>IFERROR(__xludf.DUMMYFUNCTION("""COMPUTED_VALUE"""),"Milos Forman")</f>
        <v>Milos Forman</v>
      </c>
      <c r="D411" s="31">
        <f t="shared" si="1"/>
        <v>8.133333333</v>
      </c>
      <c r="E411" s="4">
        <f t="shared" si="2"/>
        <v>3</v>
      </c>
      <c r="F411" s="15"/>
      <c r="G411" s="4"/>
    </row>
    <row r="412" ht="14.25" customHeight="1">
      <c r="A412" s="8" t="s">
        <v>677</v>
      </c>
      <c r="B412" s="8">
        <v>6.4</v>
      </c>
      <c r="C412" s="4" t="str">
        <f>IFERROR(__xludf.DUMMYFUNCTION("""COMPUTED_VALUE"""),"Pierre Morel")</f>
        <v>Pierre Morel</v>
      </c>
      <c r="D412" s="31">
        <f t="shared" si="1"/>
        <v>6.85</v>
      </c>
      <c r="E412" s="4">
        <f t="shared" si="2"/>
        <v>4</v>
      </c>
      <c r="F412" s="15"/>
      <c r="G412" s="4"/>
    </row>
    <row r="413" ht="14.25" customHeight="1">
      <c r="A413" s="8" t="s">
        <v>631</v>
      </c>
      <c r="B413" s="8">
        <v>4.3</v>
      </c>
      <c r="C413" s="4" t="str">
        <f>IFERROR(__xludf.DUMMYFUNCTION("""COMPUTED_VALUE"""),"Paul Hunter")</f>
        <v>Paul Hunter</v>
      </c>
      <c r="D413" s="31">
        <f t="shared" si="1"/>
        <v>5.5</v>
      </c>
      <c r="E413" s="4">
        <f t="shared" si="2"/>
        <v>1</v>
      </c>
      <c r="F413" s="15"/>
      <c r="G413" s="4"/>
    </row>
    <row r="414" ht="14.25" customHeight="1">
      <c r="A414" s="8" t="s">
        <v>225</v>
      </c>
      <c r="B414" s="8">
        <v>6.1</v>
      </c>
      <c r="C414" s="4" t="str">
        <f>IFERROR(__xludf.DUMMYFUNCTION("""COMPUTED_VALUE"""),"Steve Oedekerk")</f>
        <v>Steve Oedekerk</v>
      </c>
      <c r="D414" s="31">
        <f t="shared" si="1"/>
        <v>6.2</v>
      </c>
      <c r="E414" s="4">
        <f t="shared" si="2"/>
        <v>4</v>
      </c>
      <c r="F414" s="15"/>
      <c r="G414" s="4"/>
    </row>
    <row r="415" ht="14.25" customHeight="1">
      <c r="A415" s="8" t="s">
        <v>164</v>
      </c>
      <c r="B415" s="8">
        <v>7.0</v>
      </c>
      <c r="C415" s="4" t="str">
        <f>IFERROR(__xludf.DUMMYFUNCTION("""COMPUTED_VALUE"""),"George Nolfi")</f>
        <v>George Nolfi</v>
      </c>
      <c r="D415" s="31">
        <f t="shared" si="1"/>
        <v>7.1</v>
      </c>
      <c r="E415" s="4">
        <f t="shared" si="2"/>
        <v>1</v>
      </c>
      <c r="F415" s="15"/>
      <c r="G415" s="4"/>
    </row>
    <row r="416" ht="14.25" customHeight="1">
      <c r="A416" s="8" t="s">
        <v>291</v>
      </c>
      <c r="B416" s="8">
        <v>7.7</v>
      </c>
      <c r="C416" s="4" t="str">
        <f>IFERROR(__xludf.DUMMYFUNCTION("""COMPUTED_VALUE"""),"Neil Jordan")</f>
        <v>Neil Jordan</v>
      </c>
      <c r="D416" s="31">
        <f t="shared" si="1"/>
        <v>6.7625</v>
      </c>
      <c r="E416" s="4">
        <f t="shared" si="2"/>
        <v>8</v>
      </c>
      <c r="F416" s="15"/>
      <c r="G416" s="4"/>
    </row>
    <row r="417" ht="14.25" customHeight="1">
      <c r="A417" s="8" t="s">
        <v>634</v>
      </c>
      <c r="B417" s="8">
        <v>5.9</v>
      </c>
      <c r="C417" s="4" t="str">
        <f>IFERROR(__xludf.DUMMYFUNCTION("""COMPUTED_VALUE"""),"Rawson Marshall Thurber")</f>
        <v>Rawson Marshall Thurber</v>
      </c>
      <c r="D417" s="31">
        <f t="shared" si="1"/>
        <v>6.75</v>
      </c>
      <c r="E417" s="4">
        <f t="shared" si="2"/>
        <v>4</v>
      </c>
      <c r="F417" s="15"/>
      <c r="G417" s="4"/>
    </row>
    <row r="418" ht="14.25" customHeight="1">
      <c r="A418" s="8" t="s">
        <v>221</v>
      </c>
      <c r="B418" s="8">
        <v>6.7</v>
      </c>
      <c r="C418" s="4" t="str">
        <f>IFERROR(__xludf.DUMMYFUNCTION("""COMPUTED_VALUE"""),"Spike Lee")</f>
        <v>Spike Lee</v>
      </c>
      <c r="D418" s="31">
        <f t="shared" si="1"/>
        <v>6.733333333</v>
      </c>
      <c r="E418" s="4">
        <f t="shared" si="2"/>
        <v>15</v>
      </c>
      <c r="F418" s="15"/>
      <c r="G418" s="4"/>
    </row>
    <row r="419" ht="14.25" customHeight="1">
      <c r="A419" s="8" t="s">
        <v>1061</v>
      </c>
      <c r="B419" s="8">
        <v>6.5</v>
      </c>
      <c r="C419" s="4" t="str">
        <f>IFERROR(__xludf.DUMMYFUNCTION("""COMPUTED_VALUE"""),"Brian Helgeland")</f>
        <v>Brian Helgeland</v>
      </c>
      <c r="D419" s="31">
        <f t="shared" si="1"/>
        <v>6.72</v>
      </c>
      <c r="E419" s="4">
        <f t="shared" si="2"/>
        <v>5</v>
      </c>
      <c r="F419" s="15"/>
      <c r="G419" s="4"/>
    </row>
    <row r="420" ht="14.25" customHeight="1">
      <c r="A420" s="8" t="s">
        <v>950</v>
      </c>
      <c r="B420" s="8">
        <v>7.1</v>
      </c>
      <c r="C420" s="4" t="str">
        <f>IFERROR(__xludf.DUMMYFUNCTION("""COMPUTED_VALUE"""),"Frank Marshall")</f>
        <v>Frank Marshall</v>
      </c>
      <c r="D420" s="31">
        <f t="shared" si="1"/>
        <v>6.425</v>
      </c>
      <c r="E420" s="4">
        <f t="shared" si="2"/>
        <v>4</v>
      </c>
      <c r="F420" s="15"/>
      <c r="G420" s="4"/>
    </row>
    <row r="421" ht="14.25" customHeight="1">
      <c r="A421" s="8" t="s">
        <v>972</v>
      </c>
      <c r="B421" s="8">
        <v>7.3</v>
      </c>
      <c r="C421" s="4" t="str">
        <f>IFERROR(__xludf.DUMMYFUNCTION("""COMPUTED_VALUE"""),"Peter Hewitt")</f>
        <v>Peter Hewitt</v>
      </c>
      <c r="D421" s="31">
        <f t="shared" si="1"/>
        <v>5.3</v>
      </c>
      <c r="E421" s="4">
        <f t="shared" si="2"/>
        <v>4</v>
      </c>
      <c r="F421" s="15"/>
      <c r="G421" s="4"/>
    </row>
    <row r="422" ht="14.25" customHeight="1">
      <c r="A422" s="8" t="s">
        <v>1065</v>
      </c>
      <c r="B422" s="8">
        <v>6.5</v>
      </c>
      <c r="C422" s="4" t="str">
        <f>IFERROR(__xludf.DUMMYFUNCTION("""COMPUTED_VALUE"""),"Joe Roth")</f>
        <v>Joe Roth</v>
      </c>
      <c r="D422" s="31">
        <f t="shared" si="1"/>
        <v>5.45</v>
      </c>
      <c r="E422" s="4">
        <f t="shared" si="2"/>
        <v>2</v>
      </c>
      <c r="F422" s="15"/>
      <c r="G422" s="4"/>
    </row>
    <row r="423" ht="14.25" customHeight="1">
      <c r="A423" s="8" t="s">
        <v>111</v>
      </c>
      <c r="B423" s="8">
        <v>7.0</v>
      </c>
      <c r="C423" s="4" t="str">
        <f>IFERROR(__xludf.DUMMYFUNCTION("""COMPUTED_VALUE"""),"Bennett Miller")</f>
        <v>Bennett Miller</v>
      </c>
      <c r="D423" s="31">
        <f t="shared" si="1"/>
        <v>7.5</v>
      </c>
      <c r="E423" s="4">
        <f t="shared" si="2"/>
        <v>2</v>
      </c>
      <c r="F423" s="15"/>
      <c r="G423" s="4"/>
    </row>
    <row r="424" ht="14.25" customHeight="1">
      <c r="A424" s="8" t="s">
        <v>494</v>
      </c>
      <c r="B424" s="8">
        <v>6.8</v>
      </c>
      <c r="C424" s="4" t="str">
        <f>IFERROR(__xludf.DUMMYFUNCTION("""COMPUTED_VALUE"""),"Jaume Collet-Serra")</f>
        <v>Jaume Collet-Serra</v>
      </c>
      <c r="D424" s="31">
        <f t="shared" si="1"/>
        <v>6.4</v>
      </c>
      <c r="E424" s="4">
        <f t="shared" si="2"/>
        <v>7</v>
      </c>
      <c r="F424" s="15"/>
      <c r="G424" s="4"/>
    </row>
    <row r="425" ht="14.25" customHeight="1">
      <c r="A425" s="8" t="s">
        <v>274</v>
      </c>
      <c r="B425" s="8">
        <v>7.2</v>
      </c>
      <c r="C425" s="4" t="str">
        <f>IFERROR(__xludf.DUMMYFUNCTION("""COMPUTED_VALUE"""),"Andy Fickman")</f>
        <v>Andy Fickman</v>
      </c>
      <c r="D425" s="31">
        <f t="shared" si="1"/>
        <v>5.766666667</v>
      </c>
      <c r="E425" s="4">
        <f t="shared" si="2"/>
        <v>6</v>
      </c>
      <c r="F425" s="15"/>
      <c r="G425" s="4"/>
    </row>
    <row r="426" ht="14.25" customHeight="1">
      <c r="A426" s="8" t="s">
        <v>1072</v>
      </c>
      <c r="B426" s="8">
        <v>6.1</v>
      </c>
      <c r="C426" s="4" t="str">
        <f>IFERROR(__xludf.DUMMYFUNCTION("""COMPUTED_VALUE"""),"James McTeigue")</f>
        <v>James McTeigue</v>
      </c>
      <c r="D426" s="31">
        <f t="shared" si="1"/>
        <v>7</v>
      </c>
      <c r="E426" s="4">
        <f t="shared" si="2"/>
        <v>3</v>
      </c>
      <c r="F426" s="15"/>
      <c r="G426" s="4"/>
    </row>
    <row r="427" ht="14.25" customHeight="1">
      <c r="A427" s="8" t="s">
        <v>426</v>
      </c>
      <c r="B427" s="8">
        <v>6.7</v>
      </c>
      <c r="C427" s="4" t="str">
        <f>IFERROR(__xludf.DUMMYFUNCTION("""COMPUTED_VALUE"""),"Matthew O'Callaghan")</f>
        <v>Matthew O'Callaghan</v>
      </c>
      <c r="D427" s="31">
        <f t="shared" si="1"/>
        <v>6.6</v>
      </c>
      <c r="E427" s="4">
        <f t="shared" si="2"/>
        <v>1</v>
      </c>
      <c r="F427" s="15"/>
      <c r="G427" s="4"/>
    </row>
    <row r="428" ht="14.25" customHeight="1">
      <c r="A428" s="8" t="s">
        <v>1036</v>
      </c>
      <c r="B428" s="8">
        <v>6.4</v>
      </c>
      <c r="C428" s="4" t="str">
        <f>IFERROR(__xludf.DUMMYFUNCTION("""COMPUTED_VALUE"""),"Angela Robinson")</f>
        <v>Angela Robinson</v>
      </c>
      <c r="D428" s="31">
        <f t="shared" si="1"/>
        <v>5</v>
      </c>
      <c r="E428" s="4">
        <f t="shared" si="2"/>
        <v>2</v>
      </c>
      <c r="F428" s="15"/>
      <c r="G428" s="4"/>
    </row>
    <row r="429" ht="14.25" customHeight="1">
      <c r="A429" s="8" t="s">
        <v>255</v>
      </c>
      <c r="B429" s="8">
        <v>4.4</v>
      </c>
      <c r="C429" s="4" t="str">
        <f>IFERROR(__xludf.DUMMYFUNCTION("""COMPUTED_VALUE"""),"Gary Fleder")</f>
        <v>Gary Fleder</v>
      </c>
      <c r="D429" s="31">
        <f t="shared" si="1"/>
        <v>6.616666667</v>
      </c>
      <c r="E429" s="4">
        <f t="shared" si="2"/>
        <v>6</v>
      </c>
      <c r="F429" s="15"/>
      <c r="G429" s="4"/>
    </row>
    <row r="430" ht="14.25" customHeight="1">
      <c r="A430" s="8" t="s">
        <v>922</v>
      </c>
      <c r="B430" s="8">
        <v>5.4</v>
      </c>
      <c r="C430" s="4" t="str">
        <f>IFERROR(__xludf.DUMMYFUNCTION("""COMPUTED_VALUE"""),"Tommy Wirkola")</f>
        <v>Tommy Wirkola</v>
      </c>
      <c r="D430" s="31">
        <f t="shared" si="1"/>
        <v>6.25</v>
      </c>
      <c r="E430" s="4">
        <f t="shared" si="2"/>
        <v>2</v>
      </c>
      <c r="F430" s="15"/>
      <c r="G430" s="4"/>
    </row>
    <row r="431" ht="14.25" customHeight="1">
      <c r="A431" s="8" t="s">
        <v>1036</v>
      </c>
      <c r="B431" s="8">
        <v>6.5</v>
      </c>
      <c r="C431" s="4" t="str">
        <f>IFERROR(__xludf.DUMMYFUNCTION("""COMPUTED_VALUE"""),"Adrian Lyne")</f>
        <v>Adrian Lyne</v>
      </c>
      <c r="D431" s="31">
        <f t="shared" si="1"/>
        <v>6.4</v>
      </c>
      <c r="E431" s="4">
        <f t="shared" si="2"/>
        <v>4</v>
      </c>
      <c r="F431" s="15"/>
      <c r="G431" s="4"/>
    </row>
    <row r="432" ht="14.25" customHeight="1">
      <c r="A432" s="8" t="s">
        <v>996</v>
      </c>
      <c r="B432" s="8">
        <v>6.7</v>
      </c>
      <c r="C432" s="4" t="str">
        <f>IFERROR(__xludf.DUMMYFUNCTION("""COMPUTED_VALUE"""),"Stephen Gaghan")</f>
        <v>Stephen Gaghan</v>
      </c>
      <c r="D432" s="31">
        <f t="shared" si="1"/>
        <v>6.3</v>
      </c>
      <c r="E432" s="4">
        <f t="shared" si="2"/>
        <v>3</v>
      </c>
      <c r="F432" s="15"/>
      <c r="G432" s="4"/>
    </row>
    <row r="433" ht="14.25" customHeight="1">
      <c r="A433" s="8" t="s">
        <v>208</v>
      </c>
      <c r="B433" s="8">
        <v>8.1</v>
      </c>
      <c r="C433" s="4" t="str">
        <f>IFERROR(__xludf.DUMMYFUNCTION("""COMPUTED_VALUE"""),"Jorge R. GutiÃ©rrez")</f>
        <v>Jorge R. GutiÃ©rrez</v>
      </c>
      <c r="D433" s="31">
        <f t="shared" si="1"/>
        <v>7.3</v>
      </c>
      <c r="E433" s="4">
        <f t="shared" si="2"/>
        <v>1</v>
      </c>
      <c r="F433" s="15"/>
      <c r="G433" s="4"/>
    </row>
    <row r="434" ht="14.25" customHeight="1">
      <c r="A434" s="8" t="s">
        <v>1083</v>
      </c>
      <c r="B434" s="8">
        <v>5.6</v>
      </c>
      <c r="C434" s="4" t="str">
        <f>IFERROR(__xludf.DUMMYFUNCTION("""COMPUTED_VALUE"""),"Richard Loncraine")</f>
        <v>Richard Loncraine</v>
      </c>
      <c r="D434" s="31">
        <f t="shared" si="1"/>
        <v>6.533333333</v>
      </c>
      <c r="E434" s="4">
        <f t="shared" si="2"/>
        <v>3</v>
      </c>
      <c r="F434" s="15"/>
      <c r="G434" s="4"/>
    </row>
    <row r="435" ht="14.25" customHeight="1">
      <c r="A435" s="8" t="s">
        <v>752</v>
      </c>
      <c r="B435" s="8">
        <v>6.3</v>
      </c>
      <c r="C435" s="4" t="str">
        <f>IFERROR(__xludf.DUMMYFUNCTION("""COMPUTED_VALUE"""),"Christophe Gans")</f>
        <v>Christophe Gans</v>
      </c>
      <c r="D435" s="31">
        <f t="shared" si="1"/>
        <v>6.6</v>
      </c>
      <c r="E435" s="4">
        <f t="shared" si="2"/>
        <v>1</v>
      </c>
      <c r="F435" s="15"/>
      <c r="G435" s="4"/>
    </row>
    <row r="436" ht="14.25" customHeight="1">
      <c r="A436" s="8" t="s">
        <v>559</v>
      </c>
      <c r="B436" s="8">
        <v>7.3</v>
      </c>
      <c r="C436" s="4" t="str">
        <f>IFERROR(__xludf.DUMMYFUNCTION("""COMPUTED_VALUE"""),"Howard Deutch")</f>
        <v>Howard Deutch</v>
      </c>
      <c r="D436" s="31">
        <f t="shared" si="1"/>
        <v>5.966666667</v>
      </c>
      <c r="E436" s="4">
        <f t="shared" si="2"/>
        <v>3</v>
      </c>
      <c r="F436" s="15"/>
      <c r="G436" s="4"/>
    </row>
    <row r="437" ht="14.25" customHeight="1">
      <c r="A437" s="8" t="s">
        <v>1087</v>
      </c>
      <c r="B437" s="8">
        <v>6.1</v>
      </c>
      <c r="C437" s="4" t="str">
        <f>IFERROR(__xludf.DUMMYFUNCTION("""COMPUTED_VALUE"""),"Jon Hurwitz")</f>
        <v>Jon Hurwitz</v>
      </c>
      <c r="D437" s="31">
        <f t="shared" si="1"/>
        <v>6.65</v>
      </c>
      <c r="E437" s="4">
        <f t="shared" si="2"/>
        <v>2</v>
      </c>
      <c r="F437" s="15"/>
      <c r="G437" s="4"/>
    </row>
    <row r="438" ht="14.25" customHeight="1">
      <c r="A438" s="8" t="s">
        <v>21</v>
      </c>
      <c r="B438" s="8">
        <v>7.7</v>
      </c>
      <c r="C438" s="4" t="str">
        <f>IFERROR(__xludf.DUMMYFUNCTION("""COMPUTED_VALUE"""),"Steven Quale")</f>
        <v>Steven Quale</v>
      </c>
      <c r="D438" s="31">
        <f t="shared" si="1"/>
        <v>5.85</v>
      </c>
      <c r="E438" s="4">
        <f t="shared" si="2"/>
        <v>2</v>
      </c>
      <c r="F438" s="15"/>
      <c r="G438" s="4"/>
    </row>
    <row r="439" ht="14.25" customHeight="1">
      <c r="A439" s="8" t="s">
        <v>922</v>
      </c>
      <c r="B439" s="8">
        <v>6.4</v>
      </c>
      <c r="C439" s="4" t="str">
        <f>IFERROR(__xludf.DUMMYFUNCTION("""COMPUTED_VALUE"""),"John Landis")</f>
        <v>John Landis</v>
      </c>
      <c r="D439" s="31">
        <f t="shared" si="1"/>
        <v>7</v>
      </c>
      <c r="E439" s="4">
        <f t="shared" si="2"/>
        <v>3</v>
      </c>
      <c r="F439" s="15"/>
      <c r="G439" s="4"/>
    </row>
    <row r="440" ht="14.25" customHeight="1">
      <c r="A440" s="8" t="s">
        <v>743</v>
      </c>
      <c r="B440" s="8">
        <v>6.8</v>
      </c>
      <c r="C440" s="4" t="str">
        <f>IFERROR(__xludf.DUMMYFUNCTION("""COMPUTED_VALUE"""),"Alexander Witt")</f>
        <v>Alexander Witt</v>
      </c>
      <c r="D440" s="31">
        <f t="shared" si="1"/>
        <v>6.2</v>
      </c>
      <c r="E440" s="4">
        <f t="shared" si="2"/>
        <v>1</v>
      </c>
      <c r="F440" s="15"/>
      <c r="G440" s="4"/>
    </row>
    <row r="441" ht="14.25" customHeight="1">
      <c r="A441" s="8" t="s">
        <v>1093</v>
      </c>
      <c r="B441" s="8">
        <v>6.6</v>
      </c>
      <c r="C441" s="4" t="str">
        <f>IFERROR(__xludf.DUMMYFUNCTION("""COMPUTED_VALUE"""),"Beeban Kidron")</f>
        <v>Beeban Kidron</v>
      </c>
      <c r="D441" s="31">
        <f t="shared" si="1"/>
        <v>5.9</v>
      </c>
      <c r="E441" s="4">
        <f t="shared" si="2"/>
        <v>1</v>
      </c>
      <c r="F441" s="15"/>
      <c r="G441" s="4"/>
    </row>
    <row r="442" ht="14.25" customHeight="1">
      <c r="A442" s="8" t="s">
        <v>1095</v>
      </c>
      <c r="B442" s="8">
        <v>7.2</v>
      </c>
      <c r="C442" s="4" t="str">
        <f>IFERROR(__xludf.DUMMYFUNCTION("""COMPUTED_VALUE"""),"Carl Franklin")</f>
        <v>Carl Franklin</v>
      </c>
      <c r="D442" s="31">
        <f t="shared" si="1"/>
        <v>6.6</v>
      </c>
      <c r="E442" s="4">
        <f t="shared" si="2"/>
        <v>3</v>
      </c>
      <c r="F442" s="15"/>
      <c r="G442" s="4"/>
    </row>
    <row r="443" ht="14.25" customHeight="1">
      <c r="A443" s="8" t="s">
        <v>1098</v>
      </c>
      <c r="B443" s="8">
        <v>6.9</v>
      </c>
      <c r="C443" s="4" t="str">
        <f>IFERROR(__xludf.DUMMYFUNCTION("""COMPUTED_VALUE"""),"Steven Seagal")</f>
        <v>Steven Seagal</v>
      </c>
      <c r="D443" s="31">
        <f t="shared" si="1"/>
        <v>4.4</v>
      </c>
      <c r="E443" s="4">
        <f t="shared" si="2"/>
        <v>1</v>
      </c>
      <c r="F443" s="15"/>
      <c r="G443" s="4"/>
    </row>
    <row r="444" ht="14.25" customHeight="1">
      <c r="A444" s="8" t="s">
        <v>1100</v>
      </c>
      <c r="B444" s="8">
        <v>5.2</v>
      </c>
      <c r="C444" s="4" t="str">
        <f>IFERROR(__xludf.DUMMYFUNCTION("""COMPUTED_VALUE"""),"Danny Boyle")</f>
        <v>Danny Boyle</v>
      </c>
      <c r="D444" s="31">
        <f t="shared" si="1"/>
        <v>7.4375</v>
      </c>
      <c r="E444" s="4">
        <f t="shared" si="2"/>
        <v>8</v>
      </c>
      <c r="F444" s="15"/>
      <c r="G444" s="4"/>
    </row>
    <row r="445" ht="14.25" customHeight="1">
      <c r="A445" s="8" t="s">
        <v>669</v>
      </c>
      <c r="B445" s="8">
        <v>4.9</v>
      </c>
      <c r="C445" s="4" t="str">
        <f>IFERROR(__xludf.DUMMYFUNCTION("""COMPUTED_VALUE"""),"Andrew Bergman")</f>
        <v>Andrew Bergman</v>
      </c>
      <c r="D445" s="31">
        <f t="shared" si="1"/>
        <v>4.8</v>
      </c>
      <c r="E445" s="4">
        <f t="shared" si="2"/>
        <v>2</v>
      </c>
      <c r="F445" s="15"/>
      <c r="G445" s="4"/>
    </row>
    <row r="446" ht="14.25" customHeight="1">
      <c r="A446" s="8" t="s">
        <v>1105</v>
      </c>
      <c r="B446" s="8">
        <v>6.3</v>
      </c>
      <c r="C446" s="4" t="str">
        <f>IFERROR(__xludf.DUMMYFUNCTION("""COMPUTED_VALUE"""),"Barbet Schroeder")</f>
        <v>Barbet Schroeder</v>
      </c>
      <c r="D446" s="31">
        <f t="shared" si="1"/>
        <v>6.033333333</v>
      </c>
      <c r="E446" s="4">
        <f t="shared" si="2"/>
        <v>3</v>
      </c>
      <c r="F446" s="15"/>
      <c r="G446" s="4"/>
    </row>
    <row r="447" ht="14.25" customHeight="1">
      <c r="A447" s="8" t="s">
        <v>345</v>
      </c>
      <c r="B447" s="8">
        <v>5.6</v>
      </c>
      <c r="C447" s="4" t="str">
        <f>IFERROR(__xludf.DUMMYFUNCTION("""COMPUTED_VALUE"""),"Peter Webber")</f>
        <v>Peter Webber</v>
      </c>
      <c r="D447" s="31">
        <f t="shared" si="1"/>
        <v>6.2</v>
      </c>
      <c r="E447" s="4">
        <f t="shared" si="2"/>
        <v>1</v>
      </c>
      <c r="F447" s="15"/>
      <c r="G447" s="4"/>
    </row>
    <row r="448" ht="14.25" customHeight="1">
      <c r="A448" s="8" t="s">
        <v>1111</v>
      </c>
      <c r="B448" s="8">
        <v>5.5</v>
      </c>
      <c r="C448" s="4" t="str">
        <f>IFERROR(__xludf.DUMMYFUNCTION("""COMPUTED_VALUE"""),"Andrew Niccol")</f>
        <v>Andrew Niccol</v>
      </c>
      <c r="D448" s="31">
        <f t="shared" si="1"/>
        <v>7</v>
      </c>
      <c r="E448" s="4">
        <f t="shared" si="2"/>
        <v>4</v>
      </c>
      <c r="F448" s="15"/>
      <c r="G448" s="4"/>
    </row>
    <row r="449" ht="14.25" customHeight="1">
      <c r="A449" s="8" t="s">
        <v>446</v>
      </c>
      <c r="B449" s="8">
        <v>6.7</v>
      </c>
      <c r="C449" s="4" t="str">
        <f>IFERROR(__xludf.DUMMYFUNCTION("""COMPUTED_VALUE"""),"John Carpenter")</f>
        <v>John Carpenter</v>
      </c>
      <c r="D449" s="31">
        <f t="shared" si="1"/>
        <v>6.833333333</v>
      </c>
      <c r="E449" s="4">
        <f t="shared" si="2"/>
        <v>12</v>
      </c>
      <c r="F449" s="15"/>
      <c r="G449" s="4"/>
    </row>
    <row r="450" ht="14.25" customHeight="1">
      <c r="A450" s="8" t="s">
        <v>218</v>
      </c>
      <c r="B450" s="8">
        <v>7.6</v>
      </c>
      <c r="C450" s="4" t="str">
        <f>IFERROR(__xludf.DUMMYFUNCTION("""COMPUTED_VALUE"""),"Wes Anderson")</f>
        <v>Wes Anderson</v>
      </c>
      <c r="D450" s="31">
        <f t="shared" si="1"/>
        <v>7.628571429</v>
      </c>
      <c r="E450" s="4">
        <f t="shared" si="2"/>
        <v>7</v>
      </c>
      <c r="F450" s="15"/>
      <c r="G450" s="4"/>
    </row>
    <row r="451" ht="14.25" customHeight="1">
      <c r="A451" s="8" t="s">
        <v>1117</v>
      </c>
      <c r="B451" s="8">
        <v>5.7</v>
      </c>
      <c r="C451" s="4" t="str">
        <f>IFERROR(__xludf.DUMMYFUNCTION("""COMPUTED_VALUE"""),"David Cronenberg")</f>
        <v>David Cronenberg</v>
      </c>
      <c r="D451" s="31">
        <f t="shared" si="1"/>
        <v>7.06</v>
      </c>
      <c r="E451" s="4">
        <f t="shared" si="2"/>
        <v>5</v>
      </c>
      <c r="F451" s="15"/>
      <c r="G451" s="4"/>
    </row>
    <row r="452" ht="14.25" customHeight="1">
      <c r="A452" s="8" t="s">
        <v>1120</v>
      </c>
      <c r="B452" s="8">
        <v>4.6</v>
      </c>
      <c r="C452" s="4" t="str">
        <f>IFERROR(__xludf.DUMMYFUNCTION("""COMPUTED_VALUE"""),"John Stockwell")</f>
        <v>John Stockwell</v>
      </c>
      <c r="D452" s="31">
        <f t="shared" si="1"/>
        <v>5.966666667</v>
      </c>
      <c r="E452" s="4">
        <f t="shared" si="2"/>
        <v>3</v>
      </c>
      <c r="F452" s="15"/>
      <c r="G452" s="4"/>
    </row>
    <row r="453" ht="14.25" customHeight="1">
      <c r="A453" s="8" t="s">
        <v>1122</v>
      </c>
      <c r="B453" s="8">
        <v>7.0</v>
      </c>
      <c r="C453" s="4" t="str">
        <f>IFERROR(__xludf.DUMMYFUNCTION("""COMPUTED_VALUE"""),"David Gordon Green")</f>
        <v>David Gordon Green</v>
      </c>
      <c r="D453" s="31">
        <f t="shared" si="1"/>
        <v>6.666666667</v>
      </c>
      <c r="E453" s="4">
        <f t="shared" si="2"/>
        <v>6</v>
      </c>
      <c r="F453" s="15"/>
      <c r="G453" s="4"/>
    </row>
    <row r="454" ht="14.25" customHeight="1">
      <c r="A454" s="8" t="s">
        <v>677</v>
      </c>
      <c r="B454" s="8">
        <v>5.2</v>
      </c>
      <c r="C454" s="4" t="str">
        <f>IFERROR(__xludf.DUMMYFUNCTION("""COMPUTED_VALUE"""),"Jim Sheridan")</f>
        <v>Jim Sheridan</v>
      </c>
      <c r="D454" s="31">
        <f t="shared" si="1"/>
        <v>6.3</v>
      </c>
      <c r="E454" s="4">
        <f t="shared" si="2"/>
        <v>4</v>
      </c>
      <c r="F454" s="15"/>
      <c r="G454" s="4"/>
    </row>
    <row r="455" ht="14.25" customHeight="1">
      <c r="A455" s="8" t="s">
        <v>1127</v>
      </c>
      <c r="B455" s="8">
        <v>5.1</v>
      </c>
      <c r="C455" s="4" t="str">
        <f>IFERROR(__xludf.DUMMYFUNCTION("""COMPUTED_VALUE"""),"Costa-Gavras")</f>
        <v>Costa-Gavras</v>
      </c>
      <c r="D455" s="31">
        <f t="shared" si="1"/>
        <v>6.75</v>
      </c>
      <c r="E455" s="4">
        <f t="shared" si="2"/>
        <v>2</v>
      </c>
      <c r="F455" s="15"/>
      <c r="G455" s="4"/>
    </row>
    <row r="456" ht="14.25" customHeight="1">
      <c r="A456" s="8" t="s">
        <v>1130</v>
      </c>
      <c r="B456" s="8">
        <v>6.6</v>
      </c>
      <c r="C456" s="4" t="str">
        <f>IFERROR(__xludf.DUMMYFUNCTION("""COMPUTED_VALUE"""),"Patrick Read Johnson")</f>
        <v>Patrick Read Johnson</v>
      </c>
      <c r="D456" s="31">
        <f t="shared" si="1"/>
        <v>5.6</v>
      </c>
      <c r="E456" s="4">
        <f t="shared" si="2"/>
        <v>2</v>
      </c>
      <c r="F456" s="15"/>
      <c r="G456" s="4"/>
    </row>
    <row r="457" ht="14.25" customHeight="1">
      <c r="A457" s="8" t="s">
        <v>985</v>
      </c>
      <c r="B457" s="8">
        <v>6.7</v>
      </c>
      <c r="C457" s="4" t="str">
        <f>IFERROR(__xludf.DUMMYFUNCTION("""COMPUTED_VALUE"""),"Roland JoffÃ©")</f>
        <v>Roland JoffÃ©</v>
      </c>
      <c r="D457" s="31">
        <f t="shared" si="1"/>
        <v>5.5</v>
      </c>
      <c r="E457" s="4">
        <f t="shared" si="2"/>
        <v>2</v>
      </c>
      <c r="F457" s="15"/>
      <c r="G457" s="4"/>
    </row>
    <row r="458" ht="14.25" customHeight="1">
      <c r="A458" s="8" t="s">
        <v>1133</v>
      </c>
      <c r="B458" s="8">
        <v>7.3</v>
      </c>
      <c r="C458" s="4" t="str">
        <f>IFERROR(__xludf.DUMMYFUNCTION("""COMPUTED_VALUE"""),"Richard LaGravenese")</f>
        <v>Richard LaGravenese</v>
      </c>
      <c r="D458" s="31">
        <f t="shared" si="1"/>
        <v>6.85</v>
      </c>
      <c r="E458" s="4">
        <f t="shared" si="2"/>
        <v>4</v>
      </c>
      <c r="F458" s="15"/>
      <c r="G458" s="4"/>
    </row>
    <row r="459" ht="14.25" customHeight="1">
      <c r="A459" s="8" t="s">
        <v>394</v>
      </c>
      <c r="B459" s="8">
        <v>5.9</v>
      </c>
      <c r="C459" s="4" t="str">
        <f>IFERROR(__xludf.DUMMYFUNCTION("""COMPUTED_VALUE"""),"Danny DeVito")</f>
        <v>Danny DeVito</v>
      </c>
      <c r="D459" s="31">
        <f t="shared" si="1"/>
        <v>6.266666667</v>
      </c>
      <c r="E459" s="4">
        <f t="shared" si="2"/>
        <v>3</v>
      </c>
      <c r="F459" s="15"/>
      <c r="G459" s="4"/>
    </row>
    <row r="460" ht="14.25" customHeight="1">
      <c r="A460" s="8" t="s">
        <v>796</v>
      </c>
      <c r="B460" s="8">
        <v>5.6</v>
      </c>
      <c r="C460" s="4" t="str">
        <f>IFERROR(__xludf.DUMMYFUNCTION("""COMPUTED_VALUE"""),"George Armitage")</f>
        <v>George Armitage</v>
      </c>
      <c r="D460" s="31">
        <f t="shared" si="1"/>
        <v>6.15</v>
      </c>
      <c r="E460" s="4">
        <f t="shared" si="2"/>
        <v>2</v>
      </c>
      <c r="F460" s="15"/>
      <c r="G460" s="4"/>
    </row>
    <row r="461" ht="14.25" customHeight="1">
      <c r="A461" s="8" t="s">
        <v>702</v>
      </c>
      <c r="B461" s="8">
        <v>6.5</v>
      </c>
      <c r="C461" s="4" t="str">
        <f>IFERROR(__xludf.DUMMYFUNCTION("""COMPUTED_VALUE"""),"Patrick Lussier")</f>
        <v>Patrick Lussier</v>
      </c>
      <c r="D461" s="31">
        <f t="shared" si="1"/>
        <v>5.3</v>
      </c>
      <c r="E461" s="4">
        <f t="shared" si="2"/>
        <v>3</v>
      </c>
      <c r="F461" s="15"/>
      <c r="G461" s="4"/>
    </row>
    <row r="462" ht="14.25" customHeight="1">
      <c r="A462" s="8" t="s">
        <v>136</v>
      </c>
      <c r="B462" s="8">
        <v>5.9</v>
      </c>
      <c r="C462" s="4" t="str">
        <f>IFERROR(__xludf.DUMMYFUNCTION("""COMPUTED_VALUE"""),"James Wong")</f>
        <v>James Wong</v>
      </c>
      <c r="D462" s="31">
        <f t="shared" si="1"/>
        <v>5.275</v>
      </c>
      <c r="E462" s="4">
        <f t="shared" si="2"/>
        <v>4</v>
      </c>
      <c r="F462" s="15"/>
      <c r="G462" s="4"/>
    </row>
    <row r="463" ht="14.25" customHeight="1">
      <c r="A463" s="8" t="s">
        <v>1145</v>
      </c>
      <c r="B463" s="8">
        <v>7.0</v>
      </c>
      <c r="C463" s="4" t="str">
        <f>IFERROR(__xludf.DUMMYFUNCTION("""COMPUTED_VALUE"""),"Olivier Megaton")</f>
        <v>Olivier Megaton</v>
      </c>
      <c r="D463" s="31">
        <f t="shared" si="1"/>
        <v>6.233333333</v>
      </c>
      <c r="E463" s="4">
        <f t="shared" si="2"/>
        <v>3</v>
      </c>
      <c r="F463" s="15"/>
      <c r="G463" s="4"/>
    </row>
    <row r="464" ht="14.25" customHeight="1">
      <c r="A464" s="8" t="s">
        <v>1147</v>
      </c>
      <c r="B464" s="8">
        <v>5.3</v>
      </c>
      <c r="C464" s="4" t="str">
        <f>IFERROR(__xludf.DUMMYFUNCTION("""COMPUTED_VALUE"""),"Warren Beatty")</f>
        <v>Warren Beatty</v>
      </c>
      <c r="D464" s="31">
        <f t="shared" si="1"/>
        <v>6.45</v>
      </c>
      <c r="E464" s="4">
        <f t="shared" si="2"/>
        <v>2</v>
      </c>
      <c r="F464" s="15"/>
      <c r="G464" s="4"/>
    </row>
    <row r="465" ht="14.25" customHeight="1">
      <c r="A465" s="8" t="s">
        <v>1150</v>
      </c>
      <c r="B465" s="8">
        <v>5.9</v>
      </c>
      <c r="C465" s="4" t="str">
        <f>IFERROR(__xludf.DUMMYFUNCTION("""COMPUTED_VALUE"""),"Penny Marshall")</f>
        <v>Penny Marshall</v>
      </c>
      <c r="D465" s="31">
        <f t="shared" si="1"/>
        <v>6.75</v>
      </c>
      <c r="E465" s="4">
        <f t="shared" si="2"/>
        <v>4</v>
      </c>
      <c r="F465" s="15"/>
      <c r="G465" s="4"/>
    </row>
    <row r="466" ht="14.25" customHeight="1">
      <c r="A466" s="8" t="s">
        <v>111</v>
      </c>
      <c r="B466" s="8">
        <v>6.3</v>
      </c>
      <c r="C466" s="4" t="str">
        <f>IFERROR(__xludf.DUMMYFUNCTION("""COMPUTED_VALUE"""),"Paul Bolger")</f>
        <v>Paul Bolger</v>
      </c>
      <c r="D466" s="31">
        <f t="shared" si="1"/>
        <v>4.5</v>
      </c>
      <c r="E466" s="4">
        <f t="shared" si="2"/>
        <v>1</v>
      </c>
      <c r="F466" s="15"/>
      <c r="G466" s="4"/>
    </row>
    <row r="467" ht="14.25" customHeight="1">
      <c r="A467" s="8" t="s">
        <v>277</v>
      </c>
      <c r="B467" s="8">
        <v>6.3</v>
      </c>
      <c r="C467" s="4" t="str">
        <f>IFERROR(__xludf.DUMMYFUNCTION("""COMPUTED_VALUE"""),"Stephen Frears")</f>
        <v>Stephen Frears</v>
      </c>
      <c r="D467" s="31">
        <f t="shared" si="1"/>
        <v>7.0875</v>
      </c>
      <c r="E467" s="4">
        <f t="shared" si="2"/>
        <v>8</v>
      </c>
      <c r="F467" s="15"/>
      <c r="G467" s="4"/>
    </row>
    <row r="468" ht="14.25" customHeight="1">
      <c r="A468" s="8" t="s">
        <v>620</v>
      </c>
      <c r="B468" s="8">
        <v>7.3</v>
      </c>
      <c r="C468" s="4" t="str">
        <f>IFERROR(__xludf.DUMMYFUNCTION("""COMPUTED_VALUE"""),"P.J. Hogan")</f>
        <v>P.J. Hogan</v>
      </c>
      <c r="D468" s="31">
        <f t="shared" si="1"/>
        <v>6.3</v>
      </c>
      <c r="E468" s="4">
        <f t="shared" si="2"/>
        <v>1</v>
      </c>
      <c r="F468" s="15"/>
      <c r="G468" s="4"/>
    </row>
    <row r="469" ht="14.25" customHeight="1">
      <c r="A469" s="8" t="s">
        <v>214</v>
      </c>
      <c r="B469" s="8">
        <v>5.8</v>
      </c>
      <c r="C469" s="4" t="str">
        <f>IFERROR(__xludf.DUMMYFUNCTION("""COMPUTED_VALUE"""),"Brad Furman")</f>
        <v>Brad Furman</v>
      </c>
      <c r="D469" s="31">
        <f t="shared" si="1"/>
        <v>6.733333333</v>
      </c>
      <c r="E469" s="4">
        <f t="shared" si="2"/>
        <v>3</v>
      </c>
      <c r="F469" s="15"/>
      <c r="G469" s="4"/>
    </row>
    <row r="470" ht="14.25" customHeight="1">
      <c r="A470" s="8" t="s">
        <v>1160</v>
      </c>
      <c r="B470" s="8">
        <v>5.2</v>
      </c>
      <c r="C470" s="4" t="str">
        <f>IFERROR(__xludf.DUMMYFUNCTION("""COMPUTED_VALUE"""),"David Zucker")</f>
        <v>David Zucker</v>
      </c>
      <c r="D470" s="31">
        <f t="shared" si="1"/>
        <v>5.26</v>
      </c>
      <c r="E470" s="4">
        <f t="shared" si="2"/>
        <v>5</v>
      </c>
      <c r="F470" s="15"/>
      <c r="G470" s="4"/>
    </row>
    <row r="471" ht="14.25" customHeight="1">
      <c r="A471" s="8" t="s">
        <v>1164</v>
      </c>
      <c r="B471" s="8">
        <v>2.4</v>
      </c>
      <c r="C471" s="4" t="str">
        <f>IFERROR(__xludf.DUMMYFUNCTION("""COMPUTED_VALUE"""),"Denis Villeneuve")</f>
        <v>Denis Villeneuve</v>
      </c>
      <c r="D471" s="31">
        <f t="shared" si="1"/>
        <v>7.966666667</v>
      </c>
      <c r="E471" s="4">
        <f t="shared" si="2"/>
        <v>3</v>
      </c>
      <c r="F471" s="15"/>
      <c r="G471" s="4"/>
    </row>
    <row r="472" ht="14.25" customHeight="1">
      <c r="A472" s="8" t="s">
        <v>1167</v>
      </c>
      <c r="B472" s="8">
        <v>5.7</v>
      </c>
      <c r="C472" s="4" t="str">
        <f>IFERROR(__xludf.DUMMYFUNCTION("""COMPUTED_VALUE"""),"Thomas Carter")</f>
        <v>Thomas Carter</v>
      </c>
      <c r="D472" s="31">
        <f t="shared" si="1"/>
        <v>6.666666667</v>
      </c>
      <c r="E472" s="4">
        <f t="shared" si="2"/>
        <v>3</v>
      </c>
      <c r="F472" s="15"/>
      <c r="G472" s="4"/>
    </row>
    <row r="473" ht="14.25" customHeight="1">
      <c r="A473" s="8" t="s">
        <v>67</v>
      </c>
      <c r="B473" s="8">
        <v>5.8</v>
      </c>
      <c r="C473" s="4" t="str">
        <f>IFERROR(__xludf.DUMMYFUNCTION("""COMPUTED_VALUE"""),"Roger Michell")</f>
        <v>Roger Michell</v>
      </c>
      <c r="D473" s="31">
        <f t="shared" si="1"/>
        <v>6.666666667</v>
      </c>
      <c r="E473" s="4">
        <f t="shared" si="2"/>
        <v>3</v>
      </c>
      <c r="F473" s="15"/>
      <c r="G473" s="4"/>
    </row>
    <row r="474" ht="14.25" customHeight="1">
      <c r="A474" s="8" t="s">
        <v>446</v>
      </c>
      <c r="B474" s="8">
        <v>5.6</v>
      </c>
      <c r="C474" s="4" t="str">
        <f>IFERROR(__xludf.DUMMYFUNCTION("""COMPUTED_VALUE"""),"Luis Llosa")</f>
        <v>Luis Llosa</v>
      </c>
      <c r="D474" s="31">
        <f t="shared" si="1"/>
        <v>5</v>
      </c>
      <c r="E474" s="4">
        <f t="shared" si="2"/>
        <v>2</v>
      </c>
      <c r="F474" s="15"/>
      <c r="G474" s="4"/>
    </row>
    <row r="475" ht="14.25" customHeight="1">
      <c r="A475" s="8" t="s">
        <v>1174</v>
      </c>
      <c r="B475" s="8">
        <v>6.0</v>
      </c>
      <c r="C475" s="4" t="str">
        <f>IFERROR(__xludf.DUMMYFUNCTION("""COMPUTED_VALUE"""),"Richard Curtis")</f>
        <v>Richard Curtis</v>
      </c>
      <c r="D475" s="31">
        <f t="shared" si="1"/>
        <v>7.75</v>
      </c>
      <c r="E475" s="4">
        <f t="shared" si="2"/>
        <v>2</v>
      </c>
      <c r="F475" s="15"/>
      <c r="G475" s="4"/>
    </row>
    <row r="476" ht="14.25" customHeight="1">
      <c r="A476" s="8" t="s">
        <v>359</v>
      </c>
      <c r="B476" s="8">
        <v>5.8</v>
      </c>
      <c r="C476" s="4" t="str">
        <f>IFERROR(__xludf.DUMMYFUNCTION("""COMPUTED_VALUE"""),"Garth Jennings")</f>
        <v>Garth Jennings</v>
      </c>
      <c r="D476" s="31">
        <f t="shared" si="1"/>
        <v>6.8</v>
      </c>
      <c r="E476" s="4">
        <f t="shared" si="2"/>
        <v>1</v>
      </c>
      <c r="F476" s="15"/>
      <c r="G476" s="4"/>
    </row>
    <row r="477" ht="14.25" customHeight="1">
      <c r="A477" s="8" t="s">
        <v>453</v>
      </c>
      <c r="B477" s="8">
        <v>6.0</v>
      </c>
      <c r="C477" s="4" t="str">
        <f>IFERROR(__xludf.DUMMYFUNCTION("""COMPUTED_VALUE"""),"Joel Zwick")</f>
        <v>Joel Zwick</v>
      </c>
      <c r="D477" s="31">
        <f t="shared" si="1"/>
        <v>5.45</v>
      </c>
      <c r="E477" s="4">
        <f t="shared" si="2"/>
        <v>2</v>
      </c>
      <c r="F477" s="15"/>
      <c r="G477" s="4"/>
    </row>
    <row r="478" ht="14.25" customHeight="1">
      <c r="A478" s="8" t="s">
        <v>1180</v>
      </c>
      <c r="B478" s="8">
        <v>5.7</v>
      </c>
      <c r="C478" s="4" t="str">
        <f>IFERROR(__xludf.DUMMYFUNCTION("""COMPUTED_VALUE"""),"Russell Mulcahy")</f>
        <v>Russell Mulcahy</v>
      </c>
      <c r="D478" s="31">
        <f t="shared" si="1"/>
        <v>6.5</v>
      </c>
      <c r="E478" s="4">
        <f t="shared" si="2"/>
        <v>3</v>
      </c>
      <c r="F478" s="15"/>
      <c r="G478" s="4"/>
    </row>
    <row r="479" ht="14.25" customHeight="1">
      <c r="A479" s="8" t="s">
        <v>830</v>
      </c>
      <c r="B479" s="8">
        <v>6.0</v>
      </c>
      <c r="C479" s="4" t="str">
        <f>IFERROR(__xludf.DUMMYFUNCTION("""COMPUTED_VALUE"""),"David R. Ellis")</f>
        <v>David R. Ellis</v>
      </c>
      <c r="D479" s="31">
        <f t="shared" si="1"/>
        <v>5.516666667</v>
      </c>
      <c r="E479" s="4">
        <f t="shared" si="2"/>
        <v>6</v>
      </c>
      <c r="F479" s="15"/>
      <c r="G479" s="4"/>
    </row>
    <row r="480" ht="14.25" customHeight="1">
      <c r="A480" s="8" t="s">
        <v>1185</v>
      </c>
      <c r="B480" s="8">
        <v>7.8</v>
      </c>
      <c r="C480" s="4" t="str">
        <f>IFERROR(__xludf.DUMMYFUNCTION("""COMPUTED_VALUE"""),"Peter Howitt")</f>
        <v>Peter Howitt</v>
      </c>
      <c r="D480" s="31">
        <f t="shared" si="1"/>
        <v>6.225</v>
      </c>
      <c r="E480" s="4">
        <f t="shared" si="2"/>
        <v>4</v>
      </c>
      <c r="F480" s="15"/>
      <c r="G480" s="4"/>
    </row>
    <row r="481" ht="14.25" customHeight="1">
      <c r="A481" s="8" t="s">
        <v>758</v>
      </c>
      <c r="B481" s="8">
        <v>4.2</v>
      </c>
      <c r="C481" s="4" t="str">
        <f>IFERROR(__xludf.DUMMYFUNCTION("""COMPUTED_VALUE"""),"John A. Davis")</f>
        <v>John A. Davis</v>
      </c>
      <c r="D481" s="31">
        <f t="shared" si="1"/>
        <v>5.95</v>
      </c>
      <c r="E481" s="4">
        <f t="shared" si="2"/>
        <v>2</v>
      </c>
      <c r="F481" s="15"/>
      <c r="G481" s="4"/>
    </row>
    <row r="482" ht="14.25" customHeight="1">
      <c r="A482" s="8" t="s">
        <v>983</v>
      </c>
      <c r="B482" s="8">
        <v>5.6</v>
      </c>
      <c r="C482" s="4" t="str">
        <f>IFERROR(__xludf.DUMMYFUNCTION("""COMPUTED_VALUE"""),"David Lynch")</f>
        <v>David Lynch</v>
      </c>
      <c r="D482" s="31">
        <f t="shared" si="1"/>
        <v>7.533333333</v>
      </c>
      <c r="E482" s="4">
        <f t="shared" si="2"/>
        <v>3</v>
      </c>
      <c r="F482" s="15"/>
      <c r="G482" s="4"/>
    </row>
    <row r="483" ht="14.25" customHeight="1">
      <c r="A483" s="8" t="s">
        <v>361</v>
      </c>
      <c r="B483" s="8">
        <v>8.2</v>
      </c>
      <c r="C483" s="4" t="str">
        <f>IFERROR(__xludf.DUMMYFUNCTION("""COMPUTED_VALUE"""),"Julie Taymor")</f>
        <v>Julie Taymor</v>
      </c>
      <c r="D483" s="31">
        <f t="shared" si="1"/>
        <v>6.9</v>
      </c>
      <c r="E483" s="4">
        <f t="shared" si="2"/>
        <v>4</v>
      </c>
      <c r="F483" s="15"/>
      <c r="G483" s="4"/>
    </row>
    <row r="484" ht="14.25" customHeight="1">
      <c r="A484" s="8" t="s">
        <v>1004</v>
      </c>
      <c r="B484" s="8">
        <v>8.5</v>
      </c>
      <c r="C484" s="4" t="str">
        <f>IFERROR(__xludf.DUMMYFUNCTION("""COMPUTED_VALUE"""),"Mathieu Kassovitz")</f>
        <v>Mathieu Kassovitz</v>
      </c>
      <c r="D484" s="31">
        <f t="shared" si="1"/>
        <v>5.7</v>
      </c>
      <c r="E484" s="4">
        <f t="shared" si="2"/>
        <v>2</v>
      </c>
      <c r="F484" s="15"/>
      <c r="G484" s="4"/>
    </row>
    <row r="485" ht="14.25" customHeight="1">
      <c r="A485" s="8" t="s">
        <v>631</v>
      </c>
      <c r="B485" s="8">
        <v>5.8</v>
      </c>
      <c r="C485" s="4" t="str">
        <f>IFERROR(__xludf.DUMMYFUNCTION("""COMPUTED_VALUE"""),"John Gray")</f>
        <v>John Gray</v>
      </c>
      <c r="D485" s="31">
        <f t="shared" si="1"/>
        <v>5.3</v>
      </c>
      <c r="E485" s="4">
        <f t="shared" si="2"/>
        <v>1</v>
      </c>
      <c r="F485" s="15"/>
      <c r="G485" s="4"/>
    </row>
    <row r="486" ht="14.25" customHeight="1">
      <c r="A486" s="8" t="s">
        <v>1199</v>
      </c>
      <c r="B486" s="8">
        <v>6.5</v>
      </c>
      <c r="C486" s="4" t="str">
        <f>IFERROR(__xludf.DUMMYFUNCTION("""COMPUTED_VALUE"""),"John Schultz")</f>
        <v>John Schultz</v>
      </c>
      <c r="D486" s="31">
        <f t="shared" si="1"/>
        <v>5.4</v>
      </c>
      <c r="E486" s="4">
        <f t="shared" si="2"/>
        <v>3</v>
      </c>
      <c r="F486" s="15"/>
      <c r="G486" s="4"/>
    </row>
    <row r="487" ht="14.25" customHeight="1">
      <c r="A487" s="8" t="s">
        <v>113</v>
      </c>
      <c r="B487" s="8">
        <v>7.2</v>
      </c>
      <c r="C487" s="4" t="str">
        <f>IFERROR(__xludf.DUMMYFUNCTION("""COMPUTED_VALUE"""),"Sean Penn")</f>
        <v>Sean Penn</v>
      </c>
      <c r="D487" s="31">
        <f t="shared" si="1"/>
        <v>7.5</v>
      </c>
      <c r="E487" s="4">
        <f t="shared" si="2"/>
        <v>2</v>
      </c>
      <c r="F487" s="15"/>
      <c r="G487" s="4"/>
    </row>
    <row r="488" ht="14.25" customHeight="1">
      <c r="A488" s="8" t="s">
        <v>379</v>
      </c>
      <c r="B488" s="8">
        <v>6.7</v>
      </c>
      <c r="C488" s="4" t="str">
        <f>IFERROR(__xludf.DUMMYFUNCTION("""COMPUTED_VALUE"""),"Susan Stroman")</f>
        <v>Susan Stroman</v>
      </c>
      <c r="D488" s="31">
        <f t="shared" si="1"/>
        <v>6.4</v>
      </c>
      <c r="E488" s="4">
        <f t="shared" si="2"/>
        <v>1</v>
      </c>
      <c r="F488" s="15"/>
      <c r="G488" s="4"/>
    </row>
    <row r="489" ht="14.25" customHeight="1">
      <c r="A489" s="8" t="s">
        <v>922</v>
      </c>
      <c r="B489" s="8">
        <v>3.4</v>
      </c>
      <c r="C489" s="4" t="str">
        <f>IFERROR(__xludf.DUMMYFUNCTION("""COMPUTED_VALUE"""),"Simon Wincer")</f>
        <v>Simon Wincer</v>
      </c>
      <c r="D489" s="31">
        <f t="shared" si="1"/>
        <v>5.625</v>
      </c>
      <c r="E489" s="4">
        <f t="shared" si="2"/>
        <v>4</v>
      </c>
      <c r="F489" s="15"/>
      <c r="G489" s="4"/>
    </row>
    <row r="490" ht="14.25" customHeight="1">
      <c r="A490" s="8" t="s">
        <v>1205</v>
      </c>
      <c r="B490" s="8">
        <v>5.9</v>
      </c>
      <c r="C490" s="4" t="str">
        <f>IFERROR(__xludf.DUMMYFUNCTION("""COMPUTED_VALUE"""),"Billy Bob Thornton")</f>
        <v>Billy Bob Thornton</v>
      </c>
      <c r="D490" s="31">
        <f t="shared" si="1"/>
        <v>6.9</v>
      </c>
      <c r="E490" s="4">
        <f t="shared" si="2"/>
        <v>2</v>
      </c>
      <c r="F490" s="15"/>
      <c r="G490" s="4"/>
    </row>
    <row r="491" ht="14.25" customHeight="1">
      <c r="A491" s="8" t="s">
        <v>488</v>
      </c>
      <c r="B491" s="8">
        <v>7.8</v>
      </c>
      <c r="C491" s="4" t="str">
        <f>IFERROR(__xludf.DUMMYFUNCTION("""COMPUTED_VALUE"""),"Danny Pang")</f>
        <v>Danny Pang</v>
      </c>
      <c r="D491" s="31">
        <f t="shared" si="1"/>
        <v>5.4</v>
      </c>
      <c r="E491" s="4">
        <f t="shared" si="2"/>
        <v>1</v>
      </c>
      <c r="F491" s="15"/>
      <c r="G491" s="4"/>
    </row>
    <row r="492" ht="14.25" customHeight="1">
      <c r="A492" s="8" t="s">
        <v>1209</v>
      </c>
      <c r="B492" s="8">
        <v>5.9</v>
      </c>
      <c r="C492" s="4" t="str">
        <f>IFERROR(__xludf.DUMMYFUNCTION("""COMPUTED_VALUE"""),"George P. Cosmatos")</f>
        <v>George P. Cosmatos</v>
      </c>
      <c r="D492" s="31">
        <f t="shared" si="1"/>
        <v>6.366666667</v>
      </c>
      <c r="E492" s="4">
        <f t="shared" si="2"/>
        <v>3</v>
      </c>
      <c r="F492" s="15"/>
      <c r="G492" s="4"/>
    </row>
    <row r="493" ht="14.25" customHeight="1">
      <c r="A493" s="8" t="s">
        <v>1212</v>
      </c>
      <c r="B493" s="8">
        <v>4.1</v>
      </c>
      <c r="C493" s="4" t="str">
        <f>IFERROR(__xludf.DUMMYFUNCTION("""COMPUTED_VALUE"""),"Oliver Parker")</f>
        <v>Oliver Parker</v>
      </c>
      <c r="D493" s="31">
        <f t="shared" si="1"/>
        <v>6.7</v>
      </c>
      <c r="E493" s="4">
        <f t="shared" si="2"/>
        <v>3</v>
      </c>
      <c r="F493" s="15"/>
      <c r="G493" s="4"/>
    </row>
    <row r="494" ht="14.25" customHeight="1">
      <c r="A494" s="8" t="s">
        <v>1214</v>
      </c>
      <c r="B494" s="8">
        <v>6.8</v>
      </c>
      <c r="C494" s="4" t="str">
        <f>IFERROR(__xludf.DUMMYFUNCTION("""COMPUTED_VALUE"""),"Ben Affleck")</f>
        <v>Ben Affleck</v>
      </c>
      <c r="D494" s="31">
        <f t="shared" si="1"/>
        <v>7.65</v>
      </c>
      <c r="E494" s="4">
        <f t="shared" si="2"/>
        <v>2</v>
      </c>
      <c r="F494" s="15"/>
      <c r="G494" s="4"/>
    </row>
    <row r="495" ht="14.25" customHeight="1">
      <c r="A495" s="8" t="s">
        <v>1218</v>
      </c>
      <c r="B495" s="8">
        <v>5.8</v>
      </c>
      <c r="C495" s="4" t="str">
        <f>IFERROR(__xludf.DUMMYFUNCTION("""COMPUTED_VALUE"""),"Brian Gibson")</f>
        <v>Brian Gibson</v>
      </c>
      <c r="D495" s="31">
        <f t="shared" si="1"/>
        <v>5.6</v>
      </c>
      <c r="E495" s="4">
        <f t="shared" si="2"/>
        <v>1</v>
      </c>
      <c r="F495" s="15"/>
      <c r="G495" s="4"/>
    </row>
    <row r="496" ht="14.25" customHeight="1">
      <c r="A496" s="8" t="s">
        <v>1221</v>
      </c>
      <c r="B496" s="8">
        <v>7.5</v>
      </c>
      <c r="C496" s="4" t="str">
        <f>IFERROR(__xludf.DUMMYFUNCTION("""COMPUTED_VALUE"""),"Norman Ferguson")</f>
        <v>Norman Ferguson</v>
      </c>
      <c r="D496" s="31">
        <f t="shared" si="1"/>
        <v>7.5</v>
      </c>
      <c r="E496" s="4">
        <f t="shared" si="2"/>
        <v>1</v>
      </c>
      <c r="F496" s="15"/>
      <c r="G496" s="4"/>
    </row>
    <row r="497" ht="14.25" customHeight="1">
      <c r="A497" s="8" t="s">
        <v>183</v>
      </c>
      <c r="B497" s="8">
        <v>6.9</v>
      </c>
      <c r="C497" s="4" t="str">
        <f>IFERROR(__xludf.DUMMYFUNCTION("""COMPUTED_VALUE"""),"Michael Cimino")</f>
        <v>Michael Cimino</v>
      </c>
      <c r="D497" s="31">
        <f t="shared" si="1"/>
        <v>6.8</v>
      </c>
      <c r="E497" s="4">
        <f t="shared" si="2"/>
        <v>1</v>
      </c>
      <c r="F497" s="15"/>
      <c r="G497" s="4"/>
    </row>
    <row r="498" ht="14.25" customHeight="1">
      <c r="A498" s="8" t="s">
        <v>168</v>
      </c>
      <c r="B498" s="8">
        <v>6.5</v>
      </c>
      <c r="C498" s="4" t="str">
        <f>IFERROR(__xludf.DUMMYFUNCTION("""COMPUTED_VALUE"""),"Paul McGuigan")</f>
        <v>Paul McGuigan</v>
      </c>
      <c r="D498" s="31">
        <f t="shared" si="1"/>
        <v>6.92</v>
      </c>
      <c r="E498" s="4">
        <f t="shared" si="2"/>
        <v>5</v>
      </c>
      <c r="F498" s="15"/>
      <c r="G498" s="4"/>
    </row>
    <row r="499" ht="14.25" customHeight="1">
      <c r="A499" s="8" t="s">
        <v>341</v>
      </c>
      <c r="B499" s="8">
        <v>6.9</v>
      </c>
      <c r="C499" s="4" t="str">
        <f>IFERROR(__xludf.DUMMYFUNCTION("""COMPUTED_VALUE"""),"Gus Van Sant")</f>
        <v>Gus Van Sant</v>
      </c>
      <c r="D499" s="31">
        <f t="shared" si="1"/>
        <v>7.128571429</v>
      </c>
      <c r="E499" s="4">
        <f t="shared" si="2"/>
        <v>7</v>
      </c>
      <c r="F499" s="15"/>
      <c r="G499" s="4"/>
    </row>
    <row r="500" ht="14.25" customHeight="1">
      <c r="A500" s="8" t="s">
        <v>510</v>
      </c>
      <c r="B500" s="8">
        <v>7.9</v>
      </c>
      <c r="C500" s="4" t="str">
        <f>IFERROR(__xludf.DUMMYFUNCTION("""COMPUTED_VALUE"""),"Roger Kumble")</f>
        <v>Roger Kumble</v>
      </c>
      <c r="D500" s="31">
        <f t="shared" si="1"/>
        <v>5.266666667</v>
      </c>
      <c r="E500" s="4">
        <f t="shared" si="2"/>
        <v>3</v>
      </c>
      <c r="F500" s="15"/>
      <c r="G500" s="4"/>
    </row>
    <row r="501" ht="14.25" customHeight="1">
      <c r="A501" s="8" t="s">
        <v>51</v>
      </c>
      <c r="B501" s="8">
        <v>7.4</v>
      </c>
      <c r="C501" s="4" t="str">
        <f>IFERROR(__xludf.DUMMYFUNCTION("""COMPUTED_VALUE"""),"Burr Steers")</f>
        <v>Burr Steers</v>
      </c>
      <c r="D501" s="31">
        <f t="shared" si="1"/>
        <v>6.425</v>
      </c>
      <c r="E501" s="4">
        <f t="shared" si="2"/>
        <v>4</v>
      </c>
      <c r="F501" s="15"/>
      <c r="G501" s="4"/>
    </row>
    <row r="502" ht="14.25" customHeight="1">
      <c r="A502" s="8" t="s">
        <v>1230</v>
      </c>
      <c r="B502" s="8">
        <v>6.7</v>
      </c>
      <c r="C502" s="4" t="str">
        <f>IFERROR(__xludf.DUMMYFUNCTION("""COMPUTED_VALUE"""),"John Hamburg")</f>
        <v>John Hamburg</v>
      </c>
      <c r="D502" s="31">
        <f t="shared" si="1"/>
        <v>6.366666667</v>
      </c>
      <c r="E502" s="4">
        <f t="shared" si="2"/>
        <v>3</v>
      </c>
      <c r="F502" s="15"/>
      <c r="G502" s="4"/>
    </row>
    <row r="503" ht="14.25" customHeight="1">
      <c r="A503" s="8" t="s">
        <v>121</v>
      </c>
      <c r="B503" s="8">
        <v>7.4</v>
      </c>
      <c r="C503" s="4" t="str">
        <f>IFERROR(__xludf.DUMMYFUNCTION("""COMPUTED_VALUE"""),"Reginald Hudlin")</f>
        <v>Reginald Hudlin</v>
      </c>
      <c r="D503" s="31">
        <f t="shared" si="1"/>
        <v>5.266666667</v>
      </c>
      <c r="E503" s="4">
        <f t="shared" si="2"/>
        <v>3</v>
      </c>
      <c r="F503" s="15"/>
      <c r="G503" s="4"/>
    </row>
    <row r="504" ht="14.25" customHeight="1">
      <c r="A504" s="8" t="s">
        <v>532</v>
      </c>
      <c r="B504" s="8">
        <v>6.9</v>
      </c>
      <c r="C504" s="4" t="str">
        <f>IFERROR(__xludf.DUMMYFUNCTION("""COMPUTED_VALUE"""),"Joseph L. Mankiewicz")</f>
        <v>Joseph L. Mankiewicz</v>
      </c>
      <c r="D504" s="31">
        <f t="shared" si="1"/>
        <v>7</v>
      </c>
      <c r="E504" s="4">
        <f t="shared" si="2"/>
        <v>1</v>
      </c>
      <c r="F504" s="15"/>
      <c r="G504" s="4"/>
    </row>
    <row r="505" ht="14.25" customHeight="1">
      <c r="A505" s="8" t="s">
        <v>1036</v>
      </c>
      <c r="B505" s="8">
        <v>6.8</v>
      </c>
      <c r="C505" s="4" t="str">
        <f>IFERROR(__xludf.DUMMYFUNCTION("""COMPUTED_VALUE"""),"Barbra Streisand")</f>
        <v>Barbra Streisand</v>
      </c>
      <c r="D505" s="31">
        <f t="shared" si="1"/>
        <v>6.566666667</v>
      </c>
      <c r="E505" s="4">
        <f t="shared" si="2"/>
        <v>3</v>
      </c>
      <c r="F505" s="15"/>
      <c r="G505" s="4"/>
    </row>
    <row r="506" ht="14.25" customHeight="1">
      <c r="A506" s="8" t="s">
        <v>1087</v>
      </c>
      <c r="B506" s="8">
        <v>6.7</v>
      </c>
      <c r="C506" s="4" t="str">
        <f>IFERROR(__xludf.DUMMYFUNCTION("""COMPUTED_VALUE"""),"Mark Pellington")</f>
        <v>Mark Pellington</v>
      </c>
      <c r="D506" s="31">
        <f t="shared" si="1"/>
        <v>6.85</v>
      </c>
      <c r="E506" s="4">
        <f t="shared" si="2"/>
        <v>2</v>
      </c>
      <c r="F506" s="15"/>
      <c r="G506" s="4"/>
    </row>
    <row r="507" ht="14.25" customHeight="1">
      <c r="A507" s="8" t="s">
        <v>875</v>
      </c>
      <c r="B507" s="8">
        <v>5.1</v>
      </c>
      <c r="C507" s="4" t="str">
        <f>IFERROR(__xludf.DUMMYFUNCTION("""COMPUTED_VALUE"""),"John Glen")</f>
        <v>John Glen</v>
      </c>
      <c r="D507" s="31">
        <f t="shared" si="1"/>
        <v>6.6</v>
      </c>
      <c r="E507" s="4">
        <f t="shared" si="2"/>
        <v>5</v>
      </c>
      <c r="F507" s="15"/>
      <c r="G507" s="4"/>
    </row>
    <row r="508" ht="14.25" customHeight="1">
      <c r="A508" s="8" t="s">
        <v>1241</v>
      </c>
      <c r="B508" s="8">
        <v>4.1</v>
      </c>
      <c r="C508" s="4" t="str">
        <f>IFERROR(__xludf.DUMMYFUNCTION("""COMPUTED_VALUE"""),"Catherine Hardwicke")</f>
        <v>Catherine Hardwicke</v>
      </c>
      <c r="D508" s="31">
        <f t="shared" si="1"/>
        <v>6.083333333</v>
      </c>
      <c r="E508" s="4">
        <f t="shared" si="2"/>
        <v>6</v>
      </c>
      <c r="F508" s="15"/>
      <c r="G508" s="4"/>
    </row>
    <row r="509" ht="14.25" customHeight="1">
      <c r="A509" s="8" t="s">
        <v>472</v>
      </c>
      <c r="B509" s="8">
        <v>7.3</v>
      </c>
      <c r="C509" s="4" t="str">
        <f>IFERROR(__xludf.DUMMYFUNCTION("""COMPUTED_VALUE"""),"John Herzfeld")</f>
        <v>John Herzfeld</v>
      </c>
      <c r="D509" s="31">
        <f t="shared" si="1"/>
        <v>6.1</v>
      </c>
      <c r="E509" s="4">
        <f t="shared" si="2"/>
        <v>1</v>
      </c>
      <c r="F509" s="15"/>
      <c r="G509" s="4"/>
    </row>
    <row r="510" ht="14.25" customHeight="1">
      <c r="A510" s="8" t="s">
        <v>922</v>
      </c>
      <c r="B510" s="8">
        <v>6.0</v>
      </c>
      <c r="C510" s="4" t="str">
        <f>IFERROR(__xludf.DUMMYFUNCTION("""COMPUTED_VALUE"""),"Annabel Jankel")</f>
        <v>Annabel Jankel</v>
      </c>
      <c r="D510" s="31">
        <f t="shared" si="1"/>
        <v>4</v>
      </c>
      <c r="E510" s="4">
        <f t="shared" si="2"/>
        <v>1</v>
      </c>
      <c r="F510" s="15"/>
      <c r="G510" s="4"/>
    </row>
    <row r="511" ht="14.25" customHeight="1">
      <c r="A511" s="8" t="s">
        <v>168</v>
      </c>
      <c r="B511" s="8">
        <v>7.3</v>
      </c>
      <c r="C511" s="4" t="str">
        <f>IFERROR(__xludf.DUMMYFUNCTION("""COMPUTED_VALUE"""),"Julie Anne Robinson")</f>
        <v>Julie Anne Robinson</v>
      </c>
      <c r="D511" s="31">
        <f t="shared" si="1"/>
        <v>5.55</v>
      </c>
      <c r="E511" s="4">
        <f t="shared" si="2"/>
        <v>2</v>
      </c>
      <c r="F511" s="15"/>
      <c r="G511" s="4"/>
    </row>
    <row r="512" ht="14.25" customHeight="1">
      <c r="A512" s="8" t="s">
        <v>942</v>
      </c>
      <c r="B512" s="8">
        <v>5.4</v>
      </c>
      <c r="C512" s="4" t="str">
        <f>IFERROR(__xludf.DUMMYFUNCTION("""COMPUTED_VALUE"""),"Evan Goldberg")</f>
        <v>Evan Goldberg</v>
      </c>
      <c r="D512" s="31">
        <f t="shared" si="1"/>
        <v>6.65</v>
      </c>
      <c r="E512" s="4">
        <f t="shared" si="2"/>
        <v>2</v>
      </c>
      <c r="F512" s="15"/>
      <c r="G512" s="4"/>
    </row>
    <row r="513" ht="14.25" customHeight="1">
      <c r="A513" s="8" t="s">
        <v>136</v>
      </c>
      <c r="B513" s="8">
        <v>5.9</v>
      </c>
      <c r="C513" s="4" t="str">
        <f>IFERROR(__xludf.DUMMYFUNCTION("""COMPUTED_VALUE"""),"Sngmoo Lee")</f>
        <v>Sngmoo Lee</v>
      </c>
      <c r="D513" s="31">
        <f t="shared" si="1"/>
        <v>6.3</v>
      </c>
      <c r="E513" s="4">
        <f t="shared" si="2"/>
        <v>1</v>
      </c>
      <c r="F513" s="15"/>
      <c r="G513" s="4"/>
    </row>
    <row r="514" ht="14.25" customHeight="1">
      <c r="A514" s="8" t="s">
        <v>1251</v>
      </c>
      <c r="B514" s="8">
        <v>7.1</v>
      </c>
      <c r="C514" s="4" t="str">
        <f>IFERROR(__xludf.DUMMYFUNCTION("""COMPUTED_VALUE"""),"Gordon Chan")</f>
        <v>Gordon Chan</v>
      </c>
      <c r="D514" s="31">
        <f t="shared" si="1"/>
        <v>5.2</v>
      </c>
      <c r="E514" s="4">
        <f t="shared" si="2"/>
        <v>1</v>
      </c>
      <c r="F514" s="15"/>
      <c r="G514" s="4"/>
    </row>
    <row r="515" ht="14.25" customHeight="1">
      <c r="A515" s="8" t="s">
        <v>836</v>
      </c>
      <c r="B515" s="8">
        <v>6.0</v>
      </c>
      <c r="C515" s="4" t="str">
        <f>IFERROR(__xludf.DUMMYFUNCTION("""COMPUTED_VALUE"""),"Asger Leth")</f>
        <v>Asger Leth</v>
      </c>
      <c r="D515" s="31">
        <f t="shared" si="1"/>
        <v>6.6</v>
      </c>
      <c r="E515" s="4">
        <f t="shared" si="2"/>
        <v>1</v>
      </c>
      <c r="F515" s="15"/>
      <c r="G515" s="4"/>
    </row>
    <row r="516" ht="14.25" customHeight="1">
      <c r="A516" s="8" t="s">
        <v>467</v>
      </c>
      <c r="B516" s="8">
        <v>6.5</v>
      </c>
      <c r="C516" s="4" t="str">
        <f>IFERROR(__xludf.DUMMYFUNCTION("""COMPUTED_VALUE"""),"John G. Avildsen")</f>
        <v>John G. Avildsen</v>
      </c>
      <c r="D516" s="31">
        <f t="shared" si="1"/>
        <v>7.5</v>
      </c>
      <c r="E516" s="4">
        <f t="shared" si="2"/>
        <v>3</v>
      </c>
      <c r="F516" s="15"/>
      <c r="G516" s="4"/>
    </row>
    <row r="517" ht="14.25" customHeight="1">
      <c r="A517" s="8" t="s">
        <v>1258</v>
      </c>
      <c r="B517" s="8">
        <v>5.7</v>
      </c>
      <c r="C517" s="4" t="str">
        <f>IFERROR(__xludf.DUMMYFUNCTION("""COMPUTED_VALUE"""),"Anne Fletcher")</f>
        <v>Anne Fletcher</v>
      </c>
      <c r="D517" s="31">
        <f t="shared" si="1"/>
        <v>6.04</v>
      </c>
      <c r="E517" s="4">
        <f t="shared" si="2"/>
        <v>5</v>
      </c>
      <c r="F517" s="15"/>
      <c r="G517" s="4"/>
    </row>
    <row r="518" ht="14.25" customHeight="1">
      <c r="A518" s="8" t="s">
        <v>168</v>
      </c>
      <c r="B518" s="8">
        <v>7.6</v>
      </c>
      <c r="C518" s="4" t="str">
        <f>IFERROR(__xludf.DUMMYFUNCTION("""COMPUTED_VALUE"""),"Bruce Beresford")</f>
        <v>Bruce Beresford</v>
      </c>
      <c r="D518" s="31">
        <f t="shared" si="1"/>
        <v>6.9</v>
      </c>
      <c r="E518" s="4">
        <f t="shared" si="2"/>
        <v>2</v>
      </c>
      <c r="F518" s="15"/>
      <c r="G518" s="4"/>
    </row>
    <row r="519" ht="14.25" customHeight="1">
      <c r="A519" s="8" t="s">
        <v>1263</v>
      </c>
      <c r="B519" s="8">
        <v>6.6</v>
      </c>
      <c r="C519" s="4" t="str">
        <f>IFERROR(__xludf.DUMMYFUNCTION("""COMPUTED_VALUE"""),"Sam Taylor-Johnson")</f>
        <v>Sam Taylor-Johnson</v>
      </c>
      <c r="D519" s="31">
        <f t="shared" si="1"/>
        <v>4.1</v>
      </c>
      <c r="E519" s="4">
        <f t="shared" si="2"/>
        <v>1</v>
      </c>
      <c r="F519" s="15"/>
      <c r="G519" s="4"/>
    </row>
    <row r="520" ht="14.25" customHeight="1">
      <c r="A520" s="8" t="s">
        <v>1265</v>
      </c>
      <c r="B520" s="8">
        <v>5.4</v>
      </c>
      <c r="C520" s="4" t="str">
        <f>IFERROR(__xludf.DUMMYFUNCTION("""COMPUTED_VALUE"""),"Ken Kwapis")</f>
        <v>Ken Kwapis</v>
      </c>
      <c r="D520" s="31">
        <f t="shared" si="1"/>
        <v>6.2</v>
      </c>
      <c r="E520" s="4">
        <f t="shared" si="2"/>
        <v>4</v>
      </c>
      <c r="F520" s="15"/>
      <c r="G520" s="4"/>
    </row>
    <row r="521" ht="14.25" customHeight="1">
      <c r="A521" s="8" t="s">
        <v>538</v>
      </c>
      <c r="B521" s="8">
        <v>7.3</v>
      </c>
      <c r="C521" s="4" t="str">
        <f>IFERROR(__xludf.DUMMYFUNCTION("""COMPUTED_VALUE"""),"Wes Craven")</f>
        <v>Wes Craven</v>
      </c>
      <c r="D521" s="31">
        <f t="shared" si="1"/>
        <v>6.109090909</v>
      </c>
      <c r="E521" s="4">
        <f t="shared" si="2"/>
        <v>11</v>
      </c>
      <c r="F521" s="15"/>
      <c r="G521" s="4"/>
    </row>
    <row r="522" ht="14.25" customHeight="1">
      <c r="A522" s="8" t="s">
        <v>592</v>
      </c>
      <c r="B522" s="8">
        <v>6.5</v>
      </c>
      <c r="C522" s="4" t="str">
        <f>IFERROR(__xludf.DUMMYFUNCTION("""COMPUTED_VALUE"""),"Etan Cohen")</f>
        <v>Etan Cohen</v>
      </c>
      <c r="D522" s="31">
        <f t="shared" si="1"/>
        <v>6</v>
      </c>
      <c r="E522" s="4">
        <f t="shared" si="2"/>
        <v>1</v>
      </c>
      <c r="F522" s="15"/>
      <c r="G522" s="4"/>
    </row>
    <row r="523" ht="14.25" customHeight="1">
      <c r="A523" s="8" t="s">
        <v>1271</v>
      </c>
      <c r="B523" s="8">
        <v>6.6</v>
      </c>
      <c r="C523" s="4" t="str">
        <f>IFERROR(__xludf.DUMMYFUNCTION("""COMPUTED_VALUE"""),"John Whitesell")</f>
        <v>John Whitesell</v>
      </c>
      <c r="D523" s="31">
        <f t="shared" si="1"/>
        <v>4.875</v>
      </c>
      <c r="E523" s="4">
        <f t="shared" si="2"/>
        <v>4</v>
      </c>
      <c r="F523" s="15"/>
      <c r="G523" s="4"/>
    </row>
    <row r="524" ht="14.25" customHeight="1">
      <c r="A524" s="8" t="s">
        <v>1274</v>
      </c>
      <c r="B524" s="8">
        <v>6.6</v>
      </c>
      <c r="C524" s="4" t="str">
        <f>IFERROR(__xludf.DUMMYFUNCTION("""COMPUTED_VALUE"""),"Nick Cassavetes")</f>
        <v>Nick Cassavetes</v>
      </c>
      <c r="D524" s="31">
        <f t="shared" si="1"/>
        <v>7.075</v>
      </c>
      <c r="E524" s="4">
        <f t="shared" si="2"/>
        <v>4</v>
      </c>
      <c r="F524" s="15"/>
      <c r="G524" s="4"/>
    </row>
    <row r="525" ht="14.25" customHeight="1">
      <c r="A525" s="8" t="s">
        <v>1277</v>
      </c>
      <c r="B525" s="8">
        <v>5.9</v>
      </c>
      <c r="C525" s="4" t="str">
        <f>IFERROR(__xludf.DUMMYFUNCTION("""COMPUTED_VALUE"""),"Mark A.Z. DippÃ©")</f>
        <v>Mark A.Z. DippÃ©</v>
      </c>
      <c r="D525" s="31">
        <f t="shared" si="1"/>
        <v>5.2</v>
      </c>
      <c r="E525" s="4">
        <f t="shared" si="2"/>
        <v>1</v>
      </c>
      <c r="F525" s="15"/>
      <c r="G525" s="4"/>
    </row>
    <row r="526" ht="14.25" customHeight="1">
      <c r="A526" s="8" t="s">
        <v>1281</v>
      </c>
      <c r="B526" s="8">
        <v>6.7</v>
      </c>
      <c r="C526" s="4" t="str">
        <f>IFERROR(__xludf.DUMMYFUNCTION("""COMPUTED_VALUE"""),"Cal Brunker")</f>
        <v>Cal Brunker</v>
      </c>
      <c r="D526" s="31">
        <f t="shared" si="1"/>
        <v>5.9</v>
      </c>
      <c r="E526" s="4">
        <f t="shared" si="2"/>
        <v>1</v>
      </c>
      <c r="F526" s="15"/>
      <c r="G526" s="4"/>
    </row>
    <row r="527" ht="14.25" customHeight="1">
      <c r="A527" s="8" t="s">
        <v>1026</v>
      </c>
      <c r="B527" s="8">
        <v>6.1</v>
      </c>
      <c r="C527" s="4" t="str">
        <f>IFERROR(__xludf.DUMMYFUNCTION("""COMPUTED_VALUE"""),"NimrÃ³d Antal")</f>
        <v>NimrÃ³d Antal</v>
      </c>
      <c r="D527" s="31">
        <f t="shared" si="1"/>
        <v>6.05</v>
      </c>
      <c r="E527" s="4">
        <f t="shared" si="2"/>
        <v>2</v>
      </c>
      <c r="F527" s="15"/>
      <c r="G527" s="4"/>
    </row>
    <row r="528" ht="14.25" customHeight="1">
      <c r="A528" s="8" t="s">
        <v>1287</v>
      </c>
      <c r="B528" s="8">
        <v>6.6</v>
      </c>
      <c r="C528" s="4" t="str">
        <f>IFERROR(__xludf.DUMMYFUNCTION("""COMPUTED_VALUE"""),"Alejandro Agresti")</f>
        <v>Alejandro Agresti</v>
      </c>
      <c r="D528" s="31">
        <f t="shared" si="1"/>
        <v>6.8</v>
      </c>
      <c r="E528" s="4">
        <f t="shared" si="2"/>
        <v>1</v>
      </c>
      <c r="F528" s="15"/>
      <c r="G528" s="4"/>
    </row>
    <row r="529" ht="14.25" customHeight="1">
      <c r="A529" s="8" t="s">
        <v>1289</v>
      </c>
      <c r="B529" s="8">
        <v>6.6</v>
      </c>
      <c r="C529" s="4" t="str">
        <f>IFERROR(__xludf.DUMMYFUNCTION("""COMPUTED_VALUE"""),"Peter Hedges")</f>
        <v>Peter Hedges</v>
      </c>
      <c r="D529" s="31">
        <f t="shared" si="1"/>
        <v>6.85</v>
      </c>
      <c r="E529" s="4">
        <f t="shared" si="2"/>
        <v>2</v>
      </c>
      <c r="F529" s="15"/>
      <c r="G529" s="4"/>
    </row>
    <row r="530" ht="14.25" customHeight="1">
      <c r="A530" s="8" t="s">
        <v>1292</v>
      </c>
      <c r="B530" s="8">
        <v>5.3</v>
      </c>
      <c r="C530" s="4" t="str">
        <f>IFERROR(__xludf.DUMMYFUNCTION("""COMPUTED_VALUE"""),"Paul Weiland")</f>
        <v>Paul Weiland</v>
      </c>
      <c r="D530" s="31">
        <f t="shared" si="1"/>
        <v>5.8</v>
      </c>
      <c r="E530" s="4">
        <f t="shared" si="2"/>
        <v>1</v>
      </c>
      <c r="F530" s="15"/>
      <c r="G530" s="4"/>
    </row>
    <row r="531" ht="14.25" customHeight="1">
      <c r="A531" s="8" t="s">
        <v>983</v>
      </c>
      <c r="B531" s="8">
        <v>6.0</v>
      </c>
      <c r="C531" s="4" t="str">
        <f>IFERROR(__xludf.DUMMYFUNCTION("""COMPUTED_VALUE"""),"Colin Strause")</f>
        <v>Colin Strause</v>
      </c>
      <c r="D531" s="31">
        <f t="shared" si="1"/>
        <v>4.55</v>
      </c>
      <c r="E531" s="4">
        <f t="shared" si="2"/>
        <v>2</v>
      </c>
      <c r="F531" s="15"/>
      <c r="G531" s="4"/>
    </row>
    <row r="532" ht="14.25" customHeight="1">
      <c r="A532" s="8" t="s">
        <v>1297</v>
      </c>
      <c r="B532" s="8">
        <v>4.7</v>
      </c>
      <c r="C532" s="4" t="str">
        <f>IFERROR(__xludf.DUMMYFUNCTION("""COMPUTED_VALUE"""),"Joan Chen")</f>
        <v>Joan Chen</v>
      </c>
      <c r="D532" s="31">
        <f t="shared" si="1"/>
        <v>5.5</v>
      </c>
      <c r="E532" s="4">
        <f t="shared" si="2"/>
        <v>1</v>
      </c>
      <c r="F532" s="15"/>
      <c r="G532" s="4"/>
    </row>
    <row r="533" ht="14.25" customHeight="1">
      <c r="A533" s="8" t="s">
        <v>866</v>
      </c>
      <c r="B533" s="8">
        <v>6.1</v>
      </c>
      <c r="C533" s="4" t="str">
        <f>IFERROR(__xludf.DUMMYFUNCTION("""COMPUTED_VALUE"""),"Greg Mottola")</f>
        <v>Greg Mottola</v>
      </c>
      <c r="D533" s="31">
        <f t="shared" si="1"/>
        <v>7.3</v>
      </c>
      <c r="E533" s="4">
        <f t="shared" si="2"/>
        <v>2</v>
      </c>
      <c r="F533" s="15"/>
      <c r="G533" s="4"/>
    </row>
    <row r="534" ht="14.25" customHeight="1">
      <c r="A534" s="8" t="s">
        <v>387</v>
      </c>
      <c r="B534" s="8">
        <v>7.2</v>
      </c>
      <c r="C534" s="4" t="str">
        <f>IFERROR(__xludf.DUMMYFUNCTION("""COMPUTED_VALUE"""),"Jake Kasdan")</f>
        <v>Jake Kasdan</v>
      </c>
      <c r="D534" s="31">
        <f t="shared" si="1"/>
        <v>6.125</v>
      </c>
      <c r="E534" s="4">
        <f t="shared" si="2"/>
        <v>4</v>
      </c>
      <c r="F534" s="15"/>
      <c r="G534" s="4"/>
    </row>
    <row r="535" ht="14.25" customHeight="1">
      <c r="A535" s="8" t="s">
        <v>1302</v>
      </c>
      <c r="B535" s="8">
        <v>6.4</v>
      </c>
      <c r="C535" s="4" t="str">
        <f>IFERROR(__xludf.DUMMYFUNCTION("""COMPUTED_VALUE"""),"Diane Keaton")</f>
        <v>Diane Keaton</v>
      </c>
      <c r="D535" s="31">
        <f t="shared" si="1"/>
        <v>4.7</v>
      </c>
      <c r="E535" s="4">
        <f t="shared" si="2"/>
        <v>1</v>
      </c>
      <c r="F535" s="15"/>
      <c r="G535" s="4"/>
    </row>
    <row r="536" ht="14.25" customHeight="1">
      <c r="A536" s="8" t="s">
        <v>48</v>
      </c>
      <c r="B536" s="8">
        <v>6.1</v>
      </c>
      <c r="C536" s="4" t="str">
        <f>IFERROR(__xludf.DUMMYFUNCTION("""COMPUTED_VALUE"""),"Kelly Makin")</f>
        <v>Kelly Makin</v>
      </c>
      <c r="D536" s="31">
        <f t="shared" si="1"/>
        <v>5.8</v>
      </c>
      <c r="E536" s="4">
        <f t="shared" si="2"/>
        <v>1</v>
      </c>
      <c r="F536" s="15"/>
      <c r="G536" s="4"/>
    </row>
    <row r="537" ht="14.25" customHeight="1">
      <c r="A537" s="8" t="s">
        <v>950</v>
      </c>
      <c r="B537" s="8">
        <v>5.9</v>
      </c>
      <c r="C537" s="4" t="str">
        <f>IFERROR(__xludf.DUMMYFUNCTION("""COMPUTED_VALUE"""),"Stephen Daldry")</f>
        <v>Stephen Daldry</v>
      </c>
      <c r="D537" s="31">
        <f t="shared" si="1"/>
        <v>7.45</v>
      </c>
      <c r="E537" s="4">
        <f t="shared" si="2"/>
        <v>4</v>
      </c>
      <c r="F537" s="15"/>
      <c r="G537" s="4"/>
    </row>
    <row r="538" ht="14.25" customHeight="1">
      <c r="A538" s="8" t="s">
        <v>1274</v>
      </c>
      <c r="B538" s="8">
        <v>6.0</v>
      </c>
      <c r="C538" s="4" t="str">
        <f>IFERROR(__xludf.DUMMYFUNCTION("""COMPUTED_VALUE"""),"Christian Duguay")</f>
        <v>Christian Duguay</v>
      </c>
      <c r="D538" s="31">
        <f t="shared" si="1"/>
        <v>5.1</v>
      </c>
      <c r="E538" s="4">
        <f t="shared" si="2"/>
        <v>2</v>
      </c>
      <c r="F538" s="15"/>
      <c r="G538" s="4"/>
    </row>
    <row r="539" ht="14.25" customHeight="1">
      <c r="A539" s="8" t="s">
        <v>1309</v>
      </c>
      <c r="B539" s="8">
        <v>6.3</v>
      </c>
      <c r="C539" s="4" t="str">
        <f>IFERROR(__xludf.DUMMYFUNCTION("""COMPUTED_VALUE"""),"Justin Chadwick")</f>
        <v>Justin Chadwick</v>
      </c>
      <c r="D539" s="31">
        <f t="shared" si="1"/>
        <v>6.9</v>
      </c>
      <c r="E539" s="4">
        <f t="shared" si="2"/>
        <v>2</v>
      </c>
      <c r="F539" s="15"/>
      <c r="G539" s="4"/>
    </row>
    <row r="540" ht="14.25" customHeight="1">
      <c r="A540" s="8" t="s">
        <v>1281</v>
      </c>
      <c r="B540" s="8">
        <v>5.6</v>
      </c>
      <c r="C540" s="4" t="str">
        <f>IFERROR(__xludf.DUMMYFUNCTION("""COMPUTED_VALUE"""),"Pat O'Connor")</f>
        <v>Pat O'Connor</v>
      </c>
      <c r="D540" s="31">
        <f t="shared" si="1"/>
        <v>6.7</v>
      </c>
      <c r="E540" s="4">
        <f t="shared" si="2"/>
        <v>1</v>
      </c>
      <c r="F540" s="15"/>
      <c r="G540" s="4"/>
    </row>
    <row r="541" ht="14.25" customHeight="1">
      <c r="A541" s="8" t="s">
        <v>1314</v>
      </c>
      <c r="B541" s="8">
        <v>6.4</v>
      </c>
      <c r="C541" s="4" t="str">
        <f>IFERROR(__xludf.DUMMYFUNCTION("""COMPUTED_VALUE"""),"Frederik Du Chau")</f>
        <v>Frederik Du Chau</v>
      </c>
      <c r="D541" s="31">
        <f t="shared" si="1"/>
        <v>6.2</v>
      </c>
      <c r="E541" s="4">
        <f t="shared" si="2"/>
        <v>1</v>
      </c>
      <c r="F541" s="15"/>
      <c r="G541" s="4"/>
    </row>
    <row r="542" ht="14.25" customHeight="1">
      <c r="A542" s="8" t="s">
        <v>98</v>
      </c>
      <c r="B542" s="8">
        <v>7.1</v>
      </c>
      <c r="C542" s="4" t="str">
        <f>IFERROR(__xludf.DUMMYFUNCTION("""COMPUTED_VALUE"""),"Irwin Winkler")</f>
        <v>Irwin Winkler</v>
      </c>
      <c r="D542" s="31">
        <f t="shared" si="1"/>
        <v>6.45</v>
      </c>
      <c r="E542" s="4">
        <f t="shared" si="2"/>
        <v>4</v>
      </c>
      <c r="F542" s="15"/>
      <c r="G542" s="4"/>
    </row>
    <row r="543" ht="14.25" customHeight="1">
      <c r="A543" s="8" t="s">
        <v>727</v>
      </c>
      <c r="B543" s="8">
        <v>6.6</v>
      </c>
      <c r="C543" s="4" t="str">
        <f>IFERROR(__xludf.DUMMYFUNCTION("""COMPUTED_VALUE"""),"Joseph Kahn")</f>
        <v>Joseph Kahn</v>
      </c>
      <c r="D543" s="31">
        <f t="shared" si="1"/>
        <v>4</v>
      </c>
      <c r="E543" s="4">
        <f t="shared" si="2"/>
        <v>1</v>
      </c>
      <c r="F543" s="15"/>
      <c r="G543" s="4"/>
    </row>
    <row r="544" ht="14.25" customHeight="1">
      <c r="A544" s="8" t="s">
        <v>1319</v>
      </c>
      <c r="B544" s="8">
        <v>4.6</v>
      </c>
      <c r="C544" s="4" t="str">
        <f>IFERROR(__xludf.DUMMYFUNCTION("""COMPUTED_VALUE"""),"Sofia Coppola")</f>
        <v>Sofia Coppola</v>
      </c>
      <c r="D544" s="31">
        <f t="shared" si="1"/>
        <v>6.925</v>
      </c>
      <c r="E544" s="4">
        <f t="shared" si="2"/>
        <v>4</v>
      </c>
      <c r="F544" s="15"/>
      <c r="G544" s="4"/>
    </row>
    <row r="545" ht="14.25" customHeight="1">
      <c r="A545" s="8" t="s">
        <v>1322</v>
      </c>
      <c r="B545" s="8">
        <v>8.4</v>
      </c>
      <c r="C545" s="4" t="str">
        <f>IFERROR(__xludf.DUMMYFUNCTION("""COMPUTED_VALUE"""),"Stephen Kay")</f>
        <v>Stephen Kay</v>
      </c>
      <c r="D545" s="31">
        <f t="shared" si="1"/>
        <v>5</v>
      </c>
      <c r="E545" s="4">
        <f t="shared" si="2"/>
        <v>3</v>
      </c>
      <c r="F545" s="15"/>
      <c r="G545" s="4"/>
    </row>
    <row r="546" ht="14.25" customHeight="1">
      <c r="A546" s="8" t="s">
        <v>21</v>
      </c>
      <c r="B546" s="8">
        <v>7.1</v>
      </c>
      <c r="C546" s="4" t="str">
        <f>IFERROR(__xludf.DUMMYFUNCTION("""COMPUTED_VALUE"""),"J.A. Bayona")</f>
        <v>J.A. Bayona</v>
      </c>
      <c r="D546" s="31">
        <f t="shared" si="1"/>
        <v>7.55</v>
      </c>
      <c r="E546" s="4">
        <f t="shared" si="2"/>
        <v>2</v>
      </c>
      <c r="F546" s="15"/>
      <c r="G546" s="4"/>
    </row>
    <row r="547" ht="14.25" customHeight="1">
      <c r="A547" s="8" t="s">
        <v>1327</v>
      </c>
      <c r="B547" s="8">
        <v>7.4</v>
      </c>
      <c r="C547" s="4" t="str">
        <f>IFERROR(__xludf.DUMMYFUNCTION("""COMPUTED_VALUE"""),"Elaine May")</f>
        <v>Elaine May</v>
      </c>
      <c r="D547" s="31">
        <f t="shared" si="1"/>
        <v>4.2</v>
      </c>
      <c r="E547" s="4">
        <f t="shared" si="2"/>
        <v>1</v>
      </c>
      <c r="F547" s="15"/>
      <c r="G547" s="4"/>
    </row>
    <row r="548" ht="14.25" customHeight="1">
      <c r="A548" s="8" t="s">
        <v>1331</v>
      </c>
      <c r="B548" s="8">
        <v>6.9</v>
      </c>
      <c r="C548" s="4" t="str">
        <f>IFERROR(__xludf.DUMMYFUNCTION("""COMPUTED_VALUE"""),"Dennie Gordon")</f>
        <v>Dennie Gordon</v>
      </c>
      <c r="D548" s="31">
        <f t="shared" si="1"/>
        <v>5.5</v>
      </c>
      <c r="E548" s="4">
        <f t="shared" si="2"/>
        <v>3</v>
      </c>
      <c r="F548" s="15"/>
      <c r="G548" s="4"/>
    </row>
    <row r="549" ht="14.25" customHeight="1">
      <c r="A549" s="8" t="s">
        <v>875</v>
      </c>
      <c r="B549" s="8">
        <v>4.5</v>
      </c>
      <c r="C549" s="4" t="str">
        <f>IFERROR(__xludf.DUMMYFUNCTION("""COMPUTED_VALUE"""),"Charles Shyer")</f>
        <v>Charles Shyer</v>
      </c>
      <c r="D549" s="31">
        <f t="shared" si="1"/>
        <v>6.2</v>
      </c>
      <c r="E549" s="4">
        <f t="shared" si="2"/>
        <v>1</v>
      </c>
      <c r="F549" s="15"/>
      <c r="G549" s="4"/>
    </row>
    <row r="550" ht="14.25" customHeight="1">
      <c r="A550" s="8" t="s">
        <v>1008</v>
      </c>
      <c r="B550" s="8">
        <v>7.1</v>
      </c>
      <c r="C550" s="4" t="str">
        <f>IFERROR(__xludf.DUMMYFUNCTION("""COMPUTED_VALUE"""),"Ulu Grosbard")</f>
        <v>Ulu Grosbard</v>
      </c>
      <c r="D550" s="31">
        <f t="shared" si="1"/>
        <v>6.3</v>
      </c>
      <c r="E550" s="4">
        <f t="shared" si="2"/>
        <v>1</v>
      </c>
      <c r="F550" s="15"/>
      <c r="G550" s="4"/>
    </row>
    <row r="551" ht="14.25" customHeight="1">
      <c r="A551" s="8" t="s">
        <v>387</v>
      </c>
      <c r="B551" s="8">
        <v>6.5</v>
      </c>
      <c r="C551" s="4" t="str">
        <f>IFERROR(__xludf.DUMMYFUNCTION("""COMPUTED_VALUE"""),"William Malone")</f>
        <v>William Malone</v>
      </c>
      <c r="D551" s="31">
        <f t="shared" si="1"/>
        <v>4.45</v>
      </c>
      <c r="E551" s="4">
        <f t="shared" si="2"/>
        <v>2</v>
      </c>
      <c r="F551" s="15"/>
      <c r="G551" s="4"/>
    </row>
    <row r="552" ht="14.25" customHeight="1">
      <c r="A552" s="8" t="s">
        <v>1341</v>
      </c>
      <c r="B552" s="8">
        <v>5.3</v>
      </c>
      <c r="C552" s="4" t="str">
        <f>IFERROR(__xludf.DUMMYFUNCTION("""COMPUTED_VALUE"""),"Jerry Jameson")</f>
        <v>Jerry Jameson</v>
      </c>
      <c r="D552" s="31">
        <f t="shared" si="1"/>
        <v>5</v>
      </c>
      <c r="E552" s="4">
        <f t="shared" si="2"/>
        <v>2</v>
      </c>
      <c r="F552" s="15"/>
      <c r="G552" s="4"/>
    </row>
    <row r="553" ht="14.25" customHeight="1">
      <c r="A553" s="8" t="s">
        <v>387</v>
      </c>
      <c r="B553" s="8">
        <v>6.7</v>
      </c>
      <c r="C553" s="4" t="str">
        <f>IFERROR(__xludf.DUMMYFUNCTION("""COMPUTED_VALUE"""),"Mic Rodgers")</f>
        <v>Mic Rodgers</v>
      </c>
      <c r="D553" s="31">
        <f t="shared" si="1"/>
        <v>4.1</v>
      </c>
      <c r="E553" s="4">
        <f t="shared" si="2"/>
        <v>1</v>
      </c>
      <c r="F553" s="15"/>
      <c r="G553" s="4"/>
    </row>
    <row r="554" ht="14.25" customHeight="1">
      <c r="A554" s="8" t="s">
        <v>62</v>
      </c>
      <c r="B554" s="8">
        <v>7.2</v>
      </c>
      <c r="C554" s="4" t="str">
        <f>IFERROR(__xludf.DUMMYFUNCTION("""COMPUTED_VALUE"""),"Christian Alvart")</f>
        <v>Christian Alvart</v>
      </c>
      <c r="D554" s="31">
        <f t="shared" si="1"/>
        <v>6.5</v>
      </c>
      <c r="E554" s="4">
        <f t="shared" si="2"/>
        <v>2</v>
      </c>
      <c r="F554" s="15"/>
      <c r="G554" s="4"/>
    </row>
    <row r="555" ht="14.25" customHeight="1">
      <c r="A555" s="8" t="s">
        <v>132</v>
      </c>
      <c r="B555" s="8">
        <v>7.2</v>
      </c>
      <c r="C555" s="4" t="str">
        <f>IFERROR(__xludf.DUMMYFUNCTION("""COMPUTED_VALUE"""),"Jean-Marie PoirÃ©")</f>
        <v>Jean-Marie PoirÃ©</v>
      </c>
      <c r="D555" s="31">
        <f t="shared" si="1"/>
        <v>6.266666667</v>
      </c>
      <c r="E555" s="4">
        <f t="shared" si="2"/>
        <v>3</v>
      </c>
      <c r="F555" s="15"/>
      <c r="G555" s="4"/>
    </row>
    <row r="556" ht="14.25" customHeight="1">
      <c r="A556" s="8" t="s">
        <v>1349</v>
      </c>
      <c r="B556" s="8">
        <v>5.5</v>
      </c>
      <c r="C556" s="4" t="str">
        <f>IFERROR(__xludf.DUMMYFUNCTION("""COMPUTED_VALUE"""),"Marc F. Adler")</f>
        <v>Marc F. Adler</v>
      </c>
      <c r="D556" s="31">
        <f t="shared" si="1"/>
        <v>4.4</v>
      </c>
      <c r="E556" s="4">
        <f t="shared" si="2"/>
        <v>1</v>
      </c>
      <c r="F556" s="15"/>
      <c r="G556" s="4"/>
    </row>
    <row r="557" ht="14.25" customHeight="1">
      <c r="A557" s="8" t="s">
        <v>214</v>
      </c>
      <c r="B557" s="8">
        <v>5.8</v>
      </c>
      <c r="C557" s="4" t="str">
        <f>IFERROR(__xludf.DUMMYFUNCTION("""COMPUTED_VALUE"""),"Geoffrey Sax")</f>
        <v>Geoffrey Sax</v>
      </c>
      <c r="D557" s="31">
        <f t="shared" si="1"/>
        <v>5.3</v>
      </c>
      <c r="E557" s="4">
        <f t="shared" si="2"/>
        <v>2</v>
      </c>
      <c r="F557" s="15"/>
      <c r="G557" s="4"/>
    </row>
    <row r="558" ht="14.25" customHeight="1">
      <c r="A558" s="8" t="s">
        <v>1352</v>
      </c>
      <c r="B558" s="8">
        <v>6.0</v>
      </c>
      <c r="C558" s="4" t="str">
        <f>IFERROR(__xludf.DUMMYFUNCTION("""COMPUTED_VALUE"""),"Richard Shepard")</f>
        <v>Richard Shepard</v>
      </c>
      <c r="D558" s="31">
        <f t="shared" si="1"/>
        <v>6.85</v>
      </c>
      <c r="E558" s="4">
        <f t="shared" si="2"/>
        <v>2</v>
      </c>
      <c r="F558" s="15"/>
      <c r="G558" s="4"/>
    </row>
    <row r="559" ht="14.25" customHeight="1">
      <c r="A559" s="8" t="s">
        <v>361</v>
      </c>
      <c r="B559" s="8">
        <v>6.6</v>
      </c>
      <c r="C559" s="4" t="str">
        <f>IFERROR(__xludf.DUMMYFUNCTION("""COMPUTED_VALUE"""),"Peter Ho-Sun Chan")</f>
        <v>Peter Ho-Sun Chan</v>
      </c>
      <c r="D559" s="31">
        <f t="shared" si="1"/>
        <v>7.1</v>
      </c>
      <c r="E559" s="4">
        <f t="shared" si="2"/>
        <v>1</v>
      </c>
      <c r="F559" s="15"/>
      <c r="G559" s="4"/>
    </row>
    <row r="560" ht="14.25" customHeight="1">
      <c r="A560" s="8" t="s">
        <v>734</v>
      </c>
      <c r="B560" s="8">
        <v>8.3</v>
      </c>
      <c r="C560" s="4" t="str">
        <f>IFERROR(__xludf.DUMMYFUNCTION("""COMPUTED_VALUE"""),"Joon-ho Bong")</f>
        <v>Joon-ho Bong</v>
      </c>
      <c r="D560" s="31">
        <f t="shared" si="1"/>
        <v>7</v>
      </c>
      <c r="E560" s="4">
        <f t="shared" si="2"/>
        <v>2</v>
      </c>
      <c r="F560" s="15"/>
      <c r="G560" s="4"/>
    </row>
    <row r="561" ht="14.25" customHeight="1">
      <c r="A561" s="8" t="s">
        <v>168</v>
      </c>
      <c r="B561" s="8">
        <v>6.7</v>
      </c>
      <c r="C561" s="4" t="str">
        <f>IFERROR(__xludf.DUMMYFUNCTION("""COMPUTED_VALUE"""),"S.S. Rajamouli")</f>
        <v>S.S. Rajamouli</v>
      </c>
      <c r="D561" s="31">
        <f t="shared" si="1"/>
        <v>8.4</v>
      </c>
      <c r="E561" s="4">
        <f t="shared" si="2"/>
        <v>1</v>
      </c>
      <c r="F561" s="15"/>
      <c r="G561" s="4"/>
    </row>
    <row r="562" ht="14.25" customHeight="1">
      <c r="A562" s="8" t="s">
        <v>875</v>
      </c>
      <c r="B562" s="8">
        <v>7.1</v>
      </c>
      <c r="C562" s="4" t="str">
        <f>IFERROR(__xludf.DUMMYFUNCTION("""COMPUTED_VALUE"""),"Charles S. Dutton")</f>
        <v>Charles S. Dutton</v>
      </c>
      <c r="D562" s="31">
        <f t="shared" si="1"/>
        <v>5.3</v>
      </c>
      <c r="E562" s="4">
        <f t="shared" si="2"/>
        <v>1</v>
      </c>
      <c r="F562" s="15"/>
      <c r="G562" s="4"/>
    </row>
    <row r="563" ht="14.25" customHeight="1">
      <c r="A563" s="8" t="s">
        <v>1361</v>
      </c>
      <c r="B563" s="8">
        <v>6.0</v>
      </c>
      <c r="C563" s="4" t="str">
        <f>IFERROR(__xludf.DUMMYFUNCTION("""COMPUTED_VALUE"""),"Jonathan Lynn")</f>
        <v>Jonathan Lynn</v>
      </c>
      <c r="D563" s="31">
        <f t="shared" si="1"/>
        <v>6.7</v>
      </c>
      <c r="E563" s="4">
        <f t="shared" si="2"/>
        <v>4</v>
      </c>
      <c r="F563" s="15"/>
      <c r="G563" s="4"/>
    </row>
    <row r="564" ht="14.25" customHeight="1">
      <c r="A564" s="8" t="s">
        <v>1364</v>
      </c>
      <c r="B564" s="8">
        <v>6.9</v>
      </c>
      <c r="C564" s="4" t="str">
        <f>IFERROR(__xludf.DUMMYFUNCTION("""COMPUTED_VALUE"""),"David Carson")</f>
        <v>David Carson</v>
      </c>
      <c r="D564" s="31">
        <f t="shared" si="1"/>
        <v>6.6</v>
      </c>
      <c r="E564" s="4">
        <f t="shared" si="2"/>
        <v>1</v>
      </c>
      <c r="F564" s="15"/>
      <c r="G564" s="4"/>
    </row>
    <row r="565" ht="14.25" customHeight="1">
      <c r="A565" s="8" t="s">
        <v>387</v>
      </c>
      <c r="B565" s="8">
        <v>5.6</v>
      </c>
      <c r="C565" s="4" t="str">
        <f>IFERROR(__xludf.DUMMYFUNCTION("""COMPUTED_VALUE"""),"Kar-Wai Wong")</f>
        <v>Kar-Wai Wong</v>
      </c>
      <c r="D565" s="31">
        <f t="shared" si="1"/>
        <v>6.9</v>
      </c>
      <c r="E565" s="4">
        <f t="shared" si="2"/>
        <v>3</v>
      </c>
      <c r="F565" s="15"/>
      <c r="G565" s="4"/>
    </row>
    <row r="566" ht="14.25" customHeight="1">
      <c r="A566" s="8" t="s">
        <v>983</v>
      </c>
      <c r="B566" s="8">
        <v>5.6</v>
      </c>
      <c r="C566" s="4" t="str">
        <f>IFERROR(__xludf.DUMMYFUNCTION("""COMPUTED_VALUE"""),"Norman Jewison")</f>
        <v>Norman Jewison</v>
      </c>
      <c r="D566" s="31">
        <f t="shared" si="1"/>
        <v>6.775</v>
      </c>
      <c r="E566" s="4">
        <f t="shared" si="2"/>
        <v>4</v>
      </c>
      <c r="F566" s="15"/>
      <c r="G566" s="4"/>
    </row>
    <row r="567" ht="14.25" customHeight="1">
      <c r="A567" s="8" t="s">
        <v>1341</v>
      </c>
      <c r="B567" s="8">
        <v>4.5</v>
      </c>
      <c r="C567" s="4" t="str">
        <f>IFERROR(__xludf.DUMMYFUNCTION("""COMPUTED_VALUE"""),"David Mirkin")</f>
        <v>David Mirkin</v>
      </c>
      <c r="D567" s="31">
        <f t="shared" si="1"/>
        <v>6.2</v>
      </c>
      <c r="E567" s="4">
        <f t="shared" si="2"/>
        <v>1</v>
      </c>
      <c r="F567" s="15"/>
      <c r="G567" s="4"/>
    </row>
    <row r="568" ht="14.25" customHeight="1">
      <c r="A568" s="8" t="s">
        <v>1373</v>
      </c>
      <c r="B568" s="8">
        <v>7.1</v>
      </c>
      <c r="C568" s="4" t="str">
        <f>IFERROR(__xludf.DUMMYFUNCTION("""COMPUTED_VALUE"""),"Luis Mandoki")</f>
        <v>Luis Mandoki</v>
      </c>
      <c r="D568" s="31">
        <f t="shared" si="1"/>
        <v>5.85</v>
      </c>
      <c r="E568" s="4">
        <f t="shared" si="2"/>
        <v>2</v>
      </c>
      <c r="F568" s="15"/>
      <c r="G568" s="4"/>
    </row>
    <row r="569" ht="14.25" customHeight="1">
      <c r="A569" s="8" t="s">
        <v>1263</v>
      </c>
      <c r="B569" s="8">
        <v>6.5</v>
      </c>
      <c r="C569" s="4" t="str">
        <f>IFERROR(__xludf.DUMMYFUNCTION("""COMPUTED_VALUE"""),"Lee Daniels")</f>
        <v>Lee Daniels</v>
      </c>
      <c r="D569" s="31">
        <f t="shared" si="1"/>
        <v>7.266666667</v>
      </c>
      <c r="E569" s="4">
        <f t="shared" si="2"/>
        <v>3</v>
      </c>
      <c r="F569" s="15"/>
      <c r="G569" s="4"/>
    </row>
    <row r="570" ht="14.25" customHeight="1">
      <c r="A570" s="8" t="s">
        <v>1376</v>
      </c>
      <c r="B570" s="8">
        <v>6.4</v>
      </c>
      <c r="C570" s="4" t="str">
        <f>IFERROR(__xludf.DUMMYFUNCTION("""COMPUTED_VALUE"""),"Jeb Stuart")</f>
        <v>Jeb Stuart</v>
      </c>
      <c r="D570" s="31">
        <f t="shared" si="1"/>
        <v>6.4</v>
      </c>
      <c r="E570" s="4">
        <f t="shared" si="2"/>
        <v>1</v>
      </c>
      <c r="F570" s="15"/>
      <c r="G570" s="4"/>
    </row>
    <row r="571" ht="14.25" customHeight="1">
      <c r="A571" s="8" t="s">
        <v>373</v>
      </c>
      <c r="B571" s="8">
        <v>5.8</v>
      </c>
      <c r="C571" s="4" t="str">
        <f>IFERROR(__xludf.DUMMYFUNCTION("""COMPUTED_VALUE"""),"Steve Miner")</f>
        <v>Steve Miner</v>
      </c>
      <c r="D571" s="31">
        <f t="shared" si="1"/>
        <v>5.76</v>
      </c>
      <c r="E571" s="4">
        <f t="shared" si="2"/>
        <v>5</v>
      </c>
      <c r="F571" s="15"/>
      <c r="G571" s="4"/>
    </row>
    <row r="572" ht="14.25" customHeight="1">
      <c r="A572" s="8" t="s">
        <v>111</v>
      </c>
      <c r="B572" s="8">
        <v>8.0</v>
      </c>
      <c r="C572" s="4" t="str">
        <f>IFERROR(__xludf.DUMMYFUNCTION("""COMPUTED_VALUE"""),"Paul Thomas Anderson")</f>
        <v>Paul Thomas Anderson</v>
      </c>
      <c r="D572" s="31">
        <f t="shared" si="1"/>
        <v>7.516666667</v>
      </c>
      <c r="E572" s="4">
        <f t="shared" si="2"/>
        <v>6</v>
      </c>
      <c r="F572" s="15"/>
      <c r="G572" s="4"/>
    </row>
    <row r="573" ht="14.25" customHeight="1">
      <c r="A573" s="8" t="s">
        <v>1251</v>
      </c>
      <c r="B573" s="8">
        <v>6.2</v>
      </c>
      <c r="C573" s="4" t="str">
        <f>IFERROR(__xludf.DUMMYFUNCTION("""COMPUTED_VALUE"""),"J Blakeson")</f>
        <v>J Blakeson</v>
      </c>
      <c r="D573" s="31">
        <f t="shared" si="1"/>
        <v>5.2</v>
      </c>
      <c r="E573" s="4">
        <f t="shared" si="2"/>
        <v>1</v>
      </c>
      <c r="F573" s="15"/>
      <c r="G573" s="4"/>
    </row>
    <row r="574" ht="14.25" customHeight="1">
      <c r="A574" s="8" t="s">
        <v>168</v>
      </c>
      <c r="B574" s="8">
        <v>7.2</v>
      </c>
      <c r="C574" s="4" t="str">
        <f>IFERROR(__xludf.DUMMYFUNCTION("""COMPUTED_VALUE"""),"Ryan Coogler")</f>
        <v>Ryan Coogler</v>
      </c>
      <c r="D574" s="31">
        <f t="shared" si="1"/>
        <v>7.6</v>
      </c>
      <c r="E574" s="4">
        <f t="shared" si="2"/>
        <v>2</v>
      </c>
      <c r="F574" s="15"/>
      <c r="G574" s="4"/>
    </row>
    <row r="575" ht="14.25" customHeight="1">
      <c r="A575" s="8" t="s">
        <v>1387</v>
      </c>
      <c r="B575" s="8">
        <v>6.1</v>
      </c>
      <c r="C575" s="4" t="str">
        <f>IFERROR(__xludf.DUMMYFUNCTION("""COMPUTED_VALUE"""),"Kirk Jones")</f>
        <v>Kirk Jones</v>
      </c>
      <c r="D575" s="31">
        <f t="shared" si="1"/>
        <v>6.6</v>
      </c>
      <c r="E575" s="4">
        <f t="shared" si="2"/>
        <v>5</v>
      </c>
      <c r="F575" s="15"/>
      <c r="G575" s="4"/>
    </row>
    <row r="576" ht="14.25" customHeight="1">
      <c r="A576" s="8" t="s">
        <v>12</v>
      </c>
      <c r="B576" s="8">
        <v>7.6</v>
      </c>
      <c r="C576" s="4" t="str">
        <f>IFERROR(__xludf.DUMMYFUNCTION("""COMPUTED_VALUE"""),"Ethan Coen")</f>
        <v>Ethan Coen</v>
      </c>
      <c r="D576" s="31">
        <f t="shared" si="1"/>
        <v>7.114285714</v>
      </c>
      <c r="E576" s="4">
        <f t="shared" si="2"/>
        <v>7</v>
      </c>
      <c r="F576" s="15"/>
      <c r="G576" s="4"/>
    </row>
    <row r="577" ht="14.25" customHeight="1">
      <c r="A577" s="8" t="s">
        <v>324</v>
      </c>
      <c r="B577" s="8">
        <v>6.3</v>
      </c>
      <c r="C577" s="4" t="str">
        <f>IFERROR(__xludf.DUMMYFUNCTION("""COMPUTED_VALUE"""),"Jennifer Flackett")</f>
        <v>Jennifer Flackett</v>
      </c>
      <c r="D577" s="31">
        <f t="shared" si="1"/>
        <v>6</v>
      </c>
      <c r="E577" s="4">
        <f t="shared" si="2"/>
        <v>1</v>
      </c>
      <c r="F577" s="15"/>
      <c r="G577" s="4"/>
    </row>
    <row r="578" ht="14.25" customHeight="1">
      <c r="A578" s="8" t="s">
        <v>1394</v>
      </c>
      <c r="B578" s="8">
        <v>6.3</v>
      </c>
      <c r="C578" s="4" t="str">
        <f>IFERROR(__xludf.DUMMYFUNCTION("""COMPUTED_VALUE"""),"Kevin Smith")</f>
        <v>Kevin Smith</v>
      </c>
      <c r="D578" s="31">
        <f t="shared" si="1"/>
        <v>6.78</v>
      </c>
      <c r="E578" s="4">
        <f t="shared" si="2"/>
        <v>10</v>
      </c>
      <c r="F578" s="15"/>
      <c r="G578" s="4"/>
    </row>
    <row r="579" ht="14.25" customHeight="1">
      <c r="A579" s="8" t="s">
        <v>430</v>
      </c>
      <c r="B579" s="8">
        <v>6.3</v>
      </c>
      <c r="C579" s="4" t="str">
        <f>IFERROR(__xludf.DUMMYFUNCTION("""COMPUTED_VALUE"""),"Christian Ditter")</f>
        <v>Christian Ditter</v>
      </c>
      <c r="D579" s="31">
        <f t="shared" si="1"/>
        <v>6.1</v>
      </c>
      <c r="E579" s="4">
        <f t="shared" si="2"/>
        <v>1</v>
      </c>
      <c r="F579" s="15"/>
      <c r="G579" s="4"/>
    </row>
    <row r="580" ht="14.25" customHeight="1">
      <c r="A580" s="8" t="s">
        <v>295</v>
      </c>
      <c r="B580" s="8">
        <v>7.7</v>
      </c>
      <c r="C580" s="4" t="str">
        <f>IFERROR(__xludf.DUMMYFUNCTION("""COMPUTED_VALUE"""),"Charles Martin Smith")</f>
        <v>Charles Martin Smith</v>
      </c>
      <c r="D580" s="31">
        <f t="shared" si="1"/>
        <v>6.133333333</v>
      </c>
      <c r="E580" s="4">
        <f t="shared" si="2"/>
        <v>3</v>
      </c>
      <c r="F580" s="15"/>
      <c r="G580" s="4"/>
    </row>
    <row r="581" ht="14.25" customHeight="1">
      <c r="A581" s="8" t="s">
        <v>1008</v>
      </c>
      <c r="B581" s="8">
        <v>7.0</v>
      </c>
      <c r="C581" s="4" t="str">
        <f>IFERROR(__xludf.DUMMYFUNCTION("""COMPUTED_VALUE"""),"Irvin Kershner")</f>
        <v>Irvin Kershner</v>
      </c>
      <c r="D581" s="31">
        <f t="shared" si="1"/>
        <v>7.5</v>
      </c>
      <c r="E581" s="4">
        <f t="shared" si="2"/>
        <v>2</v>
      </c>
      <c r="F581" s="15"/>
      <c r="G581" s="4"/>
    </row>
    <row r="582" ht="14.25" customHeight="1">
      <c r="A582" s="8" t="s">
        <v>361</v>
      </c>
      <c r="B582" s="8">
        <v>5.3</v>
      </c>
      <c r="C582" s="4" t="str">
        <f>IFERROR(__xludf.DUMMYFUNCTION("""COMPUTED_VALUE"""),"Steve Pink")</f>
        <v>Steve Pink</v>
      </c>
      <c r="D582" s="31">
        <f t="shared" si="1"/>
        <v>5.866666667</v>
      </c>
      <c r="E582" s="4">
        <f t="shared" si="2"/>
        <v>3</v>
      </c>
      <c r="F582" s="15"/>
      <c r="G582" s="4"/>
    </row>
    <row r="583" ht="14.25" customHeight="1">
      <c r="A583" s="8" t="s">
        <v>552</v>
      </c>
      <c r="B583" s="8">
        <v>5.6</v>
      </c>
      <c r="C583" s="4" t="str">
        <f>IFERROR(__xludf.DUMMYFUNCTION("""COMPUTED_VALUE"""),"Scott Hicks")</f>
        <v>Scott Hicks</v>
      </c>
      <c r="D583" s="31">
        <f t="shared" si="1"/>
        <v>6.84</v>
      </c>
      <c r="E583" s="4">
        <f t="shared" si="2"/>
        <v>5</v>
      </c>
      <c r="F583" s="15"/>
      <c r="G583" s="4"/>
    </row>
    <row r="584" ht="14.25" customHeight="1">
      <c r="A584" s="8" t="s">
        <v>1404</v>
      </c>
      <c r="B584" s="8">
        <v>5.2</v>
      </c>
      <c r="C584" s="4" t="str">
        <f>IFERROR(__xludf.DUMMYFUNCTION("""COMPUTED_VALUE"""),"Chris Rock")</f>
        <v>Chris Rock</v>
      </c>
      <c r="D584" s="31">
        <f t="shared" si="1"/>
        <v>5.95</v>
      </c>
      <c r="E584" s="4">
        <f t="shared" si="2"/>
        <v>2</v>
      </c>
      <c r="F584" s="15"/>
      <c r="G584" s="4"/>
    </row>
    <row r="585" ht="14.25" customHeight="1">
      <c r="A585" s="8" t="s">
        <v>1341</v>
      </c>
      <c r="B585" s="8">
        <v>5.4</v>
      </c>
      <c r="C585" s="4" t="str">
        <f>IFERROR(__xludf.DUMMYFUNCTION("""COMPUTED_VALUE"""),"Wilson Yip")</f>
        <v>Wilson Yip</v>
      </c>
      <c r="D585" s="31">
        <f t="shared" si="1"/>
        <v>7.2</v>
      </c>
      <c r="E585" s="4">
        <f t="shared" si="2"/>
        <v>1</v>
      </c>
      <c r="F585" s="15"/>
      <c r="G585" s="4"/>
    </row>
    <row r="586" ht="14.25" customHeight="1">
      <c r="A586" s="8" t="s">
        <v>1409</v>
      </c>
      <c r="B586" s="8">
        <v>6.4</v>
      </c>
      <c r="C586" s="4" t="str">
        <f>IFERROR(__xludf.DUMMYFUNCTION("""COMPUTED_VALUE"""),"Robert Wise")</f>
        <v>Robert Wise</v>
      </c>
      <c r="D586" s="31">
        <f t="shared" si="1"/>
        <v>7.2</v>
      </c>
      <c r="E586" s="4">
        <f t="shared" si="2"/>
        <v>2</v>
      </c>
      <c r="F586" s="15"/>
      <c r="G586" s="4"/>
    </row>
    <row r="587" ht="14.25" customHeight="1">
      <c r="A587" s="8" t="s">
        <v>1087</v>
      </c>
      <c r="B587" s="8">
        <v>5.9</v>
      </c>
      <c r="C587" s="4" t="str">
        <f>IFERROR(__xludf.DUMMYFUNCTION("""COMPUTED_VALUE"""),"Kevin Rodney Sullivan")</f>
        <v>Kevin Rodney Sullivan</v>
      </c>
      <c r="D587" s="31">
        <f t="shared" si="1"/>
        <v>5.7</v>
      </c>
      <c r="E587" s="4">
        <f t="shared" si="2"/>
        <v>3</v>
      </c>
      <c r="F587" s="15"/>
      <c r="G587" s="4"/>
    </row>
    <row r="588" ht="14.25" customHeight="1">
      <c r="A588" s="8" t="s">
        <v>1416</v>
      </c>
      <c r="B588" s="8">
        <v>6.3</v>
      </c>
      <c r="C588" s="4" t="str">
        <f>IFERROR(__xludf.DUMMYFUNCTION("""COMPUTED_VALUE"""),"Kevin Munroe")</f>
        <v>Kevin Munroe</v>
      </c>
      <c r="D588" s="31">
        <f t="shared" si="1"/>
        <v>5.7</v>
      </c>
      <c r="E588" s="4">
        <f t="shared" si="2"/>
        <v>2</v>
      </c>
      <c r="F588" s="15"/>
      <c r="G588" s="4"/>
    </row>
    <row r="589" ht="14.25" customHeight="1">
      <c r="A589" s="8" t="s">
        <v>1418</v>
      </c>
      <c r="B589" s="8">
        <v>6.5</v>
      </c>
      <c r="C589" s="4" t="str">
        <f>IFERROR(__xludf.DUMMYFUNCTION("""COMPUTED_VALUE"""),"Michael Tollin")</f>
        <v>Michael Tollin</v>
      </c>
      <c r="D589" s="31">
        <f t="shared" si="1"/>
        <v>5.9</v>
      </c>
      <c r="E589" s="4">
        <f t="shared" si="2"/>
        <v>2</v>
      </c>
      <c r="F589" s="15"/>
      <c r="G589" s="4"/>
    </row>
    <row r="590" ht="14.25" customHeight="1">
      <c r="A590" s="8" t="s">
        <v>545</v>
      </c>
      <c r="B590" s="8">
        <v>3.0</v>
      </c>
      <c r="C590" s="4" t="str">
        <f>IFERROR(__xludf.DUMMYFUNCTION("""COMPUTED_VALUE"""),"Nicholas Stoller")</f>
        <v>Nicholas Stoller</v>
      </c>
      <c r="D590" s="31">
        <f t="shared" si="1"/>
        <v>6.45</v>
      </c>
      <c r="E590" s="4">
        <f t="shared" si="2"/>
        <v>4</v>
      </c>
      <c r="F590" s="15"/>
      <c r="G590" s="4"/>
    </row>
    <row r="591" ht="14.25" customHeight="1">
      <c r="A591" s="8" t="s">
        <v>1423</v>
      </c>
      <c r="B591" s="8">
        <v>3.6</v>
      </c>
      <c r="C591" s="4" t="str">
        <f>IFERROR(__xludf.DUMMYFUNCTION("""COMPUTED_VALUE"""),"Patrick Tatopoulos")</f>
        <v>Patrick Tatopoulos</v>
      </c>
      <c r="D591" s="31">
        <f t="shared" si="1"/>
        <v>6.6</v>
      </c>
      <c r="E591" s="4">
        <f t="shared" si="2"/>
        <v>1</v>
      </c>
      <c r="F591" s="15"/>
      <c r="G591" s="4"/>
    </row>
    <row r="592" ht="14.25" customHeight="1">
      <c r="A592" s="8" t="s">
        <v>1426</v>
      </c>
      <c r="B592" s="8">
        <v>5.8</v>
      </c>
      <c r="C592" s="4" t="str">
        <f>IFERROR(__xludf.DUMMYFUNCTION("""COMPUTED_VALUE"""),"Gary David Goldberg")</f>
        <v>Gary David Goldberg</v>
      </c>
      <c r="D592" s="31">
        <f t="shared" si="1"/>
        <v>5.9</v>
      </c>
      <c r="E592" s="4">
        <f t="shared" si="2"/>
        <v>1</v>
      </c>
      <c r="F592" s="15"/>
      <c r="G592" s="4"/>
    </row>
    <row r="593" ht="14.25" customHeight="1">
      <c r="A593" s="8" t="s">
        <v>1428</v>
      </c>
      <c r="B593" s="8">
        <v>6.2</v>
      </c>
      <c r="C593" s="4" t="str">
        <f>IFERROR(__xludf.DUMMYFUNCTION("""COMPUTED_VALUE"""),"Tobe Hooper")</f>
        <v>Tobe Hooper</v>
      </c>
      <c r="D593" s="31">
        <f t="shared" si="1"/>
        <v>6.8</v>
      </c>
      <c r="E593" s="4">
        <f t="shared" si="2"/>
        <v>6</v>
      </c>
      <c r="F593" s="15"/>
      <c r="G593" s="4"/>
    </row>
    <row r="594" ht="14.25" customHeight="1">
      <c r="A594" s="8" t="s">
        <v>660</v>
      </c>
      <c r="B594" s="8">
        <v>5.6</v>
      </c>
      <c r="C594" s="4" t="str">
        <f>IFERROR(__xludf.DUMMYFUNCTION("""COMPUTED_VALUE"""),"Alan Poul")</f>
        <v>Alan Poul</v>
      </c>
      <c r="D594" s="31">
        <f t="shared" si="1"/>
        <v>5.3</v>
      </c>
      <c r="E594" s="4">
        <f t="shared" si="2"/>
        <v>1</v>
      </c>
      <c r="F594" s="15"/>
      <c r="G594" s="4"/>
    </row>
    <row r="595" ht="14.25" customHeight="1">
      <c r="A595" s="8" t="s">
        <v>680</v>
      </c>
      <c r="B595" s="8">
        <v>5.4</v>
      </c>
      <c r="C595" s="4" t="str">
        <f>IFERROR(__xludf.DUMMYFUNCTION("""COMPUTED_VALUE"""),"Luke Greenfield")</f>
        <v>Luke Greenfield</v>
      </c>
      <c r="D595" s="31">
        <f t="shared" si="1"/>
        <v>6</v>
      </c>
      <c r="E595" s="4">
        <f t="shared" si="2"/>
        <v>4</v>
      </c>
      <c r="F595" s="15"/>
      <c r="G595" s="4"/>
    </row>
    <row r="596" ht="14.25" customHeight="1">
      <c r="A596" s="8" t="s">
        <v>1435</v>
      </c>
      <c r="B596" s="8">
        <v>6.1</v>
      </c>
      <c r="C596" s="4" t="str">
        <f>IFERROR(__xludf.DUMMYFUNCTION("""COMPUTED_VALUE"""),"Gil Junger")</f>
        <v>Gil Junger</v>
      </c>
      <c r="D596" s="31">
        <f t="shared" si="1"/>
        <v>6</v>
      </c>
      <c r="E596" s="4">
        <f t="shared" si="2"/>
        <v>2</v>
      </c>
      <c r="F596" s="15"/>
      <c r="G596" s="4"/>
    </row>
    <row r="597" ht="14.25" customHeight="1">
      <c r="A597" s="8" t="s">
        <v>1437</v>
      </c>
      <c r="B597" s="8">
        <v>4.2</v>
      </c>
      <c r="C597" s="4" t="str">
        <f>IFERROR(__xludf.DUMMYFUNCTION("""COMPUTED_VALUE"""),"Steven E. de Souza")</f>
        <v>Steven E. de Souza</v>
      </c>
      <c r="D597" s="31">
        <f t="shared" si="1"/>
        <v>3.8</v>
      </c>
      <c r="E597" s="4">
        <f t="shared" si="2"/>
        <v>1</v>
      </c>
      <c r="F597" s="15"/>
      <c r="G597" s="4"/>
    </row>
    <row r="598" ht="14.25" customHeight="1">
      <c r="A598" s="8" t="s">
        <v>1440</v>
      </c>
      <c r="B598" s="8">
        <v>6.7</v>
      </c>
      <c r="C598" s="4" t="str">
        <f>IFERROR(__xludf.DUMMYFUNCTION("""COMPUTED_VALUE"""),"Alexandre Aja")</f>
        <v>Alexandre Aja</v>
      </c>
      <c r="D598" s="31">
        <f t="shared" si="1"/>
        <v>6.225</v>
      </c>
      <c r="E598" s="4">
        <f t="shared" si="2"/>
        <v>4</v>
      </c>
      <c r="F598" s="15"/>
      <c r="G598" s="4"/>
    </row>
    <row r="599" ht="14.25" customHeight="1">
      <c r="A599" s="8" t="s">
        <v>875</v>
      </c>
      <c r="B599" s="8">
        <v>4.2</v>
      </c>
      <c r="C599" s="4" t="str">
        <f>IFERROR(__xludf.DUMMYFUNCTION("""COMPUTED_VALUE"""),"Michael Rymer")</f>
        <v>Michael Rymer</v>
      </c>
      <c r="D599" s="31">
        <f t="shared" si="1"/>
        <v>5.65</v>
      </c>
      <c r="E599" s="4">
        <f t="shared" si="2"/>
        <v>2</v>
      </c>
      <c r="F599" s="15"/>
      <c r="G599" s="4"/>
    </row>
    <row r="600" ht="14.25" customHeight="1">
      <c r="A600" s="8" t="s">
        <v>1445</v>
      </c>
      <c r="B600" s="8">
        <v>6.4</v>
      </c>
      <c r="C600" s="4" t="str">
        <f>IFERROR(__xludf.DUMMYFUNCTION("""COMPUTED_VALUE"""),"Hugh Wilson")</f>
        <v>Hugh Wilson</v>
      </c>
      <c r="D600" s="31">
        <f t="shared" si="1"/>
        <v>5.825</v>
      </c>
      <c r="E600" s="4">
        <f t="shared" si="2"/>
        <v>4</v>
      </c>
      <c r="F600" s="15"/>
      <c r="G600" s="4"/>
    </row>
    <row r="601" ht="14.25" customHeight="1">
      <c r="A601" s="8" t="s">
        <v>1447</v>
      </c>
      <c r="B601" s="8">
        <v>4.9</v>
      </c>
      <c r="C601" s="4" t="str">
        <f>IFERROR(__xludf.DUMMYFUNCTION("""COMPUTED_VALUE"""),"Susanna White")</f>
        <v>Susanna White</v>
      </c>
      <c r="D601" s="31">
        <f t="shared" si="1"/>
        <v>6.1</v>
      </c>
      <c r="E601" s="4">
        <f t="shared" si="2"/>
        <v>1</v>
      </c>
      <c r="F601" s="15"/>
      <c r="G601" s="4"/>
    </row>
    <row r="602" ht="14.25" customHeight="1">
      <c r="A602" s="8" t="s">
        <v>820</v>
      </c>
      <c r="B602" s="8">
        <v>6.8</v>
      </c>
      <c r="C602" s="4" t="str">
        <f>IFERROR(__xludf.DUMMYFUNCTION("""COMPUTED_VALUE"""),"Chris Carter")</f>
        <v>Chris Carter</v>
      </c>
      <c r="D602" s="31">
        <f t="shared" si="1"/>
        <v>5.9</v>
      </c>
      <c r="E602" s="4">
        <f t="shared" si="2"/>
        <v>1</v>
      </c>
      <c r="F602" s="15"/>
      <c r="G602" s="4"/>
    </row>
    <row r="603" ht="14.25" customHeight="1">
      <c r="A603" s="8" t="s">
        <v>1221</v>
      </c>
      <c r="B603" s="8">
        <v>7.7</v>
      </c>
      <c r="C603" s="4" t="str">
        <f>IFERROR(__xludf.DUMMYFUNCTION("""COMPUTED_VALUE"""),"Tommy O'Haver")</f>
        <v>Tommy O'Haver</v>
      </c>
      <c r="D603" s="31">
        <f t="shared" si="1"/>
        <v>6.05</v>
      </c>
      <c r="E603" s="4">
        <f t="shared" si="2"/>
        <v>2</v>
      </c>
      <c r="F603" s="15"/>
      <c r="G603" s="4"/>
    </row>
    <row r="604" ht="14.25" customHeight="1">
      <c r="A604" s="8" t="s">
        <v>1451</v>
      </c>
      <c r="B604" s="8">
        <v>5.6</v>
      </c>
      <c r="C604" s="4" t="str">
        <f>IFERROR(__xludf.DUMMYFUNCTION("""COMPUTED_VALUE"""),"Peter Landesman")</f>
        <v>Peter Landesman</v>
      </c>
      <c r="D604" s="31">
        <f t="shared" si="1"/>
        <v>7.1</v>
      </c>
      <c r="E604" s="4">
        <f t="shared" si="2"/>
        <v>1</v>
      </c>
      <c r="F604" s="15"/>
      <c r="G604" s="4"/>
    </row>
    <row r="605" ht="14.25" customHeight="1">
      <c r="A605" s="8" t="s">
        <v>1053</v>
      </c>
      <c r="B605" s="8">
        <v>6.4</v>
      </c>
      <c r="C605" s="4" t="str">
        <f>IFERROR(__xludf.DUMMYFUNCTION("""COMPUTED_VALUE"""),"Gary Chapman")</f>
        <v>Gary Chapman</v>
      </c>
      <c r="D605" s="31">
        <f t="shared" si="1"/>
        <v>5.6</v>
      </c>
      <c r="E605" s="4">
        <f t="shared" si="2"/>
        <v>1</v>
      </c>
      <c r="F605" s="15"/>
      <c r="G605" s="4"/>
    </row>
    <row r="606" ht="14.25" customHeight="1">
      <c r="A606" s="8" t="s">
        <v>1456</v>
      </c>
      <c r="B606" s="8">
        <v>7.2</v>
      </c>
      <c r="C606" s="4" t="str">
        <f>IFERROR(__xludf.DUMMYFUNCTION("""COMPUTED_VALUE"""),"Craig Mazin")</f>
        <v>Craig Mazin</v>
      </c>
      <c r="D606" s="31">
        <f t="shared" si="1"/>
        <v>5.25</v>
      </c>
      <c r="E606" s="4">
        <f t="shared" si="2"/>
        <v>2</v>
      </c>
      <c r="F606" s="15"/>
      <c r="G606" s="4"/>
    </row>
    <row r="607" ht="14.25" customHeight="1">
      <c r="A607" s="8" t="s">
        <v>1460</v>
      </c>
      <c r="B607" s="8">
        <v>6.0</v>
      </c>
      <c r="C607" s="4" t="str">
        <f>IFERROR(__xludf.DUMMYFUNCTION("""COMPUTED_VALUE"""),"Allen Hughes")</f>
        <v>Allen Hughes</v>
      </c>
      <c r="D607" s="31">
        <f t="shared" si="1"/>
        <v>6.2</v>
      </c>
      <c r="E607" s="4">
        <f t="shared" si="2"/>
        <v>1</v>
      </c>
      <c r="F607" s="15"/>
      <c r="G607" s="4"/>
    </row>
    <row r="608" ht="14.25" customHeight="1">
      <c r="A608" s="8" t="s">
        <v>1428</v>
      </c>
      <c r="B608" s="8">
        <v>5.9</v>
      </c>
      <c r="C608" s="4" t="str">
        <f>IFERROR(__xludf.DUMMYFUNCTION("""COMPUTED_VALUE"""),"Lasse HallstrÃ¶m")</f>
        <v>Lasse HallstrÃ¶m</v>
      </c>
      <c r="D608" s="31">
        <f t="shared" si="1"/>
        <v>6.9875</v>
      </c>
      <c r="E608" s="4">
        <f t="shared" si="2"/>
        <v>8</v>
      </c>
      <c r="F608" s="15"/>
      <c r="G608" s="4"/>
    </row>
    <row r="609" ht="14.25" customHeight="1">
      <c r="A609" s="8" t="s">
        <v>680</v>
      </c>
      <c r="B609" s="8">
        <v>7.9</v>
      </c>
      <c r="C609" s="4" t="str">
        <f>IFERROR(__xludf.DUMMYFUNCTION("""COMPUTED_VALUE"""),"Jean-Marc VallÃ©e")</f>
        <v>Jean-Marc VallÃ©e</v>
      </c>
      <c r="D609" s="31">
        <f t="shared" si="1"/>
        <v>7.466666667</v>
      </c>
      <c r="E609" s="4">
        <f t="shared" si="2"/>
        <v>3</v>
      </c>
      <c r="F609" s="15"/>
      <c r="G609" s="4"/>
    </row>
    <row r="610" ht="14.25" customHeight="1">
      <c r="A610" s="8" t="s">
        <v>80</v>
      </c>
      <c r="B610" s="8">
        <v>7.1</v>
      </c>
      <c r="C610" s="4" t="str">
        <f>IFERROR(__xludf.DUMMYFUNCTION("""COMPUTED_VALUE"""),"Hark Tsui")</f>
        <v>Hark Tsui</v>
      </c>
      <c r="D610" s="31">
        <f t="shared" si="1"/>
        <v>4.8</v>
      </c>
      <c r="E610" s="4">
        <f t="shared" si="2"/>
        <v>1</v>
      </c>
      <c r="F610" s="15"/>
      <c r="G610" s="4"/>
    </row>
    <row r="611" ht="14.25" customHeight="1">
      <c r="A611" s="8" t="s">
        <v>1230</v>
      </c>
      <c r="B611" s="8">
        <v>5.9</v>
      </c>
      <c r="C611" s="4" t="str">
        <f>IFERROR(__xludf.DUMMYFUNCTION("""COMPUTED_VALUE"""),"Lexi Alexander")</f>
        <v>Lexi Alexander</v>
      </c>
      <c r="D611" s="31">
        <f t="shared" si="1"/>
        <v>6</v>
      </c>
      <c r="E611" s="4">
        <f t="shared" si="2"/>
        <v>1</v>
      </c>
      <c r="F611" s="15"/>
      <c r="G611" s="4"/>
    </row>
    <row r="612" ht="14.25" customHeight="1">
      <c r="A612" s="8" t="s">
        <v>1034</v>
      </c>
      <c r="B612" s="8">
        <v>6.2</v>
      </c>
      <c r="C612" s="4" t="str">
        <f>IFERROR(__xludf.DUMMYFUNCTION("""COMPUTED_VALUE"""),"Ronny Yu")</f>
        <v>Ronny Yu</v>
      </c>
      <c r="D612" s="31">
        <f t="shared" si="1"/>
        <v>5.5</v>
      </c>
      <c r="E612" s="4">
        <f t="shared" si="2"/>
        <v>4</v>
      </c>
      <c r="F612" s="15"/>
      <c r="G612" s="4"/>
    </row>
    <row r="613" ht="14.25" customHeight="1">
      <c r="A613" s="8" t="s">
        <v>1471</v>
      </c>
      <c r="B613" s="8">
        <v>7.0</v>
      </c>
      <c r="C613" s="4" t="str">
        <f>IFERROR(__xludf.DUMMYFUNCTION("""COMPUTED_VALUE"""),"Bille August")</f>
        <v>Bille August</v>
      </c>
      <c r="D613" s="31">
        <f t="shared" si="1"/>
        <v>6.4</v>
      </c>
      <c r="E613" s="4">
        <f t="shared" si="2"/>
        <v>1</v>
      </c>
      <c r="F613" s="15"/>
      <c r="G613" s="4"/>
    </row>
    <row r="614" ht="14.25" customHeight="1">
      <c r="A614" s="8" t="s">
        <v>1473</v>
      </c>
      <c r="B614" s="8">
        <v>5.4</v>
      </c>
      <c r="C614" s="4" t="str">
        <f>IFERROR(__xludf.DUMMYFUNCTION("""COMPUTED_VALUE"""),"Ken Scott")</f>
        <v>Ken Scott</v>
      </c>
      <c r="D614" s="31">
        <f t="shared" si="1"/>
        <v>5.9</v>
      </c>
      <c r="E614" s="4">
        <f t="shared" si="2"/>
        <v>2</v>
      </c>
      <c r="F614" s="15"/>
      <c r="G614" s="4"/>
    </row>
    <row r="615" ht="14.25" customHeight="1">
      <c r="A615" s="8" t="s">
        <v>168</v>
      </c>
      <c r="B615" s="8">
        <v>8.6</v>
      </c>
      <c r="C615" s="4" t="str">
        <f>IFERROR(__xludf.DUMMYFUNCTION("""COMPUTED_VALUE"""),"Hugh Johnson")</f>
        <v>Hugh Johnson</v>
      </c>
      <c r="D615" s="31">
        <f t="shared" si="1"/>
        <v>5.2</v>
      </c>
      <c r="E615" s="4">
        <f t="shared" si="2"/>
        <v>1</v>
      </c>
      <c r="F615" s="15"/>
      <c r="G615" s="4"/>
    </row>
    <row r="616" ht="14.25" customHeight="1">
      <c r="A616" s="8" t="s">
        <v>1478</v>
      </c>
      <c r="B616" s="8">
        <v>6.5</v>
      </c>
      <c r="C616" s="4" t="str">
        <f>IFERROR(__xludf.DUMMYFUNCTION("""COMPUTED_VALUE"""),"Hayao Miyazaki")</f>
        <v>Hayao Miyazaki</v>
      </c>
      <c r="D616" s="31">
        <f t="shared" si="1"/>
        <v>8.225</v>
      </c>
      <c r="E616" s="4">
        <f t="shared" si="2"/>
        <v>4</v>
      </c>
      <c r="F616" s="15"/>
      <c r="G616" s="4"/>
    </row>
    <row r="617" ht="14.25" customHeight="1">
      <c r="A617" s="8" t="s">
        <v>996</v>
      </c>
      <c r="B617" s="8">
        <v>6.4</v>
      </c>
      <c r="C617" s="4" t="str">
        <f>IFERROR(__xludf.DUMMYFUNCTION("""COMPUTED_VALUE"""),"George Tillman Jr.")</f>
        <v>George Tillman Jr.</v>
      </c>
      <c r="D617" s="31">
        <f t="shared" si="1"/>
        <v>6.925</v>
      </c>
      <c r="E617" s="4">
        <f t="shared" si="2"/>
        <v>4</v>
      </c>
      <c r="F617" s="15"/>
      <c r="G617" s="4"/>
    </row>
    <row r="618" ht="14.25" customHeight="1">
      <c r="A618" s="8" t="s">
        <v>752</v>
      </c>
      <c r="B618" s="8">
        <v>7.6</v>
      </c>
      <c r="C618" s="4" t="str">
        <f>IFERROR(__xludf.DUMMYFUNCTION("""COMPUTED_VALUE"""),"Rand Ravich")</f>
        <v>Rand Ravich</v>
      </c>
      <c r="D618" s="31">
        <f t="shared" si="1"/>
        <v>5.3</v>
      </c>
      <c r="E618" s="4">
        <f t="shared" si="2"/>
        <v>2</v>
      </c>
      <c r="F618" s="15"/>
      <c r="G618" s="4"/>
    </row>
    <row r="619" ht="14.25" customHeight="1">
      <c r="A619" s="8" t="s">
        <v>1485</v>
      </c>
      <c r="B619" s="8">
        <v>5.5</v>
      </c>
      <c r="C619" s="4" t="str">
        <f>IFERROR(__xludf.DUMMYFUNCTION("""COMPUTED_VALUE"""),"Hugh Hudson")</f>
        <v>Hugh Hudson</v>
      </c>
      <c r="D619" s="31">
        <f t="shared" si="1"/>
        <v>6.4</v>
      </c>
      <c r="E619" s="4">
        <f t="shared" si="2"/>
        <v>2</v>
      </c>
      <c r="F619" s="15"/>
      <c r="G619" s="4"/>
    </row>
    <row r="620" ht="14.25" customHeight="1">
      <c r="A620" s="8" t="s">
        <v>168</v>
      </c>
      <c r="B620" s="8">
        <v>7.4</v>
      </c>
      <c r="C620" s="4" t="str">
        <f>IFERROR(__xludf.DUMMYFUNCTION("""COMPUTED_VALUE"""),"Jeremy Degruson")</f>
        <v>Jeremy Degruson</v>
      </c>
      <c r="D620" s="31">
        <f t="shared" si="1"/>
        <v>6.3</v>
      </c>
      <c r="E620" s="4">
        <f t="shared" si="2"/>
        <v>1</v>
      </c>
      <c r="F620" s="15"/>
      <c r="G620" s="4"/>
    </row>
    <row r="621" ht="14.25" customHeight="1">
      <c r="A621" s="8" t="s">
        <v>190</v>
      </c>
      <c r="B621" s="8">
        <v>8.7</v>
      </c>
      <c r="C621" s="4" t="str">
        <f>IFERROR(__xludf.DUMMYFUNCTION("""COMPUTED_VALUE"""),"Chris Gorak")</f>
        <v>Chris Gorak</v>
      </c>
      <c r="D621" s="31">
        <f t="shared" si="1"/>
        <v>4.9</v>
      </c>
      <c r="E621" s="4">
        <f t="shared" si="2"/>
        <v>1</v>
      </c>
      <c r="F621" s="15"/>
      <c r="G621" s="4"/>
    </row>
    <row r="622" ht="14.25" customHeight="1">
      <c r="A622" s="8" t="s">
        <v>361</v>
      </c>
      <c r="B622" s="8">
        <v>7.6</v>
      </c>
      <c r="C622" s="4" t="str">
        <f>IFERROR(__xludf.DUMMYFUNCTION("""COMPUTED_VALUE"""),"Scott Speer")</f>
        <v>Scott Speer</v>
      </c>
      <c r="D622" s="31">
        <f t="shared" si="1"/>
        <v>6.5</v>
      </c>
      <c r="E622" s="4">
        <f t="shared" si="2"/>
        <v>1</v>
      </c>
      <c r="F622" s="15"/>
      <c r="G622" s="4"/>
    </row>
    <row r="623" ht="14.25" customHeight="1">
      <c r="A623" s="8" t="s">
        <v>1492</v>
      </c>
      <c r="B623" s="8">
        <v>5.5</v>
      </c>
      <c r="C623" s="4" t="str">
        <f>IFERROR(__xludf.DUMMYFUNCTION("""COMPUTED_VALUE"""),"Joe Charbanic")</f>
        <v>Joe Charbanic</v>
      </c>
      <c r="D623" s="31">
        <f t="shared" si="1"/>
        <v>5.3</v>
      </c>
      <c r="E623" s="4">
        <f t="shared" si="2"/>
        <v>1</v>
      </c>
      <c r="F623" s="15"/>
      <c r="G623" s="4"/>
    </row>
    <row r="624" ht="14.25" customHeight="1">
      <c r="A624" s="8" t="s">
        <v>1495</v>
      </c>
      <c r="B624" s="8">
        <v>7.6</v>
      </c>
      <c r="C624" s="4" t="str">
        <f>IFERROR(__xludf.DUMMYFUNCTION("""COMPUTED_VALUE"""),"Jonathan Hensleigh")</f>
        <v>Jonathan Hensleigh</v>
      </c>
      <c r="D624" s="31">
        <f t="shared" si="1"/>
        <v>6.5</v>
      </c>
      <c r="E624" s="4">
        <f t="shared" si="2"/>
        <v>1</v>
      </c>
      <c r="F624" s="15"/>
      <c r="G624" s="4"/>
    </row>
    <row r="625" ht="14.25" customHeight="1">
      <c r="A625" s="8" t="s">
        <v>1497</v>
      </c>
      <c r="B625" s="8">
        <v>6.5</v>
      </c>
      <c r="C625" s="4" t="str">
        <f>IFERROR(__xludf.DUMMYFUNCTION("""COMPUTED_VALUE"""),"Danny Cannon")</f>
        <v>Danny Cannon</v>
      </c>
      <c r="D625" s="31">
        <f t="shared" si="1"/>
        <v>5.7</v>
      </c>
      <c r="E625" s="4">
        <f t="shared" si="2"/>
        <v>2</v>
      </c>
      <c r="F625" s="15"/>
      <c r="G625" s="4"/>
    </row>
    <row r="626" ht="14.25" customHeight="1">
      <c r="A626" s="8" t="s">
        <v>727</v>
      </c>
      <c r="B626" s="8">
        <v>6.9</v>
      </c>
      <c r="C626" s="4" t="str">
        <f>IFERROR(__xludf.DUMMYFUNCTION("""COMPUTED_VALUE"""),"Boaz Yakin")</f>
        <v>Boaz Yakin</v>
      </c>
      <c r="D626" s="31">
        <f t="shared" si="1"/>
        <v>7.033333333</v>
      </c>
      <c r="E626" s="4">
        <f t="shared" si="2"/>
        <v>3</v>
      </c>
      <c r="F626" s="15"/>
      <c r="G626" s="4"/>
    </row>
    <row r="627" ht="14.25" customHeight="1">
      <c r="A627" s="8" t="s">
        <v>136</v>
      </c>
      <c r="B627" s="8">
        <v>6.7</v>
      </c>
      <c r="C627" s="4" t="str">
        <f>IFERROR(__xludf.DUMMYFUNCTION("""COMPUTED_VALUE"""),"Richard Marquand")</f>
        <v>Richard Marquand</v>
      </c>
      <c r="D627" s="31">
        <f t="shared" si="1"/>
        <v>8.4</v>
      </c>
      <c r="E627" s="4">
        <f t="shared" si="2"/>
        <v>1</v>
      </c>
      <c r="F627" s="15"/>
      <c r="G627" s="4"/>
    </row>
    <row r="628" ht="14.25" customHeight="1">
      <c r="A628" s="8" t="s">
        <v>1065</v>
      </c>
      <c r="B628" s="8">
        <v>6.6</v>
      </c>
      <c r="C628" s="4" t="str">
        <f>IFERROR(__xludf.DUMMYFUNCTION("""COMPUTED_VALUE"""),"Neil Marshall")</f>
        <v>Neil Marshall</v>
      </c>
      <c r="D628" s="31">
        <f t="shared" si="1"/>
        <v>6.6</v>
      </c>
      <c r="E628" s="4">
        <f t="shared" si="2"/>
        <v>2</v>
      </c>
      <c r="F628" s="15"/>
      <c r="G628" s="4"/>
    </row>
    <row r="629" ht="14.25" customHeight="1">
      <c r="A629" s="8" t="s">
        <v>245</v>
      </c>
      <c r="B629" s="8">
        <v>7.2</v>
      </c>
      <c r="C629" s="4" t="str">
        <f>IFERROR(__xludf.DUMMYFUNCTION("""COMPUTED_VALUE"""),"Jared Hess")</f>
        <v>Jared Hess</v>
      </c>
      <c r="D629" s="31">
        <f t="shared" si="1"/>
        <v>6.3</v>
      </c>
      <c r="E629" s="4">
        <f t="shared" si="2"/>
        <v>2</v>
      </c>
      <c r="F629" s="15"/>
      <c r="G629" s="4"/>
    </row>
    <row r="630" ht="14.25" customHeight="1">
      <c r="A630" s="8" t="s">
        <v>1506</v>
      </c>
      <c r="B630" s="8">
        <v>6.4</v>
      </c>
      <c r="C630" s="4" t="str">
        <f>IFERROR(__xludf.DUMMYFUNCTION("""COMPUTED_VALUE"""),"Rupert Wainwright")</f>
        <v>Rupert Wainwright</v>
      </c>
      <c r="D630" s="31">
        <f t="shared" si="1"/>
        <v>6.2</v>
      </c>
      <c r="E630" s="4">
        <f t="shared" si="2"/>
        <v>1</v>
      </c>
      <c r="F630" s="15"/>
      <c r="G630" s="4"/>
    </row>
    <row r="631" ht="14.25" customHeight="1">
      <c r="A631" s="8" t="s">
        <v>875</v>
      </c>
      <c r="B631" s="8">
        <v>6.4</v>
      </c>
      <c r="C631" s="4" t="str">
        <f>IFERROR(__xludf.DUMMYFUNCTION("""COMPUTED_VALUE"""),"John Luessenhop")</f>
        <v>John Luessenhop</v>
      </c>
      <c r="D631" s="31">
        <f t="shared" si="1"/>
        <v>5.5</v>
      </c>
      <c r="E631" s="4">
        <f t="shared" si="2"/>
        <v>2</v>
      </c>
      <c r="F631" s="15"/>
      <c r="G631" s="4"/>
    </row>
    <row r="632" ht="14.25" customHeight="1">
      <c r="A632" s="8" t="s">
        <v>559</v>
      </c>
      <c r="B632" s="8">
        <v>6.0</v>
      </c>
      <c r="C632" s="4" t="str">
        <f>IFERROR(__xludf.DUMMYFUNCTION("""COMPUTED_VALUE"""),"Justin Zackham")</f>
        <v>Justin Zackham</v>
      </c>
      <c r="D632" s="31">
        <f t="shared" si="1"/>
        <v>5.6</v>
      </c>
      <c r="E632" s="4">
        <f t="shared" si="2"/>
        <v>1</v>
      </c>
      <c r="F632" s="15"/>
      <c r="G632" s="4"/>
    </row>
    <row r="633" ht="14.25" customHeight="1">
      <c r="A633" s="8" t="s">
        <v>300</v>
      </c>
      <c r="B633" s="8">
        <v>6.1</v>
      </c>
      <c r="C633" s="4" t="str">
        <f>IFERROR(__xludf.DUMMYFUNCTION("""COMPUTED_VALUE"""),"John Gatins")</f>
        <v>John Gatins</v>
      </c>
      <c r="D633" s="31">
        <f t="shared" si="1"/>
        <v>6.9</v>
      </c>
      <c r="E633" s="4">
        <f t="shared" si="2"/>
        <v>1</v>
      </c>
      <c r="F633" s="15"/>
      <c r="G633" s="4"/>
    </row>
    <row r="634" ht="14.25" customHeight="1">
      <c r="A634" s="8" t="s">
        <v>324</v>
      </c>
      <c r="B634" s="8">
        <v>6.0</v>
      </c>
      <c r="C634" s="4" t="str">
        <f>IFERROR(__xludf.DUMMYFUNCTION("""COMPUTED_VALUE"""),"Miguel Sapochnik")</f>
        <v>Miguel Sapochnik</v>
      </c>
      <c r="D634" s="31">
        <f t="shared" si="1"/>
        <v>6.3</v>
      </c>
      <c r="E634" s="4">
        <f t="shared" si="2"/>
        <v>1</v>
      </c>
      <c r="F634" s="15"/>
      <c r="G634" s="4"/>
    </row>
    <row r="635" ht="14.25" customHeight="1">
      <c r="A635" s="8" t="s">
        <v>161</v>
      </c>
      <c r="B635" s="8">
        <v>6.4</v>
      </c>
      <c r="C635" s="4" t="str">
        <f>IFERROR(__xludf.DUMMYFUNCTION("""COMPUTED_VALUE"""),"Hyung-rae Shim")</f>
        <v>Hyung-rae Shim</v>
      </c>
      <c r="D635" s="31">
        <f t="shared" si="1"/>
        <v>3.6</v>
      </c>
      <c r="E635" s="4">
        <f t="shared" si="2"/>
        <v>2</v>
      </c>
      <c r="F635" s="15"/>
      <c r="G635" s="4"/>
    </row>
    <row r="636" ht="14.25" customHeight="1">
      <c r="A636" s="8" t="s">
        <v>1514</v>
      </c>
      <c r="B636" s="8">
        <v>6.4</v>
      </c>
      <c r="C636" s="4" t="str">
        <f>IFERROR(__xludf.DUMMYFUNCTION("""COMPUTED_VALUE"""),"Don Scardino")</f>
        <v>Don Scardino</v>
      </c>
      <c r="D636" s="31">
        <f t="shared" si="1"/>
        <v>5.9</v>
      </c>
      <c r="E636" s="4">
        <f t="shared" si="2"/>
        <v>1</v>
      </c>
      <c r="F636" s="15"/>
      <c r="G636" s="4"/>
    </row>
    <row r="637" ht="14.25" customHeight="1">
      <c r="A637" s="8" t="s">
        <v>1517</v>
      </c>
      <c r="B637" s="8">
        <v>7.3</v>
      </c>
      <c r="C637" s="4" t="str">
        <f>IFERROR(__xludf.DUMMYFUNCTION("""COMPUTED_VALUE"""),"Tim Robbins")</f>
        <v>Tim Robbins</v>
      </c>
      <c r="D637" s="31">
        <f t="shared" si="1"/>
        <v>7.25</v>
      </c>
      <c r="E637" s="4">
        <f t="shared" si="2"/>
        <v>2</v>
      </c>
      <c r="F637" s="15"/>
      <c r="G637" s="4"/>
    </row>
    <row r="638" ht="14.25" customHeight="1">
      <c r="A638" s="8" t="s">
        <v>1519</v>
      </c>
      <c r="B638" s="8">
        <v>5.2</v>
      </c>
      <c r="C638" s="4" t="str">
        <f>IFERROR(__xludf.DUMMYFUNCTION("""COMPUTED_VALUE"""),"Nanette Burstein")</f>
        <v>Nanette Burstein</v>
      </c>
      <c r="D638" s="31">
        <f t="shared" si="1"/>
        <v>6.3</v>
      </c>
      <c r="E638" s="4">
        <f t="shared" si="2"/>
        <v>1</v>
      </c>
      <c r="F638" s="15"/>
      <c r="G638" s="4"/>
    </row>
    <row r="639" ht="14.25" customHeight="1">
      <c r="A639" s="8" t="s">
        <v>1523</v>
      </c>
      <c r="B639" s="8">
        <v>6.6</v>
      </c>
      <c r="C639" s="4" t="str">
        <f>IFERROR(__xludf.DUMMYFUNCTION("""COMPUTED_VALUE"""),"Ariel Vromen")</f>
        <v>Ariel Vromen</v>
      </c>
      <c r="D639" s="31">
        <f t="shared" si="1"/>
        <v>6.6</v>
      </c>
      <c r="E639" s="4">
        <f t="shared" si="2"/>
        <v>2</v>
      </c>
      <c r="F639" s="15"/>
      <c r="G639" s="4"/>
    </row>
    <row r="640" ht="14.25" customHeight="1">
      <c r="A640" s="8" t="s">
        <v>142</v>
      </c>
      <c r="B640" s="8">
        <v>6.3</v>
      </c>
      <c r="C640" s="4" t="str">
        <f>IFERROR(__xludf.DUMMYFUNCTION("""COMPUTED_VALUE"""),"Lewis Gilbert")</f>
        <v>Lewis Gilbert</v>
      </c>
      <c r="D640" s="31">
        <f t="shared" si="1"/>
        <v>6.766666667</v>
      </c>
      <c r="E640" s="4">
        <f t="shared" si="2"/>
        <v>3</v>
      </c>
      <c r="F640" s="15"/>
      <c r="G640" s="4"/>
    </row>
    <row r="641" ht="14.25" customHeight="1">
      <c r="A641" s="8" t="s">
        <v>1526</v>
      </c>
      <c r="B641" s="8">
        <v>5.9</v>
      </c>
      <c r="C641" s="4" t="str">
        <f>IFERROR(__xludf.DUMMYFUNCTION("""COMPUTED_VALUE"""),"John Francis Daley")</f>
        <v>John Francis Daley</v>
      </c>
      <c r="D641" s="31">
        <f t="shared" si="1"/>
        <v>6.1</v>
      </c>
      <c r="E641" s="4">
        <f t="shared" si="2"/>
        <v>1</v>
      </c>
      <c r="F641" s="15"/>
      <c r="G641" s="4"/>
    </row>
    <row r="642" ht="14.25" customHeight="1">
      <c r="A642" s="8" t="s">
        <v>1251</v>
      </c>
      <c r="B642" s="8">
        <v>6.7</v>
      </c>
      <c r="C642" s="4" t="str">
        <f>IFERROR(__xludf.DUMMYFUNCTION("""COMPUTED_VALUE"""),"J.B. Rogers")</f>
        <v>J.B. Rogers</v>
      </c>
      <c r="D642" s="31">
        <f t="shared" si="1"/>
        <v>5.65</v>
      </c>
      <c r="E642" s="4">
        <f t="shared" si="2"/>
        <v>2</v>
      </c>
      <c r="F642" s="15"/>
      <c r="G642" s="4"/>
    </row>
    <row r="643" ht="14.25" customHeight="1">
      <c r="A643" s="8" t="s">
        <v>983</v>
      </c>
      <c r="B643" s="8">
        <v>5.4</v>
      </c>
      <c r="C643" s="4" t="str">
        <f>IFERROR(__xludf.DUMMYFUNCTION("""COMPUTED_VALUE"""),"Michael Sucsy")</f>
        <v>Michael Sucsy</v>
      </c>
      <c r="D643" s="31">
        <f t="shared" si="1"/>
        <v>6.8</v>
      </c>
      <c r="E643" s="4">
        <f t="shared" si="2"/>
        <v>1</v>
      </c>
      <c r="F643" s="15"/>
      <c r="G643" s="4"/>
    </row>
    <row r="644" ht="14.25" customHeight="1">
      <c r="A644" s="8" t="s">
        <v>983</v>
      </c>
      <c r="B644" s="8">
        <v>6.4</v>
      </c>
      <c r="C644" s="4" t="str">
        <f>IFERROR(__xludf.DUMMYFUNCTION("""COMPUTED_VALUE"""),"Tom Vaughan")</f>
        <v>Tom Vaughan</v>
      </c>
      <c r="D644" s="31">
        <f t="shared" si="1"/>
        <v>6.3</v>
      </c>
      <c r="E644" s="4">
        <f t="shared" si="2"/>
        <v>2</v>
      </c>
      <c r="F644" s="15"/>
      <c r="G644" s="4"/>
    </row>
    <row r="645" ht="14.25" customHeight="1">
      <c r="A645" s="8" t="s">
        <v>875</v>
      </c>
      <c r="B645" s="8">
        <v>6.7</v>
      </c>
      <c r="C645" s="4" t="str">
        <f>IFERROR(__xludf.DUMMYFUNCTION("""COMPUTED_VALUE"""),"Stephen Hillenburg")</f>
        <v>Stephen Hillenburg</v>
      </c>
      <c r="D645" s="31">
        <f t="shared" si="1"/>
        <v>7</v>
      </c>
      <c r="E645" s="4">
        <f t="shared" si="2"/>
        <v>1</v>
      </c>
      <c r="F645" s="15"/>
      <c r="G645" s="4"/>
    </row>
    <row r="646" ht="14.25" customHeight="1">
      <c r="A646" s="8" t="s">
        <v>1535</v>
      </c>
      <c r="B646" s="8">
        <v>6.2</v>
      </c>
      <c r="C646" s="4" t="str">
        <f>IFERROR(__xludf.DUMMYFUNCTION("""COMPUTED_VALUE"""),"Stig Bergqvist")</f>
        <v>Stig Bergqvist</v>
      </c>
      <c r="D646" s="31">
        <f t="shared" si="1"/>
        <v>6.1</v>
      </c>
      <c r="E646" s="4">
        <f t="shared" si="2"/>
        <v>1</v>
      </c>
      <c r="F646" s="15"/>
      <c r="G646" s="4"/>
    </row>
    <row r="647" ht="14.25" customHeight="1">
      <c r="A647" s="8" t="s">
        <v>206</v>
      </c>
      <c r="B647" s="8">
        <v>6.1</v>
      </c>
      <c r="C647" s="4" t="str">
        <f>IFERROR(__xludf.DUMMYFUNCTION("""COMPUTED_VALUE"""),"Jason Reitman")</f>
        <v>Jason Reitman</v>
      </c>
      <c r="D647" s="31">
        <f t="shared" si="1"/>
        <v>7.2</v>
      </c>
      <c r="E647" s="4">
        <f t="shared" si="2"/>
        <v>6</v>
      </c>
      <c r="F647" s="15"/>
      <c r="G647" s="4"/>
    </row>
    <row r="648" ht="14.25" customHeight="1">
      <c r="A648" s="8" t="s">
        <v>291</v>
      </c>
      <c r="B648" s="8">
        <v>8.8</v>
      </c>
      <c r="C648" s="4" t="str">
        <f>IFERROR(__xludf.DUMMYFUNCTION("""COMPUTED_VALUE"""),"Alexander Payne")</f>
        <v>Alexander Payne</v>
      </c>
      <c r="D648" s="31">
        <f t="shared" si="1"/>
        <v>7.42</v>
      </c>
      <c r="E648" s="4">
        <f t="shared" si="2"/>
        <v>5</v>
      </c>
      <c r="F648" s="15"/>
      <c r="G648" s="4"/>
    </row>
    <row r="649" ht="14.25" customHeight="1">
      <c r="A649" s="8" t="s">
        <v>142</v>
      </c>
      <c r="B649" s="8">
        <v>7.1</v>
      </c>
      <c r="C649" s="4" t="str">
        <f>IFERROR(__xludf.DUMMYFUNCTION("""COMPUTED_VALUE"""),"Jonathan Levine")</f>
        <v>Jonathan Levine</v>
      </c>
      <c r="D649" s="31">
        <f t="shared" si="1"/>
        <v>7.2</v>
      </c>
      <c r="E649" s="4">
        <f t="shared" si="2"/>
        <v>3</v>
      </c>
      <c r="F649" s="15"/>
      <c r="G649" s="4"/>
    </row>
    <row r="650" ht="14.25" customHeight="1">
      <c r="A650" s="8" t="s">
        <v>1542</v>
      </c>
      <c r="B650" s="8">
        <v>5.7</v>
      </c>
      <c r="C650" s="4" t="str">
        <f>IFERROR(__xludf.DUMMYFUNCTION("""COMPUTED_VALUE"""),"Rian Johnson")</f>
        <v>Rian Johnson</v>
      </c>
      <c r="D650" s="31">
        <f t="shared" si="1"/>
        <v>7.15</v>
      </c>
      <c r="E650" s="4">
        <f t="shared" si="2"/>
        <v>2</v>
      </c>
      <c r="F650" s="15"/>
      <c r="G650" s="4"/>
    </row>
    <row r="651" ht="14.25" customHeight="1">
      <c r="A651" s="8" t="s">
        <v>1497</v>
      </c>
      <c r="B651" s="8">
        <v>5.0</v>
      </c>
      <c r="C651" s="4" t="str">
        <f>IFERROR(__xludf.DUMMYFUNCTION("""COMPUTED_VALUE"""),"Chris Noonan")</f>
        <v>Chris Noonan</v>
      </c>
      <c r="D651" s="31">
        <f t="shared" si="1"/>
        <v>6.9</v>
      </c>
      <c r="E651" s="4">
        <f t="shared" si="2"/>
        <v>2</v>
      </c>
      <c r="F651" s="15"/>
      <c r="G651" s="4"/>
    </row>
    <row r="652" ht="14.25" customHeight="1">
      <c r="A652" s="8" t="s">
        <v>1546</v>
      </c>
      <c r="B652" s="8">
        <v>5.1</v>
      </c>
      <c r="C652" s="4" t="str">
        <f>IFERROR(__xludf.DUMMYFUNCTION("""COMPUTED_VALUE"""),"Michael McCullers")</f>
        <v>Michael McCullers</v>
      </c>
      <c r="D652" s="31">
        <f t="shared" si="1"/>
        <v>6</v>
      </c>
      <c r="E652" s="4">
        <f t="shared" si="2"/>
        <v>1</v>
      </c>
      <c r="F652" s="15"/>
      <c r="G652" s="4"/>
    </row>
    <row r="653" ht="14.25" customHeight="1">
      <c r="A653" s="8" t="s">
        <v>1550</v>
      </c>
      <c r="B653" s="8">
        <v>6.9</v>
      </c>
      <c r="C653" s="4" t="str">
        <f>IFERROR(__xludf.DUMMYFUNCTION("""COMPUTED_VALUE"""),"Forest Whitaker")</f>
        <v>Forest Whitaker</v>
      </c>
      <c r="D653" s="31">
        <f t="shared" si="1"/>
        <v>5.9</v>
      </c>
      <c r="E653" s="4">
        <f t="shared" si="2"/>
        <v>1</v>
      </c>
      <c r="F653" s="15"/>
      <c r="G653" s="4"/>
    </row>
    <row r="654" ht="14.25" customHeight="1">
      <c r="A654" s="8" t="s">
        <v>1471</v>
      </c>
      <c r="B654" s="8">
        <v>4.8</v>
      </c>
      <c r="C654" s="4" t="str">
        <f>IFERROR(__xludf.DUMMYFUNCTION("""COMPUTED_VALUE"""),"Gary Winick")</f>
        <v>Gary Winick</v>
      </c>
      <c r="D654" s="31">
        <f t="shared" si="1"/>
        <v>6.075</v>
      </c>
      <c r="E654" s="4">
        <f t="shared" si="2"/>
        <v>4</v>
      </c>
      <c r="F654" s="15"/>
      <c r="G654" s="4"/>
    </row>
    <row r="655" ht="14.25" customHeight="1">
      <c r="A655" s="8" t="s">
        <v>1554</v>
      </c>
      <c r="B655" s="8">
        <v>6.5</v>
      </c>
      <c r="C655" s="4" t="str">
        <f>IFERROR(__xludf.DUMMYFUNCTION("""COMPUTED_VALUE"""),"Woody Allen")</f>
        <v>Woody Allen</v>
      </c>
      <c r="D655" s="31">
        <f t="shared" si="1"/>
        <v>7</v>
      </c>
      <c r="E655" s="4">
        <f t="shared" si="2"/>
        <v>19</v>
      </c>
      <c r="F655" s="15"/>
      <c r="G655" s="4"/>
    </row>
    <row r="656" ht="14.25" customHeight="1">
      <c r="A656" s="8" t="s">
        <v>937</v>
      </c>
      <c r="B656" s="8">
        <v>5.1</v>
      </c>
      <c r="C656" s="4" t="str">
        <f>IFERROR(__xludf.DUMMYFUNCTION("""COMPUTED_VALUE"""),"Peter Lepeniotis")</f>
        <v>Peter Lepeniotis</v>
      </c>
      <c r="D656" s="31">
        <f t="shared" si="1"/>
        <v>5.8</v>
      </c>
      <c r="E656" s="4">
        <f t="shared" si="2"/>
        <v>1</v>
      </c>
      <c r="F656" s="15"/>
      <c r="G656" s="4"/>
    </row>
    <row r="657" ht="14.25" customHeight="1">
      <c r="A657" s="8" t="s">
        <v>1558</v>
      </c>
      <c r="B657" s="8">
        <v>7.1</v>
      </c>
      <c r="C657" s="4" t="str">
        <f>IFERROR(__xludf.DUMMYFUNCTION("""COMPUTED_VALUE"""),"Ted Demme")</f>
        <v>Ted Demme</v>
      </c>
      <c r="D657" s="31">
        <f t="shared" si="1"/>
        <v>7.6</v>
      </c>
      <c r="E657" s="4">
        <f t="shared" si="2"/>
        <v>1</v>
      </c>
      <c r="F657" s="15"/>
      <c r="G657" s="4"/>
    </row>
    <row r="658" ht="14.25" customHeight="1">
      <c r="A658" s="8" t="s">
        <v>769</v>
      </c>
      <c r="B658" s="8">
        <v>7.5</v>
      </c>
      <c r="C658" s="4" t="str">
        <f>IFERROR(__xludf.DUMMYFUNCTION("""COMPUTED_VALUE"""),"William Shatner")</f>
        <v>William Shatner</v>
      </c>
      <c r="D658" s="31">
        <f t="shared" si="1"/>
        <v>5.4</v>
      </c>
      <c r="E658" s="4">
        <f t="shared" si="2"/>
        <v>1</v>
      </c>
      <c r="F658" s="15"/>
      <c r="G658" s="4"/>
    </row>
    <row r="659" ht="14.25" customHeight="1">
      <c r="A659" s="8" t="s">
        <v>827</v>
      </c>
      <c r="B659" s="8">
        <v>6.2</v>
      </c>
      <c r="C659" s="4" t="str">
        <f>IFERROR(__xludf.DUMMYFUNCTION("""COMPUTED_VALUE"""),"Steve Box")</f>
        <v>Steve Box</v>
      </c>
      <c r="D659" s="31">
        <f t="shared" si="1"/>
        <v>7.5</v>
      </c>
      <c r="E659" s="4">
        <f t="shared" si="2"/>
        <v>1</v>
      </c>
      <c r="F659" s="15"/>
      <c r="G659" s="4"/>
    </row>
    <row r="660" ht="14.25" customHeight="1">
      <c r="A660" s="8" t="s">
        <v>397</v>
      </c>
      <c r="B660" s="8">
        <v>6.3</v>
      </c>
      <c r="C660" s="4" t="str">
        <f>IFERROR(__xludf.DUMMYFUNCTION("""COMPUTED_VALUE"""),"Lee Toland Krieger")</f>
        <v>Lee Toland Krieger</v>
      </c>
      <c r="D660" s="31">
        <f t="shared" si="1"/>
        <v>7.2</v>
      </c>
      <c r="E660" s="4">
        <f t="shared" si="2"/>
        <v>1</v>
      </c>
      <c r="F660" s="15"/>
      <c r="G660" s="4"/>
    </row>
    <row r="661" ht="14.25" customHeight="1">
      <c r="A661" s="8" t="s">
        <v>168</v>
      </c>
      <c r="B661" s="8">
        <v>8.1</v>
      </c>
      <c r="C661" s="4" t="str">
        <f>IFERROR(__xludf.DUMMYFUNCTION("""COMPUTED_VALUE"""),"Tim McCanlies")</f>
        <v>Tim McCanlies</v>
      </c>
      <c r="D661" s="31">
        <f t="shared" si="1"/>
        <v>7.6</v>
      </c>
      <c r="E661" s="4">
        <f t="shared" si="2"/>
        <v>1</v>
      </c>
      <c r="F661" s="15"/>
      <c r="G661" s="4"/>
    </row>
    <row r="662" ht="14.25" customHeight="1">
      <c r="A662" s="8" t="s">
        <v>1485</v>
      </c>
      <c r="B662" s="8">
        <v>6.6</v>
      </c>
      <c r="C662" s="4" t="str">
        <f>IFERROR(__xludf.DUMMYFUNCTION("""COMPUTED_VALUE"""),"Drew Goddard")</f>
        <v>Drew Goddard</v>
      </c>
      <c r="D662" s="31">
        <f t="shared" si="1"/>
        <v>7</v>
      </c>
      <c r="E662" s="4">
        <f t="shared" si="2"/>
        <v>1</v>
      </c>
      <c r="F662" s="15"/>
      <c r="G662" s="4"/>
    </row>
    <row r="663" ht="14.25" customHeight="1">
      <c r="A663" s="8" t="s">
        <v>502</v>
      </c>
      <c r="B663" s="8">
        <v>6.9</v>
      </c>
      <c r="C663" s="4" t="str">
        <f>IFERROR(__xludf.DUMMYFUNCTION("""COMPUTED_VALUE"""),"Jason Friedberg")</f>
        <v>Jason Friedberg</v>
      </c>
      <c r="D663" s="31">
        <f t="shared" si="1"/>
        <v>2.6</v>
      </c>
      <c r="E663" s="4">
        <f t="shared" si="2"/>
        <v>4</v>
      </c>
      <c r="F663" s="15"/>
      <c r="G663" s="4"/>
    </row>
    <row r="664" ht="14.25" customHeight="1">
      <c r="A664" s="8" t="s">
        <v>1573</v>
      </c>
      <c r="B664" s="8">
        <v>6.1</v>
      </c>
      <c r="C664" s="4" t="str">
        <f>IFERROR(__xludf.DUMMYFUNCTION("""COMPUTED_VALUE"""),"Paul Michael Glaser")</f>
        <v>Paul Michael Glaser</v>
      </c>
      <c r="D664" s="31">
        <f t="shared" si="1"/>
        <v>6.6</v>
      </c>
      <c r="E664" s="4">
        <f t="shared" si="2"/>
        <v>1</v>
      </c>
      <c r="F664" s="15"/>
      <c r="G664" s="4"/>
    </row>
    <row r="665" ht="14.25" customHeight="1">
      <c r="A665" s="8" t="s">
        <v>1576</v>
      </c>
      <c r="B665" s="8">
        <v>4.3</v>
      </c>
      <c r="C665" s="4" t="str">
        <f>IFERROR(__xludf.DUMMYFUNCTION("""COMPUTED_VALUE"""),"John R. Leonetti")</f>
        <v>John R. Leonetti</v>
      </c>
      <c r="D665" s="31">
        <f t="shared" si="1"/>
        <v>4.55</v>
      </c>
      <c r="E665" s="4">
        <f t="shared" si="2"/>
        <v>2</v>
      </c>
      <c r="F665" s="15"/>
      <c r="G665" s="4"/>
    </row>
    <row r="666" ht="14.25" customHeight="1">
      <c r="A666" s="8" t="s">
        <v>277</v>
      </c>
      <c r="B666" s="8">
        <v>6.6</v>
      </c>
      <c r="C666" s="4" t="str">
        <f>IFERROR(__xludf.DUMMYFUNCTION("""COMPUTED_VALUE"""),"Tom Hanks")</f>
        <v>Tom Hanks</v>
      </c>
      <c r="D666" s="31">
        <f t="shared" si="1"/>
        <v>6.5</v>
      </c>
      <c r="E666" s="4">
        <f t="shared" si="2"/>
        <v>2</v>
      </c>
      <c r="F666" s="15"/>
      <c r="G666" s="4"/>
    </row>
    <row r="667" ht="14.25" customHeight="1">
      <c r="A667" s="8" t="s">
        <v>1580</v>
      </c>
      <c r="B667" s="8">
        <v>6.8</v>
      </c>
      <c r="C667" s="4" t="str">
        <f>IFERROR(__xludf.DUMMYFUNCTION("""COMPUTED_VALUE"""),"Kimberly Peirce")</f>
        <v>Kimberly Peirce</v>
      </c>
      <c r="D667" s="31">
        <f t="shared" si="1"/>
        <v>6.475</v>
      </c>
      <c r="E667" s="4">
        <f t="shared" si="2"/>
        <v>4</v>
      </c>
      <c r="F667" s="15"/>
      <c r="G667" s="4"/>
    </row>
    <row r="668" ht="14.25" customHeight="1">
      <c r="A668" s="8" t="s">
        <v>1583</v>
      </c>
      <c r="B668" s="8">
        <v>3.8</v>
      </c>
      <c r="C668" s="4" t="str">
        <f>IFERROR(__xludf.DUMMYFUNCTION("""COMPUTED_VALUE"""),"Liz Friedlander")</f>
        <v>Liz Friedlander</v>
      </c>
      <c r="D668" s="31">
        <f t="shared" si="1"/>
        <v>6.7</v>
      </c>
      <c r="E668" s="4">
        <f t="shared" si="2"/>
        <v>1</v>
      </c>
      <c r="F668" s="15"/>
      <c r="G668" s="4"/>
    </row>
    <row r="669" ht="14.25" customHeight="1">
      <c r="A669" s="8" t="s">
        <v>1586</v>
      </c>
      <c r="B669" s="8">
        <v>5.9</v>
      </c>
      <c r="C669" s="4" t="str">
        <f>IFERROR(__xludf.DUMMYFUNCTION("""COMPUTED_VALUE"""),"Phil Joanou")</f>
        <v>Phil Joanou</v>
      </c>
      <c r="D669" s="31">
        <f t="shared" si="1"/>
        <v>6.9</v>
      </c>
      <c r="E669" s="4">
        <f t="shared" si="2"/>
        <v>1</v>
      </c>
      <c r="F669" s="15"/>
      <c r="G669" s="4"/>
    </row>
    <row r="670" ht="14.25" customHeight="1">
      <c r="A670" s="8" t="s">
        <v>734</v>
      </c>
      <c r="B670" s="8">
        <v>7.9</v>
      </c>
      <c r="C670" s="4" t="str">
        <f>IFERROR(__xludf.DUMMYFUNCTION("""COMPUTED_VALUE"""),"Shane Acker")</f>
        <v>Shane Acker</v>
      </c>
      <c r="D670" s="31">
        <f t="shared" si="1"/>
        <v>7.1</v>
      </c>
      <c r="E670" s="4">
        <f t="shared" si="2"/>
        <v>1</v>
      </c>
      <c r="F670" s="15"/>
      <c r="G670" s="4"/>
    </row>
    <row r="671" ht="14.25" customHeight="1">
      <c r="A671" s="8" t="s">
        <v>1591</v>
      </c>
      <c r="B671" s="8">
        <v>6.3</v>
      </c>
      <c r="C671" s="4" t="str">
        <f>IFERROR(__xludf.DUMMYFUNCTION("""COMPUTED_VALUE"""),"Stephen J. Anderson")</f>
        <v>Stephen J. Anderson</v>
      </c>
      <c r="D671" s="31">
        <f t="shared" si="1"/>
        <v>7.3</v>
      </c>
      <c r="E671" s="4">
        <f t="shared" si="2"/>
        <v>1</v>
      </c>
      <c r="F671" s="15"/>
      <c r="G671" s="4"/>
    </row>
    <row r="672" ht="14.25" customHeight="1">
      <c r="A672" s="8" t="s">
        <v>1594</v>
      </c>
      <c r="B672" s="8">
        <v>5.5</v>
      </c>
      <c r="C672" s="4" t="str">
        <f>IFERROR(__xludf.DUMMYFUNCTION("""COMPUTED_VALUE"""),"Troy Miller")</f>
        <v>Troy Miller</v>
      </c>
      <c r="D672" s="31">
        <f t="shared" si="1"/>
        <v>3.4</v>
      </c>
      <c r="E672" s="4">
        <f t="shared" si="2"/>
        <v>1</v>
      </c>
      <c r="F672" s="15"/>
      <c r="G672" s="4"/>
    </row>
    <row r="673" ht="14.25" customHeight="1">
      <c r="A673" s="8" t="s">
        <v>48</v>
      </c>
      <c r="B673" s="8">
        <v>7.7</v>
      </c>
      <c r="C673" s="4" t="str">
        <f>IFERROR(__xludf.DUMMYFUNCTION("""COMPUTED_VALUE"""),"Tate Taylor")</f>
        <v>Tate Taylor</v>
      </c>
      <c r="D673" s="31">
        <f t="shared" si="1"/>
        <v>7.5</v>
      </c>
      <c r="E673" s="4">
        <f t="shared" si="2"/>
        <v>2</v>
      </c>
      <c r="F673" s="15"/>
      <c r="G673" s="4"/>
    </row>
    <row r="674" ht="14.25" customHeight="1">
      <c r="A674" s="8" t="s">
        <v>827</v>
      </c>
      <c r="B674" s="8">
        <v>6.3</v>
      </c>
      <c r="C674" s="4" t="str">
        <f>IFERROR(__xludf.DUMMYFUNCTION("""COMPUTED_VALUE"""),"Brett Leonard")</f>
        <v>Brett Leonard</v>
      </c>
      <c r="D674" s="31">
        <f t="shared" si="1"/>
        <v>5.45</v>
      </c>
      <c r="E674" s="4">
        <f t="shared" si="2"/>
        <v>2</v>
      </c>
      <c r="F674" s="15"/>
      <c r="G674" s="4"/>
    </row>
    <row r="675" ht="14.25" customHeight="1">
      <c r="A675" s="8" t="s">
        <v>1598</v>
      </c>
      <c r="B675" s="8">
        <v>7.1</v>
      </c>
      <c r="C675" s="4" t="str">
        <f>IFERROR(__xludf.DUMMYFUNCTION("""COMPUTED_VALUE"""),"Alister Grierson")</f>
        <v>Alister Grierson</v>
      </c>
      <c r="D675" s="31">
        <f t="shared" si="1"/>
        <v>5.9</v>
      </c>
      <c r="E675" s="4">
        <f t="shared" si="2"/>
        <v>1</v>
      </c>
      <c r="F675" s="15"/>
      <c r="G675" s="4"/>
    </row>
    <row r="676" ht="14.25" customHeight="1">
      <c r="A676" s="8" t="s">
        <v>1331</v>
      </c>
      <c r="B676" s="8">
        <v>8.5</v>
      </c>
      <c r="C676" s="4" t="str">
        <f>IFERROR(__xludf.DUMMYFUNCTION("""COMPUTED_VALUE"""),"Nick Hurran")</f>
        <v>Nick Hurran</v>
      </c>
      <c r="D676" s="31">
        <f t="shared" si="1"/>
        <v>5.2</v>
      </c>
      <c r="E676" s="4">
        <f t="shared" si="2"/>
        <v>1</v>
      </c>
      <c r="F676" s="15"/>
      <c r="G676" s="4"/>
    </row>
    <row r="677" ht="14.25" customHeight="1">
      <c r="A677" s="8" t="s">
        <v>740</v>
      </c>
      <c r="B677" s="8">
        <v>5.8</v>
      </c>
      <c r="C677" s="4" t="str">
        <f>IFERROR(__xludf.DUMMYFUNCTION("""COMPUTED_VALUE"""),"Charles Stone III")</f>
        <v>Charles Stone III</v>
      </c>
      <c r="D677" s="31">
        <f t="shared" si="1"/>
        <v>5.6</v>
      </c>
      <c r="E677" s="4">
        <f t="shared" si="2"/>
        <v>2</v>
      </c>
      <c r="F677" s="15"/>
      <c r="G677" s="4"/>
    </row>
    <row r="678" ht="14.25" customHeight="1">
      <c r="A678" s="8" t="s">
        <v>291</v>
      </c>
      <c r="B678" s="8">
        <v>8.1</v>
      </c>
      <c r="C678" s="4" t="str">
        <f>IFERROR(__xludf.DUMMYFUNCTION("""COMPUTED_VALUE"""),"Paul Haggis")</f>
        <v>Paul Haggis</v>
      </c>
      <c r="D678" s="31">
        <f t="shared" si="1"/>
        <v>7.65</v>
      </c>
      <c r="E678" s="4">
        <f t="shared" si="2"/>
        <v>2</v>
      </c>
      <c r="F678" s="15"/>
      <c r="G678" s="4"/>
    </row>
    <row r="679" ht="14.25" customHeight="1">
      <c r="A679" s="8" t="s">
        <v>225</v>
      </c>
      <c r="B679" s="8">
        <v>7.9</v>
      </c>
      <c r="C679" s="4" t="str">
        <f>IFERROR(__xludf.DUMMYFUNCTION("""COMPUTED_VALUE"""),"Kurt Wimmer")</f>
        <v>Kurt Wimmer</v>
      </c>
      <c r="D679" s="31">
        <f t="shared" si="1"/>
        <v>5.95</v>
      </c>
      <c r="E679" s="4">
        <f t="shared" si="2"/>
        <v>2</v>
      </c>
      <c r="F679" s="15"/>
      <c r="G679" s="4"/>
    </row>
    <row r="680" ht="14.25" customHeight="1">
      <c r="A680" s="8" t="s">
        <v>136</v>
      </c>
      <c r="B680" s="8">
        <v>7.2</v>
      </c>
      <c r="C680" s="4" t="str">
        <f>IFERROR(__xludf.DUMMYFUNCTION("""COMPUTED_VALUE"""),"Jean-FranÃ§ois Richet")</f>
        <v>Jean-FranÃ§ois Richet</v>
      </c>
      <c r="D680" s="31">
        <f t="shared" si="1"/>
        <v>6.3</v>
      </c>
      <c r="E680" s="4">
        <f t="shared" si="2"/>
        <v>1</v>
      </c>
      <c r="F680" s="15"/>
      <c r="G680" s="4"/>
    </row>
    <row r="681" ht="14.25" customHeight="1">
      <c r="A681" s="8" t="s">
        <v>743</v>
      </c>
      <c r="B681" s="8">
        <v>6.3</v>
      </c>
      <c r="C681" s="4" t="str">
        <f>IFERROR(__xludf.DUMMYFUNCTION("""COMPUTED_VALUE"""),"Kevin Hooks")</f>
        <v>Kevin Hooks</v>
      </c>
      <c r="D681" s="31">
        <f t="shared" si="1"/>
        <v>5.3</v>
      </c>
      <c r="E681" s="4">
        <f t="shared" si="2"/>
        <v>1</v>
      </c>
      <c r="F681" s="15"/>
      <c r="G681" s="4"/>
    </row>
    <row r="682" ht="14.25" customHeight="1">
      <c r="A682" s="8" t="s">
        <v>463</v>
      </c>
      <c r="B682" s="8">
        <v>8.1</v>
      </c>
      <c r="C682" s="4" t="str">
        <f>IFERROR(__xludf.DUMMYFUNCTION("""COMPUTED_VALUE"""),"Ellory Elkayem")</f>
        <v>Ellory Elkayem</v>
      </c>
      <c r="D682" s="31">
        <f t="shared" si="1"/>
        <v>5.4</v>
      </c>
      <c r="E682" s="4">
        <f t="shared" si="2"/>
        <v>1</v>
      </c>
      <c r="F682" s="15"/>
      <c r="G682" s="4"/>
    </row>
    <row r="683" ht="14.25" customHeight="1">
      <c r="A683" s="8" t="s">
        <v>1614</v>
      </c>
      <c r="B683" s="8">
        <v>7.0</v>
      </c>
      <c r="C683" s="4" t="str">
        <f>IFERROR(__xludf.DUMMYFUNCTION("""COMPUTED_VALUE"""),"Niki Caro")</f>
        <v>Niki Caro</v>
      </c>
      <c r="D683" s="31">
        <f t="shared" si="1"/>
        <v>7.433333333</v>
      </c>
      <c r="E683" s="4">
        <f t="shared" si="2"/>
        <v>3</v>
      </c>
      <c r="F683" s="15"/>
      <c r="G683" s="4"/>
    </row>
    <row r="684" ht="14.25" customHeight="1">
      <c r="A684" s="8" t="s">
        <v>1319</v>
      </c>
      <c r="B684" s="8">
        <v>5.5</v>
      </c>
      <c r="C684" s="4" t="str">
        <f>IFERROR(__xludf.DUMMYFUNCTION("""COMPUTED_VALUE"""),"Vincenzo Natali")</f>
        <v>Vincenzo Natali</v>
      </c>
      <c r="D684" s="31">
        <f t="shared" si="1"/>
        <v>6.55</v>
      </c>
      <c r="E684" s="4">
        <f t="shared" si="2"/>
        <v>2</v>
      </c>
      <c r="F684" s="15"/>
      <c r="G684" s="4"/>
    </row>
    <row r="685" ht="14.25" customHeight="1">
      <c r="A685" s="8" t="s">
        <v>1558</v>
      </c>
      <c r="B685" s="8">
        <v>6.7</v>
      </c>
      <c r="C685" s="4" t="str">
        <f>IFERROR(__xludf.DUMMYFUNCTION("""COMPUTED_VALUE"""),"Willard Huyck")</f>
        <v>Willard Huyck</v>
      </c>
      <c r="D685" s="31">
        <f t="shared" si="1"/>
        <v>4.6</v>
      </c>
      <c r="E685" s="4">
        <f t="shared" si="2"/>
        <v>1</v>
      </c>
      <c r="F685" s="15"/>
      <c r="G685" s="4"/>
    </row>
    <row r="686" ht="14.25" customHeight="1">
      <c r="A686" s="8" t="s">
        <v>791</v>
      </c>
      <c r="B686" s="8">
        <v>5.2</v>
      </c>
      <c r="C686" s="4" t="str">
        <f>IFERROR(__xludf.DUMMYFUNCTION("""COMPUTED_VALUE"""),"Gavin O'Connor")</f>
        <v>Gavin O'Connor</v>
      </c>
      <c r="D686" s="31">
        <f t="shared" si="1"/>
        <v>6.98</v>
      </c>
      <c r="E686" s="4">
        <f t="shared" si="2"/>
        <v>5</v>
      </c>
      <c r="F686" s="15"/>
      <c r="G686" s="4"/>
    </row>
    <row r="687" ht="14.25" customHeight="1">
      <c r="A687" s="8" t="s">
        <v>1258</v>
      </c>
      <c r="B687" s="8">
        <v>7.0</v>
      </c>
      <c r="C687" s="4" t="str">
        <f>IFERROR(__xludf.DUMMYFUNCTION("""COMPUTED_VALUE"""),"Bruce Hunt")</f>
        <v>Bruce Hunt</v>
      </c>
      <c r="D687" s="31">
        <f t="shared" si="1"/>
        <v>5.1</v>
      </c>
      <c r="E687" s="4">
        <f t="shared" si="2"/>
        <v>1</v>
      </c>
      <c r="F687" s="15"/>
      <c r="G687" s="4"/>
    </row>
    <row r="688" ht="14.25" customHeight="1">
      <c r="A688" s="8" t="s">
        <v>1623</v>
      </c>
      <c r="B688" s="8">
        <v>6.1</v>
      </c>
      <c r="C688" s="4" t="str">
        <f>IFERROR(__xludf.DUMMYFUNCTION("""COMPUTED_VALUE"""),"Craig Gillespie")</f>
        <v>Craig Gillespie</v>
      </c>
      <c r="D688" s="31">
        <f t="shared" si="1"/>
        <v>6.933333333</v>
      </c>
      <c r="E688" s="4">
        <f t="shared" si="2"/>
        <v>3</v>
      </c>
      <c r="F688" s="15"/>
      <c r="G688" s="4"/>
    </row>
    <row r="689" ht="14.25" customHeight="1">
      <c r="A689" s="8" t="s">
        <v>341</v>
      </c>
      <c r="B689" s="8">
        <v>6.6</v>
      </c>
      <c r="C689" s="4" t="str">
        <f>IFERROR(__xludf.DUMMYFUNCTION("""COMPUTED_VALUE"""),"Chris Roberts")</f>
        <v>Chris Roberts</v>
      </c>
      <c r="D689" s="31">
        <f t="shared" si="1"/>
        <v>4.1</v>
      </c>
      <c r="E689" s="4">
        <f t="shared" si="2"/>
        <v>1</v>
      </c>
      <c r="F689" s="15"/>
      <c r="G689" s="4"/>
    </row>
    <row r="690" ht="14.25" customHeight="1">
      <c r="A690" s="8" t="s">
        <v>1627</v>
      </c>
      <c r="B690" s="8">
        <v>5.5</v>
      </c>
      <c r="C690" s="4" t="str">
        <f>IFERROR(__xludf.DUMMYFUNCTION("""COMPUTED_VALUE"""),"Jee-woon Kim")</f>
        <v>Jee-woon Kim</v>
      </c>
      <c r="D690" s="31">
        <f t="shared" si="1"/>
        <v>6.85</v>
      </c>
      <c r="E690" s="4">
        <f t="shared" si="2"/>
        <v>2</v>
      </c>
      <c r="F690" s="15"/>
      <c r="G690" s="4"/>
    </row>
    <row r="691" ht="14.25" customHeight="1">
      <c r="A691" s="8" t="s">
        <v>722</v>
      </c>
      <c r="B691" s="8">
        <v>5.9</v>
      </c>
      <c r="C691" s="4" t="str">
        <f>IFERROR(__xludf.DUMMYFUNCTION("""COMPUTED_VALUE"""),"Nick Hamm")</f>
        <v>Nick Hamm</v>
      </c>
      <c r="D691" s="31">
        <f t="shared" si="1"/>
        <v>4.8</v>
      </c>
      <c r="E691" s="4">
        <f t="shared" si="2"/>
        <v>1</v>
      </c>
      <c r="F691" s="15"/>
      <c r="G691" s="4"/>
    </row>
    <row r="692" ht="14.25" customHeight="1">
      <c r="A692" s="8" t="s">
        <v>1087</v>
      </c>
      <c r="B692" s="8">
        <v>5.4</v>
      </c>
      <c r="C692" s="4" t="str">
        <f>IFERROR(__xludf.DUMMYFUNCTION("""COMPUTED_VALUE"""),"Andy Cadiff")</f>
        <v>Andy Cadiff</v>
      </c>
      <c r="D692" s="31">
        <f t="shared" si="1"/>
        <v>6.1</v>
      </c>
      <c r="E692" s="4">
        <f t="shared" si="2"/>
        <v>1</v>
      </c>
      <c r="F692" s="15"/>
      <c r="G692" s="4"/>
    </row>
    <row r="693" ht="14.25" customHeight="1">
      <c r="A693" s="8" t="s">
        <v>1632</v>
      </c>
      <c r="B693" s="8">
        <v>6.4</v>
      </c>
      <c r="C693" s="4" t="str">
        <f>IFERROR(__xludf.DUMMYFUNCTION("""COMPUTED_VALUE"""),"Mike Disa")</f>
        <v>Mike Disa</v>
      </c>
      <c r="D693" s="31">
        <f t="shared" si="1"/>
        <v>4.8</v>
      </c>
      <c r="E693" s="4">
        <f t="shared" si="2"/>
        <v>1</v>
      </c>
      <c r="F693" s="15"/>
      <c r="G693" s="4"/>
    </row>
    <row r="694" ht="14.25" customHeight="1">
      <c r="A694" s="8" t="s">
        <v>1635</v>
      </c>
      <c r="B694" s="8">
        <v>5.7</v>
      </c>
      <c r="C694" s="4" t="str">
        <f>IFERROR(__xludf.DUMMYFUNCTION("""COMPUTED_VALUE"""),"Sergio Leone")</f>
        <v>Sergio Leone</v>
      </c>
      <c r="D694" s="31">
        <f t="shared" si="1"/>
        <v>8.433333333</v>
      </c>
      <c r="E694" s="4">
        <f t="shared" si="2"/>
        <v>3</v>
      </c>
      <c r="F694" s="15"/>
      <c r="G694" s="4"/>
    </row>
    <row r="695" ht="14.25" customHeight="1">
      <c r="A695" s="8" t="s">
        <v>113</v>
      </c>
      <c r="B695" s="8">
        <v>6.7</v>
      </c>
      <c r="C695" s="4" t="str">
        <f>IFERROR(__xludf.DUMMYFUNCTION("""COMPUTED_VALUE"""),"Niels Arden Oplev")</f>
        <v>Niels Arden Oplev</v>
      </c>
      <c r="D695" s="31">
        <f t="shared" si="1"/>
        <v>6.5</v>
      </c>
      <c r="E695" s="4">
        <f t="shared" si="2"/>
        <v>1</v>
      </c>
      <c r="F695" s="15"/>
      <c r="G695" s="4"/>
    </row>
    <row r="696" ht="14.25" customHeight="1">
      <c r="A696" s="8" t="s">
        <v>526</v>
      </c>
      <c r="B696" s="8">
        <v>7.1</v>
      </c>
      <c r="C696" s="4" t="str">
        <f>IFERROR(__xludf.DUMMYFUNCTION("""COMPUTED_VALUE"""),"Michael Radford")</f>
        <v>Michael Radford</v>
      </c>
      <c r="D696" s="31">
        <f t="shared" si="1"/>
        <v>7.1</v>
      </c>
      <c r="E696" s="4">
        <f t="shared" si="2"/>
        <v>1</v>
      </c>
      <c r="F696" s="15"/>
      <c r="G696" s="4"/>
    </row>
    <row r="697" ht="14.25" customHeight="1">
      <c r="A697" s="8" t="s">
        <v>324</v>
      </c>
      <c r="B697" s="8">
        <v>6.8</v>
      </c>
      <c r="C697" s="4" t="str">
        <f>IFERROR(__xludf.DUMMYFUNCTION("""COMPUTED_VALUE"""),"Kaige Chen")</f>
        <v>Kaige Chen</v>
      </c>
      <c r="D697" s="31">
        <f t="shared" si="1"/>
        <v>5.6</v>
      </c>
      <c r="E697" s="4">
        <f t="shared" si="2"/>
        <v>1</v>
      </c>
      <c r="F697" s="15"/>
      <c r="G697" s="4"/>
    </row>
    <row r="698" ht="14.25" customHeight="1">
      <c r="A698" s="8" t="s">
        <v>1640</v>
      </c>
      <c r="B698" s="8">
        <v>6.5</v>
      </c>
      <c r="C698" s="4" t="str">
        <f>IFERROR(__xludf.DUMMYFUNCTION("""COMPUTED_VALUE"""),"Corey Yuen")</f>
        <v>Corey Yuen</v>
      </c>
      <c r="D698" s="31">
        <f t="shared" si="1"/>
        <v>4.8</v>
      </c>
      <c r="E698" s="4">
        <f t="shared" si="2"/>
        <v>1</v>
      </c>
      <c r="F698" s="15"/>
      <c r="G698" s="4"/>
    </row>
    <row r="699" ht="14.25" customHeight="1">
      <c r="A699" s="8" t="s">
        <v>680</v>
      </c>
      <c r="B699" s="8">
        <v>7.6</v>
      </c>
      <c r="C699" s="4" t="str">
        <f>IFERROR(__xludf.DUMMYFUNCTION("""COMPUTED_VALUE"""),"Andrew Dominik")</f>
        <v>Andrew Dominik</v>
      </c>
      <c r="D699" s="31">
        <f t="shared" si="1"/>
        <v>6.85</v>
      </c>
      <c r="E699" s="4">
        <f t="shared" si="2"/>
        <v>2</v>
      </c>
      <c r="F699" s="15"/>
      <c r="G699" s="4"/>
    </row>
    <row r="700" ht="14.25" customHeight="1">
      <c r="A700" s="8" t="s">
        <v>730</v>
      </c>
      <c r="B700" s="8">
        <v>5.5</v>
      </c>
      <c r="C700" s="4" t="str">
        <f>IFERROR(__xludf.DUMMYFUNCTION("""COMPUTED_VALUE"""),"Li Zhang")</f>
        <v>Li Zhang</v>
      </c>
      <c r="D700" s="31">
        <f t="shared" si="1"/>
        <v>6</v>
      </c>
      <c r="E700" s="4">
        <f t="shared" si="2"/>
        <v>1</v>
      </c>
      <c r="F700" s="15"/>
      <c r="G700" s="4"/>
    </row>
    <row r="701" ht="14.25" customHeight="1">
      <c r="A701" s="8" t="s">
        <v>1645</v>
      </c>
      <c r="B701" s="8">
        <v>6.5</v>
      </c>
      <c r="C701" s="4" t="str">
        <f>IFERROR(__xludf.DUMMYFUNCTION("""COMPUTED_VALUE"""),"Elizabeth Banks")</f>
        <v>Elizabeth Banks</v>
      </c>
      <c r="D701" s="31">
        <f t="shared" si="1"/>
        <v>5.4</v>
      </c>
      <c r="E701" s="4">
        <f t="shared" si="2"/>
        <v>2</v>
      </c>
      <c r="F701" s="15"/>
      <c r="G701" s="4"/>
    </row>
    <row r="702" ht="14.25" customHeight="1">
      <c r="A702" s="8" t="s">
        <v>377</v>
      </c>
      <c r="B702" s="8">
        <v>7.0</v>
      </c>
      <c r="C702" s="4" t="str">
        <f>IFERROR(__xludf.DUMMYFUNCTION("""COMPUTED_VALUE"""),"Edward Norton")</f>
        <v>Edward Norton</v>
      </c>
      <c r="D702" s="31">
        <f t="shared" si="1"/>
        <v>6.4</v>
      </c>
      <c r="E702" s="4">
        <f t="shared" si="2"/>
        <v>1</v>
      </c>
      <c r="F702" s="15"/>
      <c r="G702" s="4"/>
    </row>
    <row r="703" ht="14.25" customHeight="1">
      <c r="A703" s="8" t="s">
        <v>875</v>
      </c>
      <c r="B703" s="8">
        <v>5.8</v>
      </c>
      <c r="C703" s="4" t="str">
        <f>IFERROR(__xludf.DUMMYFUNCTION("""COMPUTED_VALUE"""),"Ben Falcone")</f>
        <v>Ben Falcone</v>
      </c>
      <c r="D703" s="31">
        <f t="shared" si="1"/>
        <v>5.1</v>
      </c>
      <c r="E703" s="4">
        <f t="shared" si="2"/>
        <v>2</v>
      </c>
      <c r="F703" s="15"/>
      <c r="G703" s="4"/>
    </row>
    <row r="704" ht="14.25" customHeight="1">
      <c r="A704" s="8" t="s">
        <v>1650</v>
      </c>
      <c r="B704" s="8">
        <v>7.3</v>
      </c>
      <c r="C704" s="4" t="str">
        <f>IFERROR(__xludf.DUMMYFUNCTION("""COMPUTED_VALUE"""),"Richard Attenborough")</f>
        <v>Richard Attenborough</v>
      </c>
      <c r="D704" s="31">
        <f t="shared" si="1"/>
        <v>7.433333333</v>
      </c>
      <c r="E704" s="4">
        <f t="shared" si="2"/>
        <v>3</v>
      </c>
      <c r="F704" s="15"/>
      <c r="G704" s="4"/>
    </row>
    <row r="705" ht="14.25" customHeight="1">
      <c r="A705" s="8" t="s">
        <v>639</v>
      </c>
      <c r="B705" s="8">
        <v>6.6</v>
      </c>
      <c r="C705" s="4" t="str">
        <f>IFERROR(__xludf.DUMMYFUNCTION("""COMPUTED_VALUE"""),"Don Mancini")</f>
        <v>Don Mancini</v>
      </c>
      <c r="D705" s="31">
        <f t="shared" si="1"/>
        <v>4.9</v>
      </c>
      <c r="E705" s="4">
        <f t="shared" si="2"/>
        <v>1</v>
      </c>
      <c r="F705" s="15"/>
      <c r="G705" s="4"/>
    </row>
    <row r="706" ht="14.25" customHeight="1">
      <c r="A706" s="8" t="s">
        <v>1656</v>
      </c>
      <c r="B706" s="8">
        <v>4.4</v>
      </c>
      <c r="C706" s="4" t="str">
        <f>IFERROR(__xludf.DUMMYFUNCTION("""COMPUTED_VALUE"""),"John Maybury")</f>
        <v>John Maybury</v>
      </c>
      <c r="D706" s="31">
        <f t="shared" si="1"/>
        <v>7.1</v>
      </c>
      <c r="E706" s="4">
        <f t="shared" si="2"/>
        <v>1</v>
      </c>
      <c r="F706" s="15"/>
      <c r="G706" s="4"/>
    </row>
    <row r="707" ht="14.25" customHeight="1">
      <c r="A707" s="8" t="s">
        <v>1297</v>
      </c>
      <c r="B707" s="8">
        <v>7.7</v>
      </c>
      <c r="C707" s="4" t="str">
        <f>IFERROR(__xludf.DUMMYFUNCTION("""COMPUTED_VALUE"""),"Igor Kovalyov")</f>
        <v>Igor Kovalyov</v>
      </c>
      <c r="D707" s="31">
        <f t="shared" si="1"/>
        <v>5.9</v>
      </c>
      <c r="E707" s="4">
        <f t="shared" si="2"/>
        <v>1</v>
      </c>
      <c r="F707" s="15"/>
      <c r="G707" s="4"/>
    </row>
    <row r="708" ht="14.25" customHeight="1">
      <c r="A708" s="8" t="s">
        <v>387</v>
      </c>
      <c r="B708" s="8">
        <v>5.0</v>
      </c>
      <c r="C708" s="4" t="str">
        <f>IFERROR(__xludf.DUMMYFUNCTION("""COMPUTED_VALUE"""),"David Wain")</f>
        <v>David Wain</v>
      </c>
      <c r="D708" s="31">
        <f t="shared" si="1"/>
        <v>5.95</v>
      </c>
      <c r="E708" s="4">
        <f t="shared" si="2"/>
        <v>2</v>
      </c>
      <c r="F708" s="15"/>
      <c r="G708" s="4"/>
    </row>
    <row r="709" ht="14.25" customHeight="1">
      <c r="A709" s="8" t="s">
        <v>722</v>
      </c>
      <c r="B709" s="8">
        <v>7.7</v>
      </c>
      <c r="C709" s="4" t="str">
        <f>IFERROR(__xludf.DUMMYFUNCTION("""COMPUTED_VALUE"""),"Miguel Arteta")</f>
        <v>Miguel Arteta</v>
      </c>
      <c r="D709" s="31">
        <f t="shared" si="1"/>
        <v>6.45</v>
      </c>
      <c r="E709" s="4">
        <f t="shared" si="2"/>
        <v>4</v>
      </c>
      <c r="F709" s="15"/>
      <c r="G709" s="4"/>
    </row>
    <row r="710" ht="14.25" customHeight="1">
      <c r="A710" s="8" t="s">
        <v>1665</v>
      </c>
      <c r="B710" s="8">
        <v>4.4</v>
      </c>
      <c r="C710" s="4" t="str">
        <f>IFERROR(__xludf.DUMMYFUNCTION("""COMPUTED_VALUE"""),"James Gray")</f>
        <v>James Gray</v>
      </c>
      <c r="D710" s="31">
        <f t="shared" si="1"/>
        <v>6.75</v>
      </c>
      <c r="E710" s="4">
        <f t="shared" si="2"/>
        <v>4</v>
      </c>
      <c r="F710" s="15"/>
      <c r="G710" s="4"/>
    </row>
    <row r="711" ht="14.25" customHeight="1">
      <c r="A711" s="8" t="s">
        <v>1065</v>
      </c>
      <c r="B711" s="8">
        <v>6.1</v>
      </c>
      <c r="C711" s="4" t="str">
        <f>IFERROR(__xludf.DUMMYFUNCTION("""COMPUTED_VALUE"""),"Janusz Kaminski")</f>
        <v>Janusz Kaminski</v>
      </c>
      <c r="D711" s="31">
        <f t="shared" si="1"/>
        <v>4.8</v>
      </c>
      <c r="E711" s="4">
        <f t="shared" si="2"/>
        <v>1</v>
      </c>
      <c r="F711" s="15"/>
      <c r="G711" s="4"/>
    </row>
    <row r="712" ht="14.25" customHeight="1">
      <c r="A712" s="8" t="s">
        <v>1669</v>
      </c>
      <c r="B712" s="8">
        <v>5.4</v>
      </c>
      <c r="C712" s="4" t="str">
        <f>IFERROR(__xludf.DUMMYFUNCTION("""COMPUTED_VALUE"""),"Michael Ritchie")</f>
        <v>Michael Ritchie</v>
      </c>
      <c r="D712" s="31">
        <f t="shared" si="1"/>
        <v>5.65</v>
      </c>
      <c r="E712" s="4">
        <f t="shared" si="2"/>
        <v>2</v>
      </c>
      <c r="F712" s="15"/>
      <c r="G712" s="4"/>
    </row>
    <row r="713" ht="14.25" customHeight="1">
      <c r="A713" s="8" t="s">
        <v>164</v>
      </c>
      <c r="B713" s="8">
        <v>6.8</v>
      </c>
      <c r="C713" s="4" t="str">
        <f>IFERROR(__xludf.DUMMYFUNCTION("""COMPUTED_VALUE"""),"Robert B. Weide")</f>
        <v>Robert B. Weide</v>
      </c>
      <c r="D713" s="31">
        <f t="shared" si="1"/>
        <v>6.5</v>
      </c>
      <c r="E713" s="4">
        <f t="shared" si="2"/>
        <v>1</v>
      </c>
      <c r="F713" s="15"/>
      <c r="G713" s="4"/>
    </row>
    <row r="714" ht="14.25" customHeight="1">
      <c r="A714" s="8" t="s">
        <v>1675</v>
      </c>
      <c r="B714" s="8">
        <v>6.5</v>
      </c>
      <c r="C714" s="4" t="str">
        <f>IFERROR(__xludf.DUMMYFUNCTION("""COMPUTED_VALUE"""),"Jeff Wadlow")</f>
        <v>Jeff Wadlow</v>
      </c>
      <c r="D714" s="31">
        <f t="shared" si="1"/>
        <v>6.366666667</v>
      </c>
      <c r="E714" s="4">
        <f t="shared" si="2"/>
        <v>3</v>
      </c>
      <c r="F714" s="15"/>
      <c r="G714" s="4"/>
    </row>
    <row r="715" ht="14.25" customHeight="1">
      <c r="A715" s="8" t="s">
        <v>1677</v>
      </c>
      <c r="B715" s="8">
        <v>7.0</v>
      </c>
      <c r="C715" s="4" t="str">
        <f>IFERROR(__xludf.DUMMYFUNCTION("""COMPUTED_VALUE"""),"Camille Delamarre")</f>
        <v>Camille Delamarre</v>
      </c>
      <c r="D715" s="31">
        <f t="shared" si="1"/>
        <v>5.4</v>
      </c>
      <c r="E715" s="4">
        <f t="shared" si="2"/>
        <v>2</v>
      </c>
      <c r="F715" s="15"/>
      <c r="G715" s="4"/>
    </row>
    <row r="716" ht="14.25" customHeight="1">
      <c r="A716" s="8" t="s">
        <v>1437</v>
      </c>
      <c r="B716" s="8">
        <v>6.3</v>
      </c>
      <c r="C716" s="4" t="str">
        <f>IFERROR(__xludf.DUMMYFUNCTION("""COMPUTED_VALUE"""),"Malcolm D. Lee")</f>
        <v>Malcolm D. Lee</v>
      </c>
      <c r="D716" s="31">
        <f t="shared" si="1"/>
        <v>5.6</v>
      </c>
      <c r="E716" s="4">
        <f t="shared" si="2"/>
        <v>5</v>
      </c>
      <c r="F716" s="15"/>
      <c r="G716" s="4"/>
    </row>
    <row r="717" ht="14.25" customHeight="1">
      <c r="A717" s="8" t="s">
        <v>559</v>
      </c>
      <c r="B717" s="8">
        <v>6.3</v>
      </c>
      <c r="C717" s="4" t="str">
        <f>IFERROR(__xludf.DUMMYFUNCTION("""COMPUTED_VALUE"""),"David Lean")</f>
        <v>David Lean</v>
      </c>
      <c r="D717" s="31">
        <f t="shared" si="1"/>
        <v>8</v>
      </c>
      <c r="E717" s="4">
        <f t="shared" si="2"/>
        <v>4</v>
      </c>
      <c r="F717" s="15"/>
      <c r="G717" s="4"/>
    </row>
    <row r="718" ht="14.25" customHeight="1">
      <c r="A718" s="8" t="s">
        <v>1682</v>
      </c>
      <c r="B718" s="8">
        <v>6.1</v>
      </c>
      <c r="C718" s="4" t="str">
        <f>IFERROR(__xludf.DUMMYFUNCTION("""COMPUTED_VALUE"""),"Richard Eyre")</f>
        <v>Richard Eyre</v>
      </c>
      <c r="D718" s="31">
        <f t="shared" si="1"/>
        <v>7.25</v>
      </c>
      <c r="E718" s="4">
        <f t="shared" si="2"/>
        <v>2</v>
      </c>
      <c r="F718" s="15"/>
      <c r="G718" s="4"/>
    </row>
    <row r="719" ht="14.25" customHeight="1">
      <c r="A719" s="8" t="s">
        <v>1684</v>
      </c>
      <c r="B719" s="8">
        <v>6.1</v>
      </c>
      <c r="C719" s="4" t="str">
        <f>IFERROR(__xludf.DUMMYFUNCTION("""COMPUTED_VALUE"""),"Nicholas Meyer")</f>
        <v>Nicholas Meyer</v>
      </c>
      <c r="D719" s="31">
        <f t="shared" si="1"/>
        <v>7.45</v>
      </c>
      <c r="E719" s="4">
        <f t="shared" si="2"/>
        <v>2</v>
      </c>
      <c r="F719" s="15"/>
      <c r="G719" s="4"/>
    </row>
    <row r="720" ht="14.25" customHeight="1">
      <c r="A720" s="8" t="s">
        <v>1687</v>
      </c>
      <c r="B720" s="8">
        <v>5.3</v>
      </c>
      <c r="C720" s="4" t="str">
        <f>IFERROR(__xludf.DUMMYFUNCTION("""COMPUTED_VALUE"""),"Callie Khouri")</f>
        <v>Callie Khouri</v>
      </c>
      <c r="D720" s="31">
        <f t="shared" si="1"/>
        <v>5.9</v>
      </c>
      <c r="E720" s="4">
        <f t="shared" si="2"/>
        <v>2</v>
      </c>
      <c r="F720" s="15"/>
      <c r="G720" s="4"/>
    </row>
    <row r="721" ht="14.25" customHeight="1">
      <c r="A721" s="8" t="s">
        <v>1690</v>
      </c>
      <c r="B721" s="8">
        <v>5.4</v>
      </c>
      <c r="C721" s="4" t="str">
        <f>IFERROR(__xludf.DUMMYFUNCTION("""COMPUTED_VALUE"""),"Todd Graff")</f>
        <v>Todd Graff</v>
      </c>
      <c r="D721" s="31">
        <f t="shared" si="1"/>
        <v>6.05</v>
      </c>
      <c r="E721" s="4">
        <f t="shared" si="2"/>
        <v>2</v>
      </c>
      <c r="F721" s="15"/>
      <c r="G721" s="4"/>
    </row>
    <row r="722" ht="14.25" customHeight="1">
      <c r="A722" s="8" t="s">
        <v>364</v>
      </c>
      <c r="B722" s="8">
        <v>6.2</v>
      </c>
      <c r="C722" s="4" t="str">
        <f>IFERROR(__xludf.DUMMYFUNCTION("""COMPUTED_VALUE"""),"Philip Kaufman")</f>
        <v>Philip Kaufman</v>
      </c>
      <c r="D722" s="31">
        <f t="shared" si="1"/>
        <v>7.65</v>
      </c>
      <c r="E722" s="4">
        <f t="shared" si="2"/>
        <v>2</v>
      </c>
      <c r="F722" s="15"/>
      <c r="G722" s="4"/>
    </row>
    <row r="723" ht="14.25" customHeight="1">
      <c r="A723" s="8" t="s">
        <v>1695</v>
      </c>
      <c r="B723" s="8">
        <v>6.6</v>
      </c>
      <c r="C723" s="4" t="str">
        <f>IFERROR(__xludf.DUMMYFUNCTION("""COMPUTED_VALUE"""),"Saul Dibb")</f>
        <v>Saul Dibb</v>
      </c>
      <c r="D723" s="31">
        <f t="shared" si="1"/>
        <v>6.9</v>
      </c>
      <c r="E723" s="4">
        <f t="shared" si="2"/>
        <v>1</v>
      </c>
      <c r="F723" s="15"/>
      <c r="G723" s="4"/>
    </row>
    <row r="724" ht="14.25" customHeight="1">
      <c r="A724" s="8" t="s">
        <v>1698</v>
      </c>
      <c r="B724" s="8">
        <v>5.9</v>
      </c>
      <c r="C724" s="4" t="str">
        <f>IFERROR(__xludf.DUMMYFUNCTION("""COMPUTED_VALUE"""),"Richard Linklater")</f>
        <v>Richard Linklater</v>
      </c>
      <c r="D724" s="31">
        <f t="shared" si="1"/>
        <v>7.327272727</v>
      </c>
      <c r="E724" s="4">
        <f t="shared" si="2"/>
        <v>11</v>
      </c>
      <c r="F724" s="15"/>
      <c r="G724" s="4"/>
    </row>
    <row r="725" ht="14.25" customHeight="1">
      <c r="A725" s="8" t="s">
        <v>1700</v>
      </c>
      <c r="B725" s="8">
        <v>6.3</v>
      </c>
      <c r="C725" s="4" t="str">
        <f>IFERROR(__xludf.DUMMYFUNCTION("""COMPUTED_VALUE"""),"E. Elias Merhige")</f>
        <v>E. Elias Merhige</v>
      </c>
      <c r="D725" s="31">
        <f t="shared" si="1"/>
        <v>6.4</v>
      </c>
      <c r="E725" s="4">
        <f t="shared" si="2"/>
        <v>2</v>
      </c>
      <c r="F725" s="15"/>
      <c r="G725" s="4"/>
    </row>
    <row r="726" ht="14.25" customHeight="1">
      <c r="A726" s="8" t="s">
        <v>1263</v>
      </c>
      <c r="B726" s="8">
        <v>7.2</v>
      </c>
      <c r="C726" s="4" t="str">
        <f>IFERROR(__xludf.DUMMYFUNCTION("""COMPUTED_VALUE"""),"Menno Meyjes")</f>
        <v>Menno Meyjes</v>
      </c>
      <c r="D726" s="31">
        <f t="shared" si="1"/>
        <v>6.8</v>
      </c>
      <c r="E726" s="4">
        <f t="shared" si="2"/>
        <v>1</v>
      </c>
      <c r="F726" s="15"/>
      <c r="G726" s="4"/>
    </row>
    <row r="727" ht="14.25" customHeight="1">
      <c r="A727" s="8" t="s">
        <v>1706</v>
      </c>
      <c r="B727" s="8">
        <v>6.8</v>
      </c>
      <c r="C727" s="4" t="str">
        <f>IFERROR(__xludf.DUMMYFUNCTION("""COMPUTED_VALUE"""),"Jodie Foster")</f>
        <v>Jodie Foster</v>
      </c>
      <c r="D727" s="31">
        <f t="shared" si="1"/>
        <v>6.666666667</v>
      </c>
      <c r="E727" s="4">
        <f t="shared" si="2"/>
        <v>3</v>
      </c>
      <c r="F727" s="15"/>
      <c r="G727" s="4"/>
    </row>
    <row r="728" ht="14.25" customHeight="1">
      <c r="A728" s="8" t="s">
        <v>1709</v>
      </c>
      <c r="B728" s="8">
        <v>6.1</v>
      </c>
      <c r="C728" s="4" t="str">
        <f>IFERROR(__xludf.DUMMYFUNCTION("""COMPUTED_VALUE"""),"Scott Frank")</f>
        <v>Scott Frank</v>
      </c>
      <c r="D728" s="31">
        <f t="shared" si="1"/>
        <v>6.5</v>
      </c>
      <c r="E728" s="4">
        <f t="shared" si="2"/>
        <v>1</v>
      </c>
      <c r="F728" s="15"/>
      <c r="G728" s="4"/>
    </row>
    <row r="729" ht="14.25" customHeight="1">
      <c r="A729" s="8" t="s">
        <v>888</v>
      </c>
      <c r="B729" s="8">
        <v>7.8</v>
      </c>
      <c r="C729" s="4" t="str">
        <f>IFERROR(__xludf.DUMMYFUNCTION("""COMPUTED_VALUE"""),"Kevin Allen")</f>
        <v>Kevin Allen</v>
      </c>
      <c r="D729" s="31">
        <f t="shared" si="1"/>
        <v>5.4</v>
      </c>
      <c r="E729" s="4">
        <f t="shared" si="2"/>
        <v>2</v>
      </c>
      <c r="F729" s="15"/>
      <c r="G729" s="4"/>
    </row>
    <row r="730" ht="14.25" customHeight="1">
      <c r="A730" s="8" t="s">
        <v>1712</v>
      </c>
      <c r="B730" s="8">
        <v>5.0</v>
      </c>
      <c r="C730" s="4" t="str">
        <f>IFERROR(__xludf.DUMMYFUNCTION("""COMPUTED_VALUE"""),"Michael Cristofer")</f>
        <v>Michael Cristofer</v>
      </c>
      <c r="D730" s="31">
        <f t="shared" si="1"/>
        <v>6</v>
      </c>
      <c r="E730" s="4">
        <f t="shared" si="2"/>
        <v>1</v>
      </c>
      <c r="F730" s="15"/>
      <c r="G730" s="4"/>
    </row>
    <row r="731" ht="14.25" customHeight="1">
      <c r="A731" s="8" t="s">
        <v>1471</v>
      </c>
      <c r="B731" s="8">
        <v>6.2</v>
      </c>
      <c r="C731" s="4" t="str">
        <f>IFERROR(__xludf.DUMMYFUNCTION("""COMPUTED_VALUE"""),"Andrew Morahan")</f>
        <v>Andrew Morahan</v>
      </c>
      <c r="D731" s="31">
        <f t="shared" si="1"/>
        <v>4.3</v>
      </c>
      <c r="E731" s="4">
        <f t="shared" si="2"/>
        <v>1</v>
      </c>
      <c r="F731" s="15"/>
      <c r="G731" s="4"/>
    </row>
    <row r="732" ht="14.25" customHeight="1">
      <c r="A732" s="8" t="s">
        <v>1716</v>
      </c>
      <c r="B732" s="8">
        <v>6.7</v>
      </c>
      <c r="C732" s="4" t="str">
        <f>IFERROR(__xludf.DUMMYFUNCTION("""COMPUTED_VALUE"""),"Bob Rafelson")</f>
        <v>Bob Rafelson</v>
      </c>
      <c r="D732" s="31">
        <f t="shared" si="1"/>
        <v>6.1</v>
      </c>
      <c r="E732" s="4">
        <f t="shared" si="2"/>
        <v>1</v>
      </c>
      <c r="F732" s="15"/>
      <c r="G732" s="4"/>
    </row>
    <row r="733" ht="14.25" customHeight="1">
      <c r="A733" s="8" t="s">
        <v>1719</v>
      </c>
      <c r="B733" s="8">
        <v>4.9</v>
      </c>
      <c r="C733" s="4" t="str">
        <f>IFERROR(__xludf.DUMMYFUNCTION("""COMPUTED_VALUE"""),"Alan Shapiro")</f>
        <v>Alan Shapiro</v>
      </c>
      <c r="D733" s="31">
        <f t="shared" si="1"/>
        <v>5.2</v>
      </c>
      <c r="E733" s="4">
        <f t="shared" si="2"/>
        <v>1</v>
      </c>
      <c r="F733" s="15"/>
      <c r="G733" s="4"/>
    </row>
    <row r="734" ht="14.25" customHeight="1">
      <c r="A734" s="8" t="s">
        <v>1506</v>
      </c>
      <c r="B734" s="8">
        <v>7.4</v>
      </c>
      <c r="C734" s="4" t="str">
        <f>IFERROR(__xludf.DUMMYFUNCTION("""COMPUTED_VALUE"""),"Fernando Meirelles")</f>
        <v>Fernando Meirelles</v>
      </c>
      <c r="D734" s="31">
        <f t="shared" si="1"/>
        <v>7.6</v>
      </c>
      <c r="E734" s="4">
        <f t="shared" si="2"/>
        <v>3</v>
      </c>
      <c r="F734" s="15"/>
      <c r="G734" s="4"/>
    </row>
    <row r="735" ht="14.25" customHeight="1">
      <c r="A735" s="8" t="s">
        <v>549</v>
      </c>
      <c r="B735" s="8">
        <v>6.2</v>
      </c>
      <c r="C735" s="4" t="str">
        <f>IFERROR(__xludf.DUMMYFUNCTION("""COMPUTED_VALUE"""),"Michael Hoffman")</f>
        <v>Michael Hoffman</v>
      </c>
      <c r="D735" s="31">
        <f t="shared" si="1"/>
        <v>6.866666667</v>
      </c>
      <c r="E735" s="4">
        <f t="shared" si="2"/>
        <v>3</v>
      </c>
      <c r="F735" s="15"/>
      <c r="G735" s="4"/>
    </row>
    <row r="736" ht="14.25" customHeight="1">
      <c r="A736" s="8" t="s">
        <v>1727</v>
      </c>
      <c r="B736" s="8">
        <v>4.9</v>
      </c>
      <c r="C736" s="4" t="str">
        <f>IFERROR(__xludf.DUMMYFUNCTION("""COMPUTED_VALUE"""),"Michael Pressman")</f>
        <v>Michael Pressman</v>
      </c>
      <c r="D736" s="31">
        <f t="shared" si="1"/>
        <v>6</v>
      </c>
      <c r="E736" s="4">
        <f t="shared" si="2"/>
        <v>1</v>
      </c>
      <c r="F736" s="15"/>
      <c r="G736" s="4"/>
    </row>
    <row r="737" ht="14.25" customHeight="1">
      <c r="A737" s="8" t="s">
        <v>1361</v>
      </c>
      <c r="B737" s="8">
        <v>6.1</v>
      </c>
      <c r="C737" s="4" t="str">
        <f>IFERROR(__xludf.DUMMYFUNCTION("""COMPUTED_VALUE"""),"Sharon Maguire")</f>
        <v>Sharon Maguire</v>
      </c>
      <c r="D737" s="31">
        <f t="shared" si="1"/>
        <v>6.7</v>
      </c>
      <c r="E737" s="4">
        <f t="shared" si="2"/>
        <v>1</v>
      </c>
      <c r="F737" s="15"/>
      <c r="G737" s="4"/>
    </row>
    <row r="738" ht="14.25" customHeight="1">
      <c r="A738" s="8" t="s">
        <v>1732</v>
      </c>
      <c r="B738" s="8">
        <v>6.1</v>
      </c>
      <c r="C738" s="4" t="str">
        <f>IFERROR(__xludf.DUMMYFUNCTION("""COMPUTED_VALUE"""),"Charles Herman-Wurmfeld")</f>
        <v>Charles Herman-Wurmfeld</v>
      </c>
      <c r="D738" s="31">
        <f t="shared" si="1"/>
        <v>6.2</v>
      </c>
      <c r="E738" s="4">
        <f t="shared" si="2"/>
        <v>3</v>
      </c>
      <c r="F738" s="15"/>
      <c r="G738" s="4"/>
    </row>
    <row r="739" ht="14.25" customHeight="1">
      <c r="A739" s="8" t="s">
        <v>1734</v>
      </c>
      <c r="B739" s="8">
        <v>6.4</v>
      </c>
      <c r="C739" s="4" t="str">
        <f>IFERROR(__xludf.DUMMYFUNCTION("""COMPUTED_VALUE"""),"Gabor Csupo")</f>
        <v>Gabor Csupo</v>
      </c>
      <c r="D739" s="31">
        <f t="shared" si="1"/>
        <v>7.2</v>
      </c>
      <c r="E739" s="4">
        <f t="shared" si="2"/>
        <v>1</v>
      </c>
      <c r="F739" s="15"/>
      <c r="G739" s="4"/>
    </row>
    <row r="740" ht="14.25" customHeight="1">
      <c r="A740" s="8" t="s">
        <v>1736</v>
      </c>
      <c r="B740" s="8">
        <v>6.3</v>
      </c>
      <c r="C740" s="4" t="str">
        <f>IFERROR(__xludf.DUMMYFUNCTION("""COMPUTED_VALUE"""),"Tyler Perry")</f>
        <v>Tyler Perry</v>
      </c>
      <c r="D740" s="31">
        <f t="shared" si="1"/>
        <v>4.766666667</v>
      </c>
      <c r="E740" s="4">
        <f t="shared" si="2"/>
        <v>6</v>
      </c>
      <c r="F740" s="15"/>
      <c r="G740" s="4"/>
    </row>
    <row r="741" ht="14.25" customHeight="1">
      <c r="A741" s="8" t="s">
        <v>136</v>
      </c>
      <c r="B741" s="8">
        <v>6.6</v>
      </c>
      <c r="C741" s="4" t="str">
        <f>IFERROR(__xludf.DUMMYFUNCTION("""COMPUTED_VALUE"""),"Joe Carnahan")</f>
        <v>Joe Carnahan</v>
      </c>
      <c r="D741" s="31">
        <f t="shared" si="1"/>
        <v>6.9</v>
      </c>
      <c r="E741" s="4">
        <f t="shared" si="2"/>
        <v>3</v>
      </c>
      <c r="F741" s="15"/>
      <c r="G741" s="4"/>
    </row>
    <row r="742" ht="14.25" customHeight="1">
      <c r="A742" s="8" t="s">
        <v>758</v>
      </c>
      <c r="B742" s="8">
        <v>5.7</v>
      </c>
      <c r="C742" s="4" t="str">
        <f>IFERROR(__xludf.DUMMYFUNCTION("""COMPUTED_VALUE"""),"John Polson")</f>
        <v>John Polson</v>
      </c>
      <c r="D742" s="31">
        <f t="shared" si="1"/>
        <v>5.45</v>
      </c>
      <c r="E742" s="4">
        <f t="shared" si="2"/>
        <v>2</v>
      </c>
      <c r="F742" s="15"/>
      <c r="G742" s="4"/>
    </row>
    <row r="743" ht="14.25" customHeight="1">
      <c r="A743" s="8" t="s">
        <v>1719</v>
      </c>
      <c r="B743" s="8">
        <v>5.9</v>
      </c>
      <c r="C743" s="4" t="str">
        <f>IFERROR(__xludf.DUMMYFUNCTION("""COMPUTED_VALUE"""),"Bernardo Bertolucci")</f>
        <v>Bernardo Bertolucci</v>
      </c>
      <c r="D743" s="31">
        <f t="shared" si="1"/>
        <v>7.8</v>
      </c>
      <c r="E743" s="4">
        <f t="shared" si="2"/>
        <v>1</v>
      </c>
      <c r="F743" s="15"/>
      <c r="G743" s="4"/>
    </row>
    <row r="744" ht="14.25" customHeight="1">
      <c r="A744" s="8" t="s">
        <v>1682</v>
      </c>
      <c r="B744" s="8">
        <v>6.0</v>
      </c>
      <c r="C744" s="4" t="str">
        <f>IFERROR(__xludf.DUMMYFUNCTION("""COMPUTED_VALUE"""),"Cathy Malkasian")</f>
        <v>Cathy Malkasian</v>
      </c>
      <c r="D744" s="31">
        <f t="shared" si="1"/>
        <v>5.2</v>
      </c>
      <c r="E744" s="4">
        <f t="shared" si="2"/>
        <v>1</v>
      </c>
      <c r="F744" s="15"/>
      <c r="G744" s="4"/>
    </row>
    <row r="745" ht="14.25" customHeight="1">
      <c r="A745" s="8" t="s">
        <v>1747</v>
      </c>
      <c r="B745" s="8">
        <v>6.1</v>
      </c>
      <c r="C745" s="4" t="str">
        <f>IFERROR(__xludf.DUMMYFUNCTION("""COMPUTED_VALUE"""),"John Eng")</f>
        <v>John Eng</v>
      </c>
      <c r="D745" s="31">
        <f t="shared" si="1"/>
        <v>5.6</v>
      </c>
      <c r="E745" s="4">
        <f t="shared" si="2"/>
        <v>1</v>
      </c>
      <c r="F745" s="15"/>
      <c r="G745" s="4"/>
    </row>
    <row r="746" ht="14.25" customHeight="1">
      <c r="A746" s="8" t="s">
        <v>399</v>
      </c>
      <c r="B746" s="8">
        <v>6.7</v>
      </c>
      <c r="C746" s="4" t="str">
        <f>IFERROR(__xludf.DUMMYFUNCTION("""COMPUTED_VALUE"""),"Chris Nahon")</f>
        <v>Chris Nahon</v>
      </c>
      <c r="D746" s="31">
        <f t="shared" si="1"/>
        <v>6.6</v>
      </c>
      <c r="E746" s="4">
        <f t="shared" si="2"/>
        <v>1</v>
      </c>
      <c r="F746" s="15"/>
      <c r="G746" s="4"/>
    </row>
    <row r="747" ht="14.25" customHeight="1">
      <c r="A747" s="8" t="s">
        <v>1640</v>
      </c>
      <c r="B747" s="8">
        <v>6.7</v>
      </c>
      <c r="C747" s="4" t="str">
        <f>IFERROR(__xludf.DUMMYFUNCTION("""COMPUTED_VALUE"""),"Fred Wolf")</f>
        <v>Fred Wolf</v>
      </c>
      <c r="D747" s="31">
        <f t="shared" si="1"/>
        <v>5.4</v>
      </c>
      <c r="E747" s="4">
        <f t="shared" si="2"/>
        <v>2</v>
      </c>
      <c r="F747" s="15"/>
      <c r="G747" s="4"/>
    </row>
    <row r="748" ht="14.25" customHeight="1">
      <c r="A748" s="8" t="s">
        <v>1364</v>
      </c>
      <c r="B748" s="8">
        <v>7.9</v>
      </c>
      <c r="C748" s="4" t="str">
        <f>IFERROR(__xludf.DUMMYFUNCTION("""COMPUTED_VALUE"""),"Victor Salva")</f>
        <v>Victor Salva</v>
      </c>
      <c r="D748" s="31">
        <f t="shared" si="1"/>
        <v>6.333333333</v>
      </c>
      <c r="E748" s="4">
        <f t="shared" si="2"/>
        <v>3</v>
      </c>
      <c r="F748" s="15"/>
      <c r="G748" s="4"/>
    </row>
    <row r="749" ht="14.25" customHeight="1">
      <c r="A749" s="8" t="s">
        <v>408</v>
      </c>
      <c r="B749" s="8">
        <v>4.3</v>
      </c>
      <c r="C749" s="4" t="str">
        <f>IFERROR(__xludf.DUMMYFUNCTION("""COMPUTED_VALUE"""),"Mark Helfrich")</f>
        <v>Mark Helfrich</v>
      </c>
      <c r="D749" s="31">
        <f t="shared" si="1"/>
        <v>5.6</v>
      </c>
      <c r="E749" s="4">
        <f t="shared" si="2"/>
        <v>1</v>
      </c>
      <c r="F749" s="15"/>
      <c r="G749" s="4"/>
    </row>
    <row r="750" ht="14.25" customHeight="1">
      <c r="A750" s="8" t="s">
        <v>1757</v>
      </c>
      <c r="B750" s="8">
        <v>5.7</v>
      </c>
      <c r="C750" s="4" t="str">
        <f>IFERROR(__xludf.DUMMYFUNCTION("""COMPUTED_VALUE"""),"Steve Bendelack")</f>
        <v>Steve Bendelack</v>
      </c>
      <c r="D750" s="31">
        <f t="shared" si="1"/>
        <v>6.3</v>
      </c>
      <c r="E750" s="4">
        <f t="shared" si="2"/>
        <v>1</v>
      </c>
      <c r="F750" s="15"/>
      <c r="G750" s="4"/>
    </row>
    <row r="751" ht="14.25" customHeight="1">
      <c r="A751" s="8" t="s">
        <v>1761</v>
      </c>
      <c r="B751" s="8">
        <v>6.7</v>
      </c>
      <c r="C751" s="4" t="str">
        <f>IFERROR(__xludf.DUMMYFUNCTION("""COMPUTED_VALUE"""),"Dwight H. Little")</f>
        <v>Dwight H. Little</v>
      </c>
      <c r="D751" s="31">
        <f t="shared" si="1"/>
        <v>5.25</v>
      </c>
      <c r="E751" s="4">
        <f t="shared" si="2"/>
        <v>2</v>
      </c>
      <c r="F751" s="15"/>
      <c r="G751" s="4"/>
    </row>
    <row r="752" ht="14.25" customHeight="1">
      <c r="A752" s="8" t="s">
        <v>983</v>
      </c>
      <c r="B752" s="8">
        <v>6.7</v>
      </c>
      <c r="C752" s="4" t="str">
        <f>IFERROR(__xludf.DUMMYFUNCTION("""COMPUTED_VALUE"""),"Guillaume Canet")</f>
        <v>Guillaume Canet</v>
      </c>
      <c r="D752" s="31">
        <f t="shared" si="1"/>
        <v>6.8</v>
      </c>
      <c r="E752" s="4">
        <f t="shared" si="2"/>
        <v>2</v>
      </c>
      <c r="F752" s="15"/>
      <c r="G752" s="4"/>
    </row>
    <row r="753" ht="14.25" customHeight="1">
      <c r="A753" s="8" t="s">
        <v>221</v>
      </c>
      <c r="B753" s="8">
        <v>6.1</v>
      </c>
      <c r="C753" s="4" t="str">
        <f>IFERROR(__xludf.DUMMYFUNCTION("""COMPUTED_VALUE"""),"Kirsten Sheridan")</f>
        <v>Kirsten Sheridan</v>
      </c>
      <c r="D753" s="31">
        <f t="shared" si="1"/>
        <v>7.5</v>
      </c>
      <c r="E753" s="4">
        <f t="shared" si="2"/>
        <v>1</v>
      </c>
      <c r="F753" s="15"/>
      <c r="G753" s="4"/>
    </row>
    <row r="754" ht="14.25" customHeight="1">
      <c r="A754" s="8" t="s">
        <v>950</v>
      </c>
      <c r="B754" s="8">
        <v>5.6</v>
      </c>
      <c r="C754" s="4" t="str">
        <f>IFERROR(__xludf.DUMMYFUNCTION("""COMPUTED_VALUE"""),"Richard Fleischer")</f>
        <v>Richard Fleischer</v>
      </c>
      <c r="D754" s="31">
        <f t="shared" si="1"/>
        <v>6.65</v>
      </c>
      <c r="E754" s="4">
        <f t="shared" si="2"/>
        <v>2</v>
      </c>
      <c r="F754" s="15"/>
      <c r="G754" s="4"/>
    </row>
    <row r="755" ht="14.25" customHeight="1">
      <c r="A755" s="8" t="s">
        <v>1770</v>
      </c>
      <c r="B755" s="8">
        <v>6.6</v>
      </c>
      <c r="C755" s="4" t="str">
        <f>IFERROR(__xludf.DUMMYFUNCTION("""COMPUTED_VALUE"""),"Bob Spiers")</f>
        <v>Bob Spiers</v>
      </c>
      <c r="D755" s="31">
        <f t="shared" si="1"/>
        <v>3.3</v>
      </c>
      <c r="E755" s="4">
        <f t="shared" si="2"/>
        <v>1</v>
      </c>
      <c r="F755" s="15"/>
      <c r="G755" s="4"/>
    </row>
    <row r="756" ht="14.25" customHeight="1">
      <c r="A756" s="8" t="s">
        <v>1773</v>
      </c>
      <c r="B756" s="8">
        <v>6.9</v>
      </c>
      <c r="C756" s="4" t="str">
        <f>IFERROR(__xludf.DUMMYFUNCTION("""COMPUTED_VALUE"""),"Damien Dante Wayans")</f>
        <v>Damien Dante Wayans</v>
      </c>
      <c r="D756" s="31">
        <f t="shared" si="1"/>
        <v>3.5</v>
      </c>
      <c r="E756" s="4">
        <f t="shared" si="2"/>
        <v>1</v>
      </c>
      <c r="F756" s="15"/>
      <c r="G756" s="4"/>
    </row>
    <row r="757" ht="14.25" customHeight="1">
      <c r="A757" s="8" t="s">
        <v>1776</v>
      </c>
      <c r="B757" s="8">
        <v>4.8</v>
      </c>
      <c r="C757" s="4" t="str">
        <f>IFERROR(__xludf.DUMMYFUNCTION("""COMPUTED_VALUE"""),"John Wells")</f>
        <v>John Wells</v>
      </c>
      <c r="D757" s="31">
        <f t="shared" si="1"/>
        <v>6.95</v>
      </c>
      <c r="E757" s="4">
        <f t="shared" si="2"/>
        <v>2</v>
      </c>
      <c r="F757" s="15"/>
      <c r="G757" s="4"/>
    </row>
    <row r="758" ht="14.25" customHeight="1">
      <c r="A758" s="8" t="s">
        <v>1779</v>
      </c>
      <c r="B758" s="8">
        <v>6.2</v>
      </c>
      <c r="C758" s="4" t="str">
        <f>IFERROR(__xludf.DUMMYFUNCTION("""COMPUTED_VALUE"""),"Nigel Cole")</f>
        <v>Nigel Cole</v>
      </c>
      <c r="D758" s="31">
        <f t="shared" si="1"/>
        <v>6.9</v>
      </c>
      <c r="E758" s="4">
        <f t="shared" si="2"/>
        <v>2</v>
      </c>
      <c r="F758" s="15"/>
      <c r="G758" s="4"/>
    </row>
    <row r="759" ht="14.25" customHeight="1">
      <c r="A759" s="8" t="s">
        <v>1783</v>
      </c>
      <c r="B759" s="8">
        <v>6.0</v>
      </c>
      <c r="C759" s="4" t="str">
        <f>IFERROR(__xludf.DUMMYFUNCTION("""COMPUTED_VALUE"""),"Dexter Fletcher")</f>
        <v>Dexter Fletcher</v>
      </c>
      <c r="D759" s="31">
        <f t="shared" si="1"/>
        <v>7.5</v>
      </c>
      <c r="E759" s="4">
        <f t="shared" si="2"/>
        <v>2</v>
      </c>
      <c r="F759" s="15"/>
      <c r="G759" s="4"/>
    </row>
    <row r="760" ht="14.25" customHeight="1">
      <c r="A760" s="8" t="s">
        <v>1665</v>
      </c>
      <c r="B760" s="8">
        <v>4.9</v>
      </c>
      <c r="C760" s="4" t="str">
        <f>IFERROR(__xludf.DUMMYFUNCTION("""COMPUTED_VALUE"""),"Jeremy Leven")</f>
        <v>Jeremy Leven</v>
      </c>
      <c r="D760" s="31">
        <f t="shared" si="1"/>
        <v>6.8</v>
      </c>
      <c r="E760" s="4">
        <f t="shared" si="2"/>
        <v>1</v>
      </c>
      <c r="F760" s="15"/>
      <c r="G760" s="4"/>
    </row>
    <row r="761" ht="14.25" customHeight="1">
      <c r="A761" s="8" t="s">
        <v>1789</v>
      </c>
      <c r="B761" s="8">
        <v>5.6</v>
      </c>
      <c r="C761" s="4" t="str">
        <f>IFERROR(__xludf.DUMMYFUNCTION("""COMPUTED_VALUE"""),"Sylvain White")</f>
        <v>Sylvain White</v>
      </c>
      <c r="D761" s="31">
        <f t="shared" si="1"/>
        <v>5.8</v>
      </c>
      <c r="E761" s="4">
        <f t="shared" si="2"/>
        <v>2</v>
      </c>
      <c r="F761" s="15"/>
      <c r="G761" s="4"/>
    </row>
    <row r="762" ht="14.25" customHeight="1">
      <c r="A762" s="8" t="s">
        <v>361</v>
      </c>
      <c r="B762" s="8">
        <v>6.1</v>
      </c>
      <c r="C762" s="4" t="str">
        <f>IFERROR(__xludf.DUMMYFUNCTION("""COMPUTED_VALUE"""),"Troy Nixey")</f>
        <v>Troy Nixey</v>
      </c>
      <c r="D762" s="31">
        <f t="shared" si="1"/>
        <v>5.6</v>
      </c>
      <c r="E762" s="4">
        <f t="shared" si="2"/>
        <v>1</v>
      </c>
      <c r="F762" s="15"/>
      <c r="G762" s="4"/>
    </row>
    <row r="763" ht="14.25" customHeight="1">
      <c r="A763" s="8" t="s">
        <v>1794</v>
      </c>
      <c r="B763" s="8">
        <v>6.1</v>
      </c>
      <c r="C763" s="4" t="str">
        <f>IFERROR(__xludf.DUMMYFUNCTION("""COMPUTED_VALUE"""),"Philip G. Atwell")</f>
        <v>Philip G. Atwell</v>
      </c>
      <c r="D763" s="31">
        <f t="shared" si="1"/>
        <v>6.3</v>
      </c>
      <c r="E763" s="4">
        <f t="shared" si="2"/>
        <v>1</v>
      </c>
      <c r="F763" s="15"/>
      <c r="G763" s="4"/>
    </row>
    <row r="764" ht="14.25" customHeight="1">
      <c r="A764" s="8" t="s">
        <v>1554</v>
      </c>
      <c r="B764" s="8">
        <v>4.8</v>
      </c>
      <c r="C764" s="4" t="str">
        <f>IFERROR(__xludf.DUMMYFUNCTION("""COMPUTED_VALUE"""),"Jeff Schaffer")</f>
        <v>Jeff Schaffer</v>
      </c>
      <c r="D764" s="31">
        <f t="shared" si="1"/>
        <v>6.6</v>
      </c>
      <c r="E764" s="4">
        <f t="shared" si="2"/>
        <v>1</v>
      </c>
      <c r="F764" s="15"/>
      <c r="G764" s="4"/>
    </row>
    <row r="765" ht="14.25" customHeight="1">
      <c r="A765" s="8" t="s">
        <v>1797</v>
      </c>
      <c r="B765" s="8">
        <v>5.5</v>
      </c>
      <c r="C765" s="4" t="str">
        <f>IFERROR(__xludf.DUMMYFUNCTION("""COMPUTED_VALUE"""),"Don Michael Paul")</f>
        <v>Don Michael Paul</v>
      </c>
      <c r="D765" s="31">
        <f t="shared" si="1"/>
        <v>3.3</v>
      </c>
      <c r="E765" s="4">
        <f t="shared" si="2"/>
        <v>2</v>
      </c>
      <c r="F765" s="15"/>
      <c r="G765" s="4"/>
    </row>
    <row r="766" ht="14.25" customHeight="1">
      <c r="A766" s="8" t="s">
        <v>1800</v>
      </c>
      <c r="B766" s="8">
        <v>3.8</v>
      </c>
      <c r="C766" s="4" t="str">
        <f>IFERROR(__xludf.DUMMYFUNCTION("""COMPUTED_VALUE"""),"James Bridges")</f>
        <v>James Bridges</v>
      </c>
      <c r="D766" s="31">
        <f t="shared" si="1"/>
        <v>5.6</v>
      </c>
      <c r="E766" s="4">
        <f t="shared" si="2"/>
        <v>1</v>
      </c>
      <c r="F766" s="15"/>
      <c r="G766" s="4"/>
    </row>
    <row r="767" ht="14.25" customHeight="1">
      <c r="A767" s="8" t="s">
        <v>136</v>
      </c>
      <c r="B767" s="8">
        <v>6.5</v>
      </c>
      <c r="C767" s="4" t="str">
        <f>IFERROR(__xludf.DUMMYFUNCTION("""COMPUTED_VALUE"""),"Steve Barron")</f>
        <v>Steve Barron</v>
      </c>
      <c r="D767" s="31">
        <f t="shared" si="1"/>
        <v>5.3</v>
      </c>
      <c r="E767" s="4">
        <f t="shared" si="2"/>
        <v>1</v>
      </c>
      <c r="F767" s="15"/>
      <c r="G767" s="4"/>
    </row>
    <row r="768" ht="14.25" customHeight="1">
      <c r="A768" s="8" t="s">
        <v>1803</v>
      </c>
      <c r="B768" s="8">
        <v>6.7</v>
      </c>
      <c r="C768" s="4" t="str">
        <f>IFERROR(__xludf.DUMMYFUNCTION("""COMPUTED_VALUE"""),"Richard Kelly")</f>
        <v>Richard Kelly</v>
      </c>
      <c r="D768" s="31">
        <f t="shared" si="1"/>
        <v>6.4</v>
      </c>
      <c r="E768" s="4">
        <f t="shared" si="2"/>
        <v>3</v>
      </c>
      <c r="F768" s="15"/>
      <c r="G768" s="4"/>
    </row>
    <row r="769" ht="14.25" customHeight="1">
      <c r="A769" s="8" t="s">
        <v>1806</v>
      </c>
      <c r="B769" s="8">
        <v>8.1</v>
      </c>
      <c r="C769" s="4" t="str">
        <f>IFERROR(__xludf.DUMMYFUNCTION("""COMPUTED_VALUE"""),"Carter Smith")</f>
        <v>Carter Smith</v>
      </c>
      <c r="D769" s="31">
        <f t="shared" si="1"/>
        <v>5.9</v>
      </c>
      <c r="E769" s="4">
        <f t="shared" si="2"/>
        <v>1</v>
      </c>
      <c r="F769" s="15"/>
      <c r="G769" s="4"/>
    </row>
    <row r="770" ht="14.25" customHeight="1">
      <c r="A770" s="8" t="s">
        <v>1809</v>
      </c>
      <c r="B770" s="8">
        <v>4.9</v>
      </c>
      <c r="C770" s="4" t="str">
        <f>IFERROR(__xludf.DUMMYFUNCTION("""COMPUTED_VALUE"""),"John Schlesinger")</f>
        <v>John Schlesinger</v>
      </c>
      <c r="D770" s="31">
        <f t="shared" si="1"/>
        <v>5.4</v>
      </c>
      <c r="E770" s="4">
        <f t="shared" si="2"/>
        <v>2</v>
      </c>
      <c r="F770" s="15"/>
      <c r="G770" s="4"/>
    </row>
    <row r="771" ht="14.25" customHeight="1">
      <c r="A771" s="8" t="s">
        <v>1506</v>
      </c>
      <c r="B771" s="8">
        <v>7.3</v>
      </c>
      <c r="C771" s="4" t="str">
        <f>IFERROR(__xludf.DUMMYFUNCTION("""COMPUTED_VALUE"""),"Ringo Lam")</f>
        <v>Ringo Lam</v>
      </c>
      <c r="D771" s="31">
        <f t="shared" si="1"/>
        <v>5.4</v>
      </c>
      <c r="E771" s="4">
        <f t="shared" si="2"/>
        <v>1</v>
      </c>
      <c r="F771" s="15"/>
      <c r="G771" s="4"/>
    </row>
    <row r="772" ht="14.25" customHeight="1">
      <c r="A772" s="8" t="s">
        <v>202</v>
      </c>
      <c r="B772" s="8">
        <v>6.4</v>
      </c>
      <c r="C772" s="4" t="str">
        <f>IFERROR(__xludf.DUMMYFUNCTION("""COMPUTED_VALUE"""),"Bruce McCulloch")</f>
        <v>Bruce McCulloch</v>
      </c>
      <c r="D772" s="31">
        <f t="shared" si="1"/>
        <v>5.05</v>
      </c>
      <c r="E772" s="4">
        <f t="shared" si="2"/>
        <v>2</v>
      </c>
      <c r="F772" s="15"/>
      <c r="G772" s="4"/>
    </row>
    <row r="773" ht="14.25" customHeight="1">
      <c r="A773" s="8" t="s">
        <v>863</v>
      </c>
      <c r="B773" s="8">
        <v>6.7</v>
      </c>
      <c r="C773" s="4" t="str">
        <f>IFERROR(__xludf.DUMMYFUNCTION("""COMPUTED_VALUE"""),"Patricia Riggen")</f>
        <v>Patricia Riggen</v>
      </c>
      <c r="D773" s="31">
        <f t="shared" si="1"/>
        <v>6.85</v>
      </c>
      <c r="E773" s="4">
        <f t="shared" si="2"/>
        <v>2</v>
      </c>
      <c r="F773" s="15"/>
      <c r="G773" s="4"/>
    </row>
    <row r="774" ht="14.25" customHeight="1">
      <c r="A774" s="8" t="s">
        <v>1669</v>
      </c>
      <c r="B774" s="8">
        <v>3.6</v>
      </c>
      <c r="C774" s="4" t="str">
        <f>IFERROR(__xludf.DUMMYFUNCTION("""COMPUTED_VALUE"""),"Jonathan Kaplan")</f>
        <v>Jonathan Kaplan</v>
      </c>
      <c r="D774" s="31">
        <f t="shared" si="1"/>
        <v>6.4</v>
      </c>
      <c r="E774" s="4">
        <f t="shared" si="2"/>
        <v>1</v>
      </c>
      <c r="F774" s="15"/>
      <c r="G774" s="4"/>
    </row>
    <row r="775" ht="14.25" customHeight="1">
      <c r="A775" s="8" t="s">
        <v>1822</v>
      </c>
      <c r="B775" s="8">
        <v>5.7</v>
      </c>
      <c r="C775" s="4" t="str">
        <f>IFERROR(__xludf.DUMMYFUNCTION("""COMPUTED_VALUE"""),"Ole Bornedal")</f>
        <v>Ole Bornedal</v>
      </c>
      <c r="D775" s="31">
        <f t="shared" si="1"/>
        <v>5.9</v>
      </c>
      <c r="E775" s="4">
        <f t="shared" si="2"/>
        <v>1</v>
      </c>
      <c r="F775" s="15"/>
      <c r="G775" s="4"/>
    </row>
    <row r="776" ht="14.25" customHeight="1">
      <c r="A776" s="8" t="s">
        <v>1387</v>
      </c>
      <c r="B776" s="8">
        <v>6.0</v>
      </c>
      <c r="C776" s="4" t="str">
        <f>IFERROR(__xludf.DUMMYFUNCTION("""COMPUTED_VALUE"""),"Richard Benjamin")</f>
        <v>Richard Benjamin</v>
      </c>
      <c r="D776" s="31">
        <f t="shared" si="1"/>
        <v>4.733333333</v>
      </c>
      <c r="E776" s="4">
        <f t="shared" si="2"/>
        <v>3</v>
      </c>
      <c r="F776" s="15"/>
      <c r="G776" s="4"/>
    </row>
    <row r="777" ht="14.25" customHeight="1">
      <c r="A777" s="8" t="s">
        <v>1623</v>
      </c>
      <c r="B777" s="8">
        <v>4.7</v>
      </c>
      <c r="C777" s="4" t="str">
        <f>IFERROR(__xludf.DUMMYFUNCTION("""COMPUTED_VALUE"""),"Craig R. Baxley")</f>
        <v>Craig R. Baxley</v>
      </c>
      <c r="D777" s="31">
        <f t="shared" si="1"/>
        <v>5.55</v>
      </c>
      <c r="E777" s="4">
        <f t="shared" si="2"/>
        <v>2</v>
      </c>
      <c r="F777" s="15"/>
      <c r="G777" s="4"/>
    </row>
    <row r="778" ht="14.25" customHeight="1">
      <c r="A778" s="8" t="s">
        <v>345</v>
      </c>
      <c r="B778" s="8">
        <v>6.3</v>
      </c>
      <c r="C778" s="4" t="str">
        <f>IFERROR(__xludf.DUMMYFUNCTION("""COMPUTED_VALUE"""),"John Hillcoat")</f>
        <v>John Hillcoat</v>
      </c>
      <c r="D778" s="31">
        <f t="shared" si="1"/>
        <v>7</v>
      </c>
      <c r="E778" s="4">
        <f t="shared" si="2"/>
        <v>3</v>
      </c>
      <c r="F778" s="15"/>
      <c r="G778" s="4"/>
    </row>
    <row r="779" ht="14.25" customHeight="1">
      <c r="A779" s="8" t="s">
        <v>983</v>
      </c>
      <c r="B779" s="8">
        <v>5.9</v>
      </c>
      <c r="C779" s="4" t="str">
        <f>IFERROR(__xludf.DUMMYFUNCTION("""COMPUTED_VALUE"""),"Marcos Siega")</f>
        <v>Marcos Siega</v>
      </c>
      <c r="D779" s="31">
        <f t="shared" si="1"/>
        <v>4.1</v>
      </c>
      <c r="E779" s="4">
        <f t="shared" si="2"/>
        <v>1</v>
      </c>
      <c r="F779" s="15"/>
      <c r="G779" s="4"/>
    </row>
    <row r="780" ht="14.25" customHeight="1">
      <c r="A780" s="8" t="s">
        <v>1831</v>
      </c>
      <c r="B780" s="8">
        <v>5.9</v>
      </c>
      <c r="C780" s="4" t="str">
        <f>IFERROR(__xludf.DUMMYFUNCTION("""COMPUTED_VALUE"""),"Rachel Talalay")</f>
        <v>Rachel Talalay</v>
      </c>
      <c r="D780" s="31">
        <f t="shared" si="1"/>
        <v>5.05</v>
      </c>
      <c r="E780" s="4">
        <f t="shared" si="2"/>
        <v>2</v>
      </c>
      <c r="F780" s="15"/>
      <c r="G780" s="4"/>
    </row>
    <row r="781" ht="14.25" customHeight="1">
      <c r="A781" s="8" t="s">
        <v>1535</v>
      </c>
      <c r="B781" s="8">
        <v>7.5</v>
      </c>
      <c r="C781" s="4" t="str">
        <f>IFERROR(__xludf.DUMMYFUNCTION("""COMPUTED_VALUE"""),"Jeffrey W. Byrd")</f>
        <v>Jeffrey W. Byrd</v>
      </c>
      <c r="D781" s="31">
        <f t="shared" si="1"/>
        <v>4.1</v>
      </c>
      <c r="E781" s="4">
        <f t="shared" si="2"/>
        <v>1</v>
      </c>
      <c r="F781" s="15"/>
      <c r="G781" s="4"/>
    </row>
    <row r="782" ht="14.25" customHeight="1">
      <c r="A782" s="8" t="s">
        <v>1834</v>
      </c>
      <c r="B782" s="8">
        <v>5.6</v>
      </c>
      <c r="C782" s="4" t="str">
        <f>IFERROR(__xludf.DUMMYFUNCTION("""COMPUTED_VALUE"""),"Atom Egoyan")</f>
        <v>Atom Egoyan</v>
      </c>
      <c r="D782" s="31">
        <f t="shared" si="1"/>
        <v>6.925</v>
      </c>
      <c r="E782" s="4">
        <f t="shared" si="2"/>
        <v>4</v>
      </c>
      <c r="F782" s="15"/>
      <c r="G782" s="4"/>
    </row>
    <row r="783" ht="14.25" customHeight="1">
      <c r="A783" s="8" t="s">
        <v>214</v>
      </c>
      <c r="B783" s="8">
        <v>6.4</v>
      </c>
      <c r="C783" s="4" t="str">
        <f>IFERROR(__xludf.DUMMYFUNCTION("""COMPUTED_VALUE"""),"Robert Towne")</f>
        <v>Robert Towne</v>
      </c>
      <c r="D783" s="31">
        <f t="shared" si="1"/>
        <v>7.2</v>
      </c>
      <c r="E783" s="4">
        <f t="shared" si="2"/>
        <v>1</v>
      </c>
      <c r="F783" s="15"/>
      <c r="G783" s="4"/>
    </row>
    <row r="784" ht="14.25" customHeight="1">
      <c r="A784" s="8" t="s">
        <v>113</v>
      </c>
      <c r="B784" s="8">
        <v>6.3</v>
      </c>
      <c r="C784" s="4" t="str">
        <f>IFERROR(__xludf.DUMMYFUNCTION("""COMPUTED_VALUE"""),"Giuseppe Tornatore")</f>
        <v>Giuseppe Tornatore</v>
      </c>
      <c r="D784" s="31">
        <f t="shared" si="1"/>
        <v>7.8</v>
      </c>
      <c r="E784" s="4">
        <f t="shared" si="2"/>
        <v>1</v>
      </c>
      <c r="F784" s="15"/>
      <c r="G784" s="4"/>
    </row>
    <row r="785" ht="14.25" customHeight="1">
      <c r="A785" s="8" t="s">
        <v>1839</v>
      </c>
      <c r="B785" s="8">
        <v>4.3</v>
      </c>
      <c r="C785" s="4" t="str">
        <f>IFERROR(__xludf.DUMMYFUNCTION("""COMPUTED_VALUE"""),"Werner Herzog")</f>
        <v>Werner Herzog</v>
      </c>
      <c r="D785" s="31">
        <f t="shared" si="1"/>
        <v>7</v>
      </c>
      <c r="E785" s="4">
        <f t="shared" si="2"/>
        <v>2</v>
      </c>
      <c r="F785" s="15"/>
      <c r="G785" s="4"/>
    </row>
    <row r="786" ht="14.25" customHeight="1">
      <c r="A786" s="8" t="s">
        <v>1841</v>
      </c>
      <c r="B786" s="8">
        <v>5.9</v>
      </c>
      <c r="C786" s="4" t="str">
        <f>IFERROR(__xludf.DUMMYFUNCTION("""COMPUTED_VALUE"""),"Teddy Chan")</f>
        <v>Teddy Chan</v>
      </c>
      <c r="D786" s="31">
        <f t="shared" si="1"/>
        <v>6.5</v>
      </c>
      <c r="E786" s="4">
        <f t="shared" si="2"/>
        <v>1</v>
      </c>
      <c r="F786" s="15"/>
      <c r="G786" s="4"/>
    </row>
    <row r="787" ht="14.25" customHeight="1">
      <c r="A787" s="8" t="s">
        <v>1087</v>
      </c>
      <c r="B787" s="8">
        <v>5.5</v>
      </c>
      <c r="C787" s="4" t="str">
        <f>IFERROR(__xludf.DUMMYFUNCTION("""COMPUTED_VALUE"""),"Leonard Nimoy")</f>
        <v>Leonard Nimoy</v>
      </c>
      <c r="D787" s="31">
        <f t="shared" si="1"/>
        <v>6.6</v>
      </c>
      <c r="E787" s="4">
        <f t="shared" si="2"/>
        <v>3</v>
      </c>
      <c r="F787" s="15"/>
      <c r="G787" s="4"/>
    </row>
    <row r="788" ht="14.25" customHeight="1">
      <c r="A788" s="8" t="s">
        <v>1846</v>
      </c>
      <c r="B788" s="8">
        <v>6.2</v>
      </c>
      <c r="C788" s="4" t="str">
        <f>IFERROR(__xludf.DUMMYFUNCTION("""COMPUTED_VALUE"""),"Herbert Ross")</f>
        <v>Herbert Ross</v>
      </c>
      <c r="D788" s="31">
        <f t="shared" si="1"/>
        <v>6.5</v>
      </c>
      <c r="E788" s="4">
        <f t="shared" si="2"/>
        <v>1</v>
      </c>
      <c r="F788" s="15"/>
      <c r="G788" s="4"/>
    </row>
    <row r="789" ht="14.25" customHeight="1">
      <c r="A789" s="8" t="s">
        <v>186</v>
      </c>
      <c r="B789" s="8">
        <v>8.8</v>
      </c>
      <c r="C789" s="4" t="str">
        <f>IFERROR(__xludf.DUMMYFUNCTION("""COMPUTED_VALUE"""),"Bonnie Hunt")</f>
        <v>Bonnie Hunt</v>
      </c>
      <c r="D789" s="31">
        <f t="shared" si="1"/>
        <v>6.9</v>
      </c>
      <c r="E789" s="4">
        <f t="shared" si="2"/>
        <v>1</v>
      </c>
      <c r="F789" s="15"/>
      <c r="G789" s="4"/>
    </row>
    <row r="790" ht="14.25" customHeight="1">
      <c r="A790" s="8" t="s">
        <v>1594</v>
      </c>
      <c r="B790" s="8">
        <v>5.2</v>
      </c>
      <c r="C790" s="4" t="str">
        <f>IFERROR(__xludf.DUMMYFUNCTION("""COMPUTED_VALUE"""),"Neil LaBute")</f>
        <v>Neil LaBute</v>
      </c>
      <c r="D790" s="31">
        <f t="shared" si="1"/>
        <v>6.566666667</v>
      </c>
      <c r="E790" s="4">
        <f t="shared" si="2"/>
        <v>3</v>
      </c>
      <c r="F790" s="15"/>
      <c r="G790" s="4"/>
    </row>
    <row r="791" ht="14.25" customHeight="1">
      <c r="A791" s="8" t="s">
        <v>827</v>
      </c>
      <c r="B791" s="8">
        <v>7.0</v>
      </c>
      <c r="C791" s="4" t="str">
        <f>IFERROR(__xludf.DUMMYFUNCTION("""COMPUTED_VALUE"""),"Grant Heslov")</f>
        <v>Grant Heslov</v>
      </c>
      <c r="D791" s="31">
        <f t="shared" si="1"/>
        <v>6.2</v>
      </c>
      <c r="E791" s="4">
        <f t="shared" si="2"/>
        <v>1</v>
      </c>
      <c r="F791" s="15"/>
      <c r="G791" s="4"/>
    </row>
    <row r="792" ht="14.25" customHeight="1">
      <c r="A792" s="8" t="s">
        <v>1853</v>
      </c>
      <c r="B792" s="8">
        <v>6.6</v>
      </c>
      <c r="C792" s="4" t="str">
        <f>IFERROR(__xludf.DUMMYFUNCTION("""COMPUTED_VALUE"""),"George Gallo")</f>
        <v>George Gallo</v>
      </c>
      <c r="D792" s="31">
        <f t="shared" si="1"/>
        <v>5.95</v>
      </c>
      <c r="E792" s="4">
        <f t="shared" si="2"/>
        <v>2</v>
      </c>
      <c r="F792" s="15"/>
      <c r="G792" s="4"/>
    </row>
    <row r="793" ht="14.25" customHeight="1">
      <c r="A793" s="8" t="s">
        <v>446</v>
      </c>
      <c r="B793" s="8">
        <v>7.3</v>
      </c>
      <c r="C793" s="4" t="str">
        <f>IFERROR(__xludf.DUMMYFUNCTION("""COMPUTED_VALUE"""),"Sidney Lumet")</f>
        <v>Sidney Lumet</v>
      </c>
      <c r="D793" s="31">
        <f t="shared" si="1"/>
        <v>6.525</v>
      </c>
      <c r="E793" s="4">
        <f t="shared" si="2"/>
        <v>4</v>
      </c>
      <c r="F793" s="15"/>
      <c r="G793" s="4"/>
    </row>
    <row r="794" ht="14.25" customHeight="1">
      <c r="A794" s="8" t="s">
        <v>221</v>
      </c>
      <c r="B794" s="8">
        <v>5.6</v>
      </c>
      <c r="C794" s="4" t="str">
        <f>IFERROR(__xludf.DUMMYFUNCTION("""COMPUTED_VALUE"""),"Douglas McGrath")</f>
        <v>Douglas McGrath</v>
      </c>
      <c r="D794" s="31">
        <f t="shared" si="1"/>
        <v>6.4</v>
      </c>
      <c r="E794" s="4">
        <f t="shared" si="2"/>
        <v>3</v>
      </c>
      <c r="F794" s="15"/>
      <c r="G794" s="4"/>
    </row>
    <row r="795" ht="14.25" customHeight="1">
      <c r="A795" s="8" t="s">
        <v>1281</v>
      </c>
      <c r="B795" s="8">
        <v>6.6</v>
      </c>
      <c r="C795" s="4" t="str">
        <f>IFERROR(__xludf.DUMMYFUNCTION("""COMPUTED_VALUE"""),"Kevin Spacey")</f>
        <v>Kevin Spacey</v>
      </c>
      <c r="D795" s="31">
        <f t="shared" si="1"/>
        <v>6.4</v>
      </c>
      <c r="E795" s="4">
        <f t="shared" si="2"/>
        <v>2</v>
      </c>
      <c r="F795" s="15"/>
      <c r="G795" s="4"/>
    </row>
    <row r="796" ht="14.25" customHeight="1">
      <c r="A796" s="8" t="s">
        <v>1861</v>
      </c>
      <c r="B796" s="8">
        <v>5.4</v>
      </c>
      <c r="C796" s="4" t="str">
        <f>IFERROR(__xludf.DUMMYFUNCTION("""COMPUTED_VALUE"""),"Steve Boyum")</f>
        <v>Steve Boyum</v>
      </c>
      <c r="D796" s="31">
        <f t="shared" si="1"/>
        <v>3.9</v>
      </c>
      <c r="E796" s="4">
        <f t="shared" si="2"/>
        <v>1</v>
      </c>
      <c r="F796" s="15"/>
      <c r="G796" s="4"/>
    </row>
    <row r="797" ht="14.25" customHeight="1">
      <c r="A797" s="8" t="s">
        <v>1864</v>
      </c>
      <c r="B797" s="8">
        <v>6.3</v>
      </c>
      <c r="C797" s="4" t="str">
        <f>IFERROR(__xludf.DUMMYFUNCTION("""COMPUTED_VALUE"""),"Richard Williams")</f>
        <v>Richard Williams</v>
      </c>
      <c r="D797" s="31">
        <f t="shared" si="1"/>
        <v>7.2</v>
      </c>
      <c r="E797" s="4">
        <f t="shared" si="2"/>
        <v>1</v>
      </c>
      <c r="F797" s="15"/>
      <c r="G797" s="4"/>
    </row>
    <row r="798" ht="14.25" customHeight="1">
      <c r="A798" s="8" t="s">
        <v>484</v>
      </c>
      <c r="B798" s="8">
        <v>7.9</v>
      </c>
      <c r="C798" s="4" t="str">
        <f>IFERROR(__xludf.DUMMYFUNCTION("""COMPUTED_VALUE"""),"Mary McGuckian")</f>
        <v>Mary McGuckian</v>
      </c>
      <c r="D798" s="31">
        <f t="shared" si="1"/>
        <v>5.1</v>
      </c>
      <c r="E798" s="4">
        <f t="shared" si="2"/>
        <v>1</v>
      </c>
      <c r="F798" s="15"/>
      <c r="G798" s="4"/>
    </row>
    <row r="799" ht="14.25" customHeight="1">
      <c r="A799" s="8" t="s">
        <v>345</v>
      </c>
      <c r="B799" s="8">
        <v>6.3</v>
      </c>
      <c r="C799" s="4" t="str">
        <f>IFERROR(__xludf.DUMMYFUNCTION("""COMPUTED_VALUE"""),"Tony Goldwyn")</f>
        <v>Tony Goldwyn</v>
      </c>
      <c r="D799" s="31">
        <f t="shared" si="1"/>
        <v>6.35</v>
      </c>
      <c r="E799" s="4">
        <f t="shared" si="2"/>
        <v>2</v>
      </c>
      <c r="F799" s="15"/>
      <c r="G799" s="4"/>
    </row>
    <row r="800" ht="14.25" customHeight="1">
      <c r="A800" s="8" t="s">
        <v>781</v>
      </c>
      <c r="B800" s="8">
        <v>6.0</v>
      </c>
      <c r="C800" s="4" t="str">
        <f>IFERROR(__xludf.DUMMYFUNCTION("""COMPUTED_VALUE"""),"Jonathan Newman")</f>
        <v>Jonathan Newman</v>
      </c>
      <c r="D800" s="31">
        <f t="shared" si="1"/>
        <v>5.4</v>
      </c>
      <c r="E800" s="4">
        <f t="shared" si="2"/>
        <v>1</v>
      </c>
      <c r="F800" s="15"/>
      <c r="G800" s="4"/>
    </row>
    <row r="801" ht="14.25" customHeight="1">
      <c r="A801" s="8" t="s">
        <v>1263</v>
      </c>
      <c r="B801" s="8">
        <v>7.2</v>
      </c>
      <c r="C801" s="4" t="str">
        <f>IFERROR(__xludf.DUMMYFUNCTION("""COMPUTED_VALUE"""),"Michael Dinner")</f>
        <v>Michael Dinner</v>
      </c>
      <c r="D801" s="31">
        <f t="shared" si="1"/>
        <v>5.6</v>
      </c>
      <c r="E801" s="4">
        <f t="shared" si="2"/>
        <v>1</v>
      </c>
      <c r="F801" s="15"/>
      <c r="G801" s="4"/>
    </row>
    <row r="802" ht="14.25" customHeight="1">
      <c r="A802" s="8" t="s">
        <v>1873</v>
      </c>
      <c r="B802" s="8">
        <v>5.1</v>
      </c>
      <c r="C802" s="4" t="str">
        <f>IFERROR(__xludf.DUMMYFUNCTION("""COMPUTED_VALUE"""),"Joseph Sargent")</f>
        <v>Joseph Sargent</v>
      </c>
      <c r="D802" s="31">
        <f t="shared" si="1"/>
        <v>2.8</v>
      </c>
      <c r="E802" s="4">
        <f t="shared" si="2"/>
        <v>1</v>
      </c>
      <c r="F802" s="15"/>
      <c r="G802" s="4"/>
    </row>
    <row r="803" ht="14.25" customHeight="1">
      <c r="A803" s="8" t="s">
        <v>722</v>
      </c>
      <c r="B803" s="8">
        <v>7.3</v>
      </c>
      <c r="C803" s="4" t="str">
        <f>IFERROR(__xludf.DUMMYFUNCTION("""COMPUTED_VALUE"""),"Jerry Zaks")</f>
        <v>Jerry Zaks</v>
      </c>
      <c r="D803" s="31">
        <f t="shared" si="1"/>
        <v>6.7</v>
      </c>
      <c r="E803" s="4">
        <f t="shared" si="2"/>
        <v>1</v>
      </c>
      <c r="F803" s="15"/>
      <c r="G803" s="4"/>
    </row>
    <row r="804" ht="14.25" customHeight="1">
      <c r="A804" s="8" t="s">
        <v>1876</v>
      </c>
      <c r="B804" s="8">
        <v>8.0</v>
      </c>
      <c r="C804" s="4" t="str">
        <f>IFERROR(__xludf.DUMMYFUNCTION("""COMPUTED_VALUE"""),"Fred Durst")</f>
        <v>Fred Durst</v>
      </c>
      <c r="D804" s="31">
        <f t="shared" si="1"/>
        <v>5.1</v>
      </c>
      <c r="E804" s="4">
        <f t="shared" si="2"/>
        <v>1</v>
      </c>
      <c r="F804" s="15"/>
      <c r="G804" s="4"/>
    </row>
    <row r="805" ht="14.25" customHeight="1">
      <c r="A805" s="8" t="s">
        <v>526</v>
      </c>
      <c r="B805" s="8">
        <v>6.2</v>
      </c>
      <c r="C805" s="4" t="str">
        <f>IFERROR(__xludf.DUMMYFUNCTION("""COMPUTED_VALUE"""),"Anne Fontaine")</f>
        <v>Anne Fontaine</v>
      </c>
      <c r="D805" s="31">
        <f t="shared" si="1"/>
        <v>6.45</v>
      </c>
      <c r="E805" s="4">
        <f t="shared" si="2"/>
        <v>2</v>
      </c>
      <c r="F805" s="15"/>
      <c r="G805" s="4"/>
    </row>
    <row r="806" ht="14.25" customHeight="1">
      <c r="A806" s="8" t="s">
        <v>1274</v>
      </c>
      <c r="B806" s="8">
        <v>6.0</v>
      </c>
      <c r="C806" s="4" t="str">
        <f>IFERROR(__xludf.DUMMYFUNCTION("""COMPUTED_VALUE"""),"Mira Nair")</f>
        <v>Mira Nair</v>
      </c>
      <c r="D806" s="31">
        <f t="shared" si="1"/>
        <v>6.45</v>
      </c>
      <c r="E806" s="4">
        <f t="shared" si="2"/>
        <v>4</v>
      </c>
      <c r="F806" s="15"/>
      <c r="G806" s="4"/>
    </row>
    <row r="807" ht="14.25" customHeight="1">
      <c r="A807" s="8" t="s">
        <v>781</v>
      </c>
      <c r="B807" s="8">
        <v>6.7</v>
      </c>
      <c r="C807" s="4" t="str">
        <f>IFERROR(__xludf.DUMMYFUNCTION("""COMPUTED_VALUE"""),"Mel Brooks")</f>
        <v>Mel Brooks</v>
      </c>
      <c r="D807" s="31">
        <f t="shared" si="1"/>
        <v>7.633333333</v>
      </c>
      <c r="E807" s="4">
        <f t="shared" si="2"/>
        <v>3</v>
      </c>
      <c r="F807" s="15"/>
      <c r="G807" s="4"/>
    </row>
    <row r="808" ht="14.25" customHeight="1">
      <c r="A808" s="8" t="s">
        <v>734</v>
      </c>
      <c r="B808" s="8">
        <v>8.1</v>
      </c>
      <c r="C808" s="4" t="str">
        <f>IFERROR(__xludf.DUMMYFUNCTION("""COMPUTED_VALUE"""),"Russell Crowe")</f>
        <v>Russell Crowe</v>
      </c>
      <c r="D808" s="31">
        <f t="shared" si="1"/>
        <v>7.1</v>
      </c>
      <c r="E808" s="4">
        <f t="shared" si="2"/>
        <v>1</v>
      </c>
      <c r="F808" s="15"/>
      <c r="G808" s="4"/>
    </row>
    <row r="809" ht="14.25" customHeight="1">
      <c r="A809" s="8" t="s">
        <v>820</v>
      </c>
      <c r="B809" s="8">
        <v>6.4</v>
      </c>
      <c r="C809" s="4" t="str">
        <f>IFERROR(__xludf.DUMMYFUNCTION("""COMPUTED_VALUE"""),"Jessie Nelson")</f>
        <v>Jessie Nelson</v>
      </c>
      <c r="D809" s="31">
        <f t="shared" si="1"/>
        <v>6.65</v>
      </c>
      <c r="E809" s="4">
        <f t="shared" si="2"/>
        <v>2</v>
      </c>
      <c r="F809" s="15"/>
      <c r="G809" s="4"/>
    </row>
    <row r="810" ht="14.25" customHeight="1">
      <c r="A810" s="8" t="s">
        <v>734</v>
      </c>
      <c r="B810" s="8">
        <v>8.0</v>
      </c>
      <c r="C810" s="4" t="str">
        <f>IFERROR(__xludf.DUMMYFUNCTION("""COMPUTED_VALUE"""),"Christopher Spencer")</f>
        <v>Christopher Spencer</v>
      </c>
      <c r="D810" s="31">
        <f t="shared" si="1"/>
        <v>5.6</v>
      </c>
      <c r="E810" s="4">
        <f t="shared" si="2"/>
        <v>1</v>
      </c>
      <c r="F810" s="15"/>
      <c r="G810" s="4"/>
    </row>
    <row r="811" ht="14.25" customHeight="1">
      <c r="A811" s="8" t="s">
        <v>968</v>
      </c>
      <c r="B811" s="8">
        <v>6.3</v>
      </c>
      <c r="C811" s="4" t="str">
        <f>IFERROR(__xludf.DUMMYFUNCTION("""COMPUTED_VALUE"""),"Mike Bigelow")</f>
        <v>Mike Bigelow</v>
      </c>
      <c r="D811" s="31">
        <f t="shared" si="1"/>
        <v>4.6</v>
      </c>
      <c r="E811" s="4">
        <f t="shared" si="2"/>
        <v>1</v>
      </c>
      <c r="F811" s="15"/>
      <c r="G811" s="4"/>
    </row>
    <row r="812" ht="14.25" customHeight="1">
      <c r="A812" s="8" t="s">
        <v>186</v>
      </c>
      <c r="B812" s="8">
        <v>6.4</v>
      </c>
      <c r="C812" s="4" t="str">
        <f>IFERROR(__xludf.DUMMYFUNCTION("""COMPUTED_VALUE"""),"Daniel Sackheim")</f>
        <v>Daniel Sackheim</v>
      </c>
      <c r="D812" s="31">
        <f t="shared" si="1"/>
        <v>5.8</v>
      </c>
      <c r="E812" s="4">
        <f t="shared" si="2"/>
        <v>1</v>
      </c>
      <c r="F812" s="15"/>
      <c r="G812" s="4"/>
    </row>
    <row r="813" ht="14.25" customHeight="1">
      <c r="A813" s="8" t="s">
        <v>1888</v>
      </c>
      <c r="B813" s="8">
        <v>6.6</v>
      </c>
      <c r="C813" s="4" t="str">
        <f>IFERROR(__xludf.DUMMYFUNCTION("""COMPUTED_VALUE"""),"Harry Elfont")</f>
        <v>Harry Elfont</v>
      </c>
      <c r="D813" s="31">
        <f t="shared" si="1"/>
        <v>5.9</v>
      </c>
      <c r="E813" s="4">
        <f t="shared" si="2"/>
        <v>2</v>
      </c>
      <c r="F813" s="15"/>
      <c r="G813" s="4"/>
    </row>
    <row r="814" ht="14.25" customHeight="1">
      <c r="A814" s="8" t="s">
        <v>1734</v>
      </c>
      <c r="B814" s="8">
        <v>6.4</v>
      </c>
      <c r="C814" s="4" t="str">
        <f>IFERROR(__xludf.DUMMYFUNCTION("""COMPUTED_VALUE"""),"Uli Edel")</f>
        <v>Uli Edel</v>
      </c>
      <c r="D814" s="31">
        <f t="shared" si="1"/>
        <v>6.55</v>
      </c>
      <c r="E814" s="4">
        <f t="shared" si="2"/>
        <v>2</v>
      </c>
      <c r="F814" s="15"/>
      <c r="G814" s="4"/>
    </row>
    <row r="815" ht="14.25" customHeight="1">
      <c r="A815" s="8" t="s">
        <v>863</v>
      </c>
      <c r="B815" s="8">
        <v>6.0</v>
      </c>
      <c r="C815" s="4" t="str">
        <f>IFERROR(__xludf.DUMMYFUNCTION("""COMPUTED_VALUE"""),"Fred Dekker")</f>
        <v>Fred Dekker</v>
      </c>
      <c r="D815" s="31">
        <f t="shared" si="1"/>
        <v>3.9</v>
      </c>
      <c r="E815" s="4">
        <f t="shared" si="2"/>
        <v>1</v>
      </c>
      <c r="F815" s="15"/>
      <c r="G815" s="4"/>
    </row>
    <row r="816" ht="14.25" customHeight="1">
      <c r="A816" s="8" t="s">
        <v>401</v>
      </c>
      <c r="B816" s="8">
        <v>6.6</v>
      </c>
      <c r="C816" s="4" t="str">
        <f>IFERROR(__xludf.DUMMYFUNCTION("""COMPUTED_VALUE"""),"Brian Trenchard-Smith")</f>
        <v>Brian Trenchard-Smith</v>
      </c>
      <c r="D816" s="31">
        <f t="shared" si="1"/>
        <v>4.1</v>
      </c>
      <c r="E816" s="4">
        <f t="shared" si="2"/>
        <v>2</v>
      </c>
      <c r="F816" s="15"/>
      <c r="G816" s="4"/>
    </row>
    <row r="817" ht="14.25" customHeight="1">
      <c r="A817" s="8" t="s">
        <v>1896</v>
      </c>
      <c r="B817" s="8">
        <v>5.9</v>
      </c>
      <c r="C817" s="4" t="str">
        <f>IFERROR(__xludf.DUMMYFUNCTION("""COMPUTED_VALUE"""),"Blake Edwards")</f>
        <v>Blake Edwards</v>
      </c>
      <c r="D817" s="31">
        <f t="shared" si="1"/>
        <v>6.2</v>
      </c>
      <c r="E817" s="4">
        <f t="shared" si="2"/>
        <v>1</v>
      </c>
      <c r="F817" s="15"/>
      <c r="G817" s="4"/>
    </row>
    <row r="818" ht="14.25" customHeight="1">
      <c r="A818" s="8" t="s">
        <v>291</v>
      </c>
      <c r="B818" s="8">
        <v>6.4</v>
      </c>
      <c r="C818" s="4" t="str">
        <f>IFERROR(__xludf.DUMMYFUNCTION("""COMPUTED_VALUE"""),"Christian Carion")</f>
        <v>Christian Carion</v>
      </c>
      <c r="D818" s="31">
        <f t="shared" si="1"/>
        <v>7.8</v>
      </c>
      <c r="E818" s="4">
        <f t="shared" si="2"/>
        <v>1</v>
      </c>
      <c r="F818" s="15"/>
      <c r="G818" s="4"/>
    </row>
    <row r="819" ht="14.25" customHeight="1">
      <c r="A819" s="8" t="s">
        <v>1900</v>
      </c>
      <c r="B819" s="8">
        <v>6.3</v>
      </c>
      <c r="C819" s="4" t="str">
        <f>IFERROR(__xludf.DUMMYFUNCTION("""COMPUTED_VALUE"""),"David Palmer")</f>
        <v>David Palmer</v>
      </c>
      <c r="D819" s="31">
        <f t="shared" si="1"/>
        <v>6.1</v>
      </c>
      <c r="E819" s="4">
        <f t="shared" si="2"/>
        <v>1</v>
      </c>
      <c r="F819" s="15"/>
      <c r="G819" s="4"/>
    </row>
    <row r="820" ht="14.25" customHeight="1">
      <c r="A820" s="8" t="s">
        <v>1904</v>
      </c>
      <c r="B820" s="8">
        <v>7.3</v>
      </c>
      <c r="C820" s="4" t="str">
        <f>IFERROR(__xludf.DUMMYFUNCTION("""COMPUTED_VALUE"""),"Rowan Joffe")</f>
        <v>Rowan Joffe</v>
      </c>
      <c r="D820" s="31">
        <f t="shared" si="1"/>
        <v>6.3</v>
      </c>
      <c r="E820" s="4">
        <f t="shared" si="2"/>
        <v>1</v>
      </c>
      <c r="F820" s="15"/>
      <c r="G820" s="4"/>
    </row>
    <row r="821" ht="14.25" customHeight="1">
      <c r="A821" s="8" t="s">
        <v>1127</v>
      </c>
      <c r="B821" s="8">
        <v>6.8</v>
      </c>
      <c r="C821" s="4" t="str">
        <f>IFERROR(__xludf.DUMMYFUNCTION("""COMPUTED_VALUE"""),"John Curran")</f>
        <v>John Curran</v>
      </c>
      <c r="D821" s="31">
        <f t="shared" si="1"/>
        <v>6.45</v>
      </c>
      <c r="E821" s="4">
        <f t="shared" si="2"/>
        <v>2</v>
      </c>
      <c r="F821" s="15"/>
      <c r="G821" s="4"/>
    </row>
    <row r="822" ht="14.25" customHeight="1">
      <c r="A822" s="8" t="s">
        <v>1909</v>
      </c>
      <c r="B822" s="8">
        <v>7.2</v>
      </c>
      <c r="C822" s="4" t="str">
        <f>IFERROR(__xludf.DUMMYFUNCTION("""COMPUTED_VALUE"""),"Laurent Tirard")</f>
        <v>Laurent Tirard</v>
      </c>
      <c r="D822" s="31">
        <f t="shared" si="1"/>
        <v>7.3</v>
      </c>
      <c r="E822" s="4">
        <f t="shared" si="2"/>
        <v>1</v>
      </c>
      <c r="F822" s="15"/>
      <c r="G822" s="4"/>
    </row>
    <row r="823" ht="14.25" customHeight="1">
      <c r="A823" s="8" t="s">
        <v>1912</v>
      </c>
      <c r="B823" s="8">
        <v>5.7</v>
      </c>
      <c r="C823" s="4" t="str">
        <f>IFERROR(__xludf.DUMMYFUNCTION("""COMPUTED_VALUE"""),"Trey Parker")</f>
        <v>Trey Parker</v>
      </c>
      <c r="D823" s="31">
        <f t="shared" si="1"/>
        <v>7.066666667</v>
      </c>
      <c r="E823" s="4">
        <f t="shared" si="2"/>
        <v>3</v>
      </c>
      <c r="F823" s="15"/>
      <c r="G823" s="4"/>
    </row>
    <row r="824" ht="14.25" customHeight="1">
      <c r="A824" s="8" t="s">
        <v>1914</v>
      </c>
      <c r="B824" s="8">
        <v>6.0</v>
      </c>
      <c r="C824" s="4" t="str">
        <f>IFERROR(__xludf.DUMMYFUNCTION("""COMPUTED_VALUE"""),"Stuart Gillard")</f>
        <v>Stuart Gillard</v>
      </c>
      <c r="D824" s="31">
        <f t="shared" si="1"/>
        <v>4.8</v>
      </c>
      <c r="E824" s="4">
        <f t="shared" si="2"/>
        <v>1</v>
      </c>
      <c r="F824" s="15"/>
      <c r="G824" s="4"/>
    </row>
    <row r="825" ht="14.25" customHeight="1">
      <c r="A825" s="8" t="s">
        <v>300</v>
      </c>
      <c r="B825" s="8">
        <v>6.5</v>
      </c>
      <c r="C825" s="4" t="str">
        <f>IFERROR(__xludf.DUMMYFUNCTION("""COMPUTED_VALUE"""),"Katt Shea")</f>
        <v>Katt Shea</v>
      </c>
      <c r="D825" s="31">
        <f t="shared" si="1"/>
        <v>4.6</v>
      </c>
      <c r="E825" s="4">
        <f t="shared" si="2"/>
        <v>1</v>
      </c>
      <c r="F825" s="15"/>
      <c r="G825" s="4"/>
    </row>
    <row r="826" ht="14.25" customHeight="1">
      <c r="A826" s="8" t="s">
        <v>1428</v>
      </c>
      <c r="B826" s="8">
        <v>5.8</v>
      </c>
      <c r="C826" s="4" t="str">
        <f>IFERROR(__xludf.DUMMYFUNCTION("""COMPUTED_VALUE"""),"Joshua Michael Stern")</f>
        <v>Joshua Michael Stern</v>
      </c>
      <c r="D826" s="31">
        <f t="shared" si="1"/>
        <v>6.1</v>
      </c>
      <c r="E826" s="4">
        <f t="shared" si="2"/>
        <v>1</v>
      </c>
      <c r="F826" s="15"/>
      <c r="G826" s="4"/>
    </row>
    <row r="827" ht="14.25" customHeight="1">
      <c r="A827" s="8" t="s">
        <v>1918</v>
      </c>
      <c r="B827" s="8">
        <v>5.8</v>
      </c>
      <c r="C827" s="4" t="str">
        <f>IFERROR(__xludf.DUMMYFUNCTION("""COMPUTED_VALUE"""),"Tomas Alfredson")</f>
        <v>Tomas Alfredson</v>
      </c>
      <c r="D827" s="31">
        <f t="shared" si="1"/>
        <v>7.1</v>
      </c>
      <c r="E827" s="4">
        <f t="shared" si="2"/>
        <v>1</v>
      </c>
      <c r="F827" s="15"/>
      <c r="G827" s="4"/>
    </row>
    <row r="828" ht="14.25" customHeight="1">
      <c r="A828" s="8" t="s">
        <v>1920</v>
      </c>
      <c r="B828" s="8">
        <v>6.7</v>
      </c>
      <c r="C828" s="4" t="str">
        <f>IFERROR(__xludf.DUMMYFUNCTION("""COMPUTED_VALUE"""),"John Duigan")</f>
        <v>John Duigan</v>
      </c>
      <c r="D828" s="31">
        <f t="shared" si="1"/>
        <v>5.8</v>
      </c>
      <c r="E828" s="4">
        <f t="shared" si="2"/>
        <v>1</v>
      </c>
      <c r="F828" s="15"/>
      <c r="G828" s="4"/>
    </row>
    <row r="829" ht="14.25" customHeight="1">
      <c r="A829" s="8" t="s">
        <v>1506</v>
      </c>
      <c r="B829" s="8">
        <v>7.8</v>
      </c>
      <c r="C829" s="4" t="str">
        <f>IFERROR(__xludf.DUMMYFUNCTION("""COMPUTED_VALUE"""),"Colin Higgins")</f>
        <v>Colin Higgins</v>
      </c>
      <c r="D829" s="31">
        <f t="shared" si="1"/>
        <v>5.8</v>
      </c>
      <c r="E829" s="4">
        <f t="shared" si="2"/>
        <v>1</v>
      </c>
      <c r="F829" s="15"/>
      <c r="G829" s="4"/>
    </row>
    <row r="830" ht="14.25" customHeight="1">
      <c r="A830" s="8" t="s">
        <v>1023</v>
      </c>
      <c r="B830" s="8">
        <v>5.6</v>
      </c>
      <c r="C830" s="4" t="str">
        <f>IFERROR(__xludf.DUMMYFUNCTION("""COMPUTED_VALUE"""),"Jim Sonzero")</f>
        <v>Jim Sonzero</v>
      </c>
      <c r="D830" s="31">
        <f t="shared" si="1"/>
        <v>4.7</v>
      </c>
      <c r="E830" s="4">
        <f t="shared" si="2"/>
        <v>1</v>
      </c>
      <c r="F830" s="15"/>
      <c r="G830" s="4"/>
    </row>
    <row r="831" ht="14.25" customHeight="1">
      <c r="A831" s="8" t="s">
        <v>722</v>
      </c>
      <c r="B831" s="8">
        <v>5.8</v>
      </c>
      <c r="C831" s="4" t="str">
        <f>IFERROR(__xludf.DUMMYFUNCTION("""COMPUTED_VALUE"""),"Penelope Spheeris")</f>
        <v>Penelope Spheeris</v>
      </c>
      <c r="D831" s="31">
        <f t="shared" si="1"/>
        <v>7</v>
      </c>
      <c r="E831" s="4">
        <f t="shared" si="2"/>
        <v>1</v>
      </c>
      <c r="F831" s="15"/>
      <c r="G831" s="4"/>
    </row>
    <row r="832" ht="14.25" customHeight="1">
      <c r="A832" s="8" t="s">
        <v>552</v>
      </c>
      <c r="B832" s="8">
        <v>7.4</v>
      </c>
      <c r="C832" s="4" t="str">
        <f>IFERROR(__xludf.DUMMYFUNCTION("""COMPUTED_VALUE"""),"Jeff Tremaine")</f>
        <v>Jeff Tremaine</v>
      </c>
      <c r="D832" s="31">
        <f t="shared" si="1"/>
        <v>6.766666667</v>
      </c>
      <c r="E832" s="4">
        <f t="shared" si="2"/>
        <v>3</v>
      </c>
      <c r="F832" s="15"/>
      <c r="G832" s="4"/>
    </row>
    <row r="833" ht="14.25" customHeight="1">
      <c r="A833" s="8" t="s">
        <v>1928</v>
      </c>
      <c r="B833" s="8">
        <v>6.9</v>
      </c>
      <c r="C833" s="4" t="str">
        <f>IFERROR(__xludf.DUMMYFUNCTION("""COMPUTED_VALUE"""),"Jeannot Szwarc")</f>
        <v>Jeannot Szwarc</v>
      </c>
      <c r="D833" s="31">
        <f t="shared" si="1"/>
        <v>5.7</v>
      </c>
      <c r="E833" s="4">
        <f t="shared" si="2"/>
        <v>1</v>
      </c>
      <c r="F833" s="15"/>
      <c r="G833" s="4"/>
    </row>
    <row r="834" ht="14.25" customHeight="1">
      <c r="A834" s="8" t="s">
        <v>1931</v>
      </c>
      <c r="B834" s="8">
        <v>5.5</v>
      </c>
      <c r="C834" s="4" t="str">
        <f>IFERROR(__xludf.DUMMYFUNCTION("""COMPUTED_VALUE"""),"Steve McQueen")</f>
        <v>Steve McQueen</v>
      </c>
      <c r="D834" s="31">
        <f t="shared" si="1"/>
        <v>7.7</v>
      </c>
      <c r="E834" s="4">
        <f t="shared" si="2"/>
        <v>2</v>
      </c>
      <c r="F834" s="15"/>
      <c r="G834" s="4"/>
    </row>
    <row r="835" ht="14.25" customHeight="1">
      <c r="A835" s="8" t="s">
        <v>1933</v>
      </c>
      <c r="B835" s="8">
        <v>6.3</v>
      </c>
      <c r="C835" s="4" t="str">
        <f>IFERROR(__xludf.DUMMYFUNCTION("""COMPUTED_VALUE"""),"Thea Sharrock")</f>
        <v>Thea Sharrock</v>
      </c>
      <c r="D835" s="31">
        <f t="shared" si="1"/>
        <v>7.6</v>
      </c>
      <c r="E835" s="4">
        <f t="shared" si="2"/>
        <v>1</v>
      </c>
      <c r="F835" s="15"/>
      <c r="G835" s="4"/>
    </row>
    <row r="836" ht="14.25" customHeight="1">
      <c r="A836" s="8" t="s">
        <v>1936</v>
      </c>
      <c r="B836" s="8">
        <v>4.7</v>
      </c>
      <c r="C836" s="4" t="str">
        <f>IFERROR(__xludf.DUMMYFUNCTION("""COMPUTED_VALUE"""),"Jon Lucas")</f>
        <v>Jon Lucas</v>
      </c>
      <c r="D836" s="31">
        <f t="shared" si="1"/>
        <v>6.3</v>
      </c>
      <c r="E836" s="4">
        <f t="shared" si="2"/>
        <v>2</v>
      </c>
      <c r="F836" s="15"/>
      <c r="G836" s="4"/>
    </row>
    <row r="837" ht="14.25" customHeight="1">
      <c r="A837" s="8" t="s">
        <v>1939</v>
      </c>
      <c r="B837" s="8">
        <v>5.6</v>
      </c>
      <c r="C837" s="4" t="str">
        <f>IFERROR(__xludf.DUMMYFUNCTION("""COMPUTED_VALUE"""),"Aaron Seltzer")</f>
        <v>Aaron Seltzer</v>
      </c>
      <c r="D837" s="31">
        <f t="shared" si="1"/>
        <v>2.7</v>
      </c>
      <c r="E837" s="4">
        <f t="shared" si="2"/>
        <v>1</v>
      </c>
      <c r="F837" s="15"/>
      <c r="G837" s="4"/>
    </row>
    <row r="838" ht="14.25" customHeight="1">
      <c r="A838" s="8" t="s">
        <v>306</v>
      </c>
      <c r="B838" s="8">
        <v>6.4</v>
      </c>
      <c r="C838" s="4" t="str">
        <f>IFERROR(__xludf.DUMMYFUNCTION("""COMPUTED_VALUE"""),"Robin Budd")</f>
        <v>Robin Budd</v>
      </c>
      <c r="D838" s="31">
        <f t="shared" si="1"/>
        <v>5.8</v>
      </c>
      <c r="E838" s="4">
        <f t="shared" si="2"/>
        <v>1</v>
      </c>
      <c r="F838" s="15"/>
      <c r="G838" s="4"/>
    </row>
    <row r="839" ht="14.25" customHeight="1">
      <c r="A839" s="8" t="s">
        <v>1376</v>
      </c>
      <c r="B839" s="8">
        <v>4.2</v>
      </c>
      <c r="C839" s="4" t="str">
        <f>IFERROR(__xludf.DUMMYFUNCTION("""COMPUTED_VALUE"""),"Ava DuVernay")</f>
        <v>Ava DuVernay</v>
      </c>
      <c r="D839" s="31">
        <f t="shared" si="1"/>
        <v>7</v>
      </c>
      <c r="E839" s="4">
        <f t="shared" si="2"/>
        <v>2</v>
      </c>
      <c r="F839" s="15"/>
      <c r="G839" s="4"/>
    </row>
    <row r="840" ht="14.25" customHeight="1">
      <c r="A840" s="8" t="s">
        <v>1947</v>
      </c>
      <c r="B840" s="8">
        <v>6.4</v>
      </c>
      <c r="C840" s="4" t="str">
        <f>IFERROR(__xludf.DUMMYFUNCTION("""COMPUTED_VALUE"""),"Steve Trenbirth")</f>
        <v>Steve Trenbirth</v>
      </c>
      <c r="D840" s="31">
        <f t="shared" si="1"/>
        <v>5.4</v>
      </c>
      <c r="E840" s="4">
        <f t="shared" si="2"/>
        <v>1</v>
      </c>
      <c r="F840" s="15"/>
      <c r="G840" s="4"/>
    </row>
    <row r="841" ht="14.25" customHeight="1">
      <c r="A841" s="8" t="s">
        <v>1700</v>
      </c>
      <c r="B841" s="8">
        <v>7.7</v>
      </c>
      <c r="C841" s="4" t="str">
        <f>IFERROR(__xludf.DUMMYFUNCTION("""COMPUTED_VALUE"""),"Mennan Yapo")</f>
        <v>Mennan Yapo</v>
      </c>
      <c r="D841" s="31">
        <f t="shared" si="1"/>
        <v>5.9</v>
      </c>
      <c r="E841" s="4">
        <f t="shared" si="2"/>
        <v>1</v>
      </c>
      <c r="F841" s="15"/>
      <c r="G841" s="4"/>
    </row>
    <row r="842" ht="14.25" customHeight="1">
      <c r="A842" s="8" t="s">
        <v>164</v>
      </c>
      <c r="B842" s="8">
        <v>6.7</v>
      </c>
      <c r="C842" s="4" t="str">
        <f>IFERROR(__xludf.DUMMYFUNCTION("""COMPUTED_VALUE"""),"Jun Falkenstein")</f>
        <v>Jun Falkenstein</v>
      </c>
      <c r="D842" s="31">
        <f t="shared" si="1"/>
        <v>6.3</v>
      </c>
      <c r="E842" s="4">
        <f t="shared" si="2"/>
        <v>1</v>
      </c>
      <c r="F842" s="15"/>
      <c r="G842" s="4"/>
    </row>
    <row r="843" ht="14.25" customHeight="1">
      <c r="A843" s="8" t="s">
        <v>1876</v>
      </c>
      <c r="B843" s="8">
        <v>7.7</v>
      </c>
      <c r="C843" s="4" t="str">
        <f>IFERROR(__xludf.DUMMYFUNCTION("""COMPUTED_VALUE"""),"Tom McCarthy")</f>
        <v>Tom McCarthy</v>
      </c>
      <c r="D843" s="31">
        <f t="shared" si="1"/>
        <v>7.9</v>
      </c>
      <c r="E843" s="4">
        <f t="shared" si="2"/>
        <v>2</v>
      </c>
      <c r="F843" s="15"/>
      <c r="G843" s="4"/>
    </row>
    <row r="844" ht="14.25" customHeight="1">
      <c r="A844" s="8" t="s">
        <v>1776</v>
      </c>
      <c r="B844" s="8">
        <v>5.7</v>
      </c>
      <c r="C844" s="4" t="str">
        <f>IFERROR(__xludf.DUMMYFUNCTION("""COMPUTED_VALUE"""),"Takashi Shimizu")</f>
        <v>Takashi Shimizu</v>
      </c>
      <c r="D844" s="31">
        <f t="shared" si="1"/>
        <v>5.45</v>
      </c>
      <c r="E844" s="4">
        <f t="shared" si="2"/>
        <v>2</v>
      </c>
      <c r="F844" s="15"/>
      <c r="G844" s="4"/>
    </row>
    <row r="845" ht="14.25" customHeight="1">
      <c r="A845" s="8" t="s">
        <v>1957</v>
      </c>
      <c r="B845" s="8">
        <v>7.6</v>
      </c>
      <c r="C845" s="4" t="str">
        <f>IFERROR(__xludf.DUMMYFUNCTION("""COMPUTED_VALUE"""),"Anton Corbijn")</f>
        <v>Anton Corbijn</v>
      </c>
      <c r="D845" s="31">
        <f t="shared" si="1"/>
        <v>6.933333333</v>
      </c>
      <c r="E845" s="4">
        <f t="shared" si="2"/>
        <v>3</v>
      </c>
      <c r="F845" s="15"/>
      <c r="G845" s="4"/>
    </row>
    <row r="846" ht="14.25" customHeight="1">
      <c r="A846" s="8" t="s">
        <v>1364</v>
      </c>
      <c r="B846" s="8">
        <v>6.4</v>
      </c>
      <c r="C846" s="4" t="str">
        <f>IFERROR(__xludf.DUMMYFUNCTION("""COMPUTED_VALUE"""),"Gregory Nava")</f>
        <v>Gregory Nava</v>
      </c>
      <c r="D846" s="31">
        <f t="shared" si="1"/>
        <v>6.7</v>
      </c>
      <c r="E846" s="4">
        <f t="shared" si="2"/>
        <v>1</v>
      </c>
      <c r="F846" s="15"/>
      <c r="G846" s="4"/>
    </row>
    <row r="847" ht="14.25" customHeight="1">
      <c r="A847" s="8" t="s">
        <v>95</v>
      </c>
      <c r="B847" s="8">
        <v>5.6</v>
      </c>
      <c r="C847" s="4" t="str">
        <f>IFERROR(__xludf.DUMMYFUNCTION("""COMPUTED_VALUE"""),"John Patrick Shanley")</f>
        <v>John Patrick Shanley</v>
      </c>
      <c r="D847" s="31">
        <f t="shared" si="1"/>
        <v>7.5</v>
      </c>
      <c r="E847" s="4">
        <f t="shared" si="2"/>
        <v>1</v>
      </c>
      <c r="F847" s="15"/>
      <c r="G847" s="4"/>
    </row>
    <row r="848" ht="14.25" customHeight="1">
      <c r="A848" s="8" t="s">
        <v>1962</v>
      </c>
      <c r="B848" s="8">
        <v>6.8</v>
      </c>
      <c r="C848" s="4" t="str">
        <f>IFERROR(__xludf.DUMMYFUNCTION("""COMPUTED_VALUE"""),"Steve Beck")</f>
        <v>Steve Beck</v>
      </c>
      <c r="D848" s="31">
        <f t="shared" si="1"/>
        <v>5.5</v>
      </c>
      <c r="E848" s="4">
        <f t="shared" si="2"/>
        <v>2</v>
      </c>
      <c r="F848" s="15"/>
      <c r="G848" s="4"/>
    </row>
    <row r="849" ht="14.25" customHeight="1">
      <c r="A849" s="8" t="s">
        <v>1021</v>
      </c>
      <c r="B849" s="8">
        <v>2.4</v>
      </c>
      <c r="C849" s="4" t="str">
        <f>IFERROR(__xludf.DUMMYFUNCTION("""COMPUTED_VALUE"""),"Todd Strauss-Schulson")</f>
        <v>Todd Strauss-Schulson</v>
      </c>
      <c r="D849" s="31">
        <f t="shared" si="1"/>
        <v>6.3</v>
      </c>
      <c r="E849" s="4">
        <f t="shared" si="2"/>
        <v>1</v>
      </c>
      <c r="F849" s="15"/>
      <c r="G849" s="4"/>
    </row>
    <row r="850" ht="14.25" customHeight="1">
      <c r="A850" s="8" t="s">
        <v>1675</v>
      </c>
      <c r="B850" s="8">
        <v>6.2</v>
      </c>
      <c r="C850" s="4" t="str">
        <f>IFERROR(__xludf.DUMMYFUNCTION("""COMPUTED_VALUE"""),"John McNaughton")</f>
        <v>John McNaughton</v>
      </c>
      <c r="D850" s="31">
        <f t="shared" si="1"/>
        <v>6.5</v>
      </c>
      <c r="E850" s="4">
        <f t="shared" si="2"/>
        <v>1</v>
      </c>
      <c r="F850" s="15"/>
      <c r="G850" s="4"/>
    </row>
    <row r="851" ht="14.25" customHeight="1">
      <c r="A851" s="8" t="s">
        <v>1205</v>
      </c>
      <c r="B851" s="8">
        <v>5.9</v>
      </c>
      <c r="C851" s="4" t="str">
        <f>IFERROR(__xludf.DUMMYFUNCTION("""COMPUTED_VALUE"""),"Eric Valette")</f>
        <v>Eric Valette</v>
      </c>
      <c r="D851" s="31">
        <f t="shared" si="1"/>
        <v>3.9</v>
      </c>
      <c r="E851" s="4">
        <f t="shared" si="2"/>
        <v>1</v>
      </c>
      <c r="F851" s="15"/>
      <c r="G851" s="4"/>
    </row>
    <row r="852" ht="14.25" customHeight="1">
      <c r="A852" s="8" t="s">
        <v>1289</v>
      </c>
      <c r="B852" s="8">
        <v>7.1</v>
      </c>
      <c r="C852" s="4" t="str">
        <f>IFERROR(__xludf.DUMMYFUNCTION("""COMPUTED_VALUE"""),"Andrew Fleming")</f>
        <v>Andrew Fleming</v>
      </c>
      <c r="D852" s="31">
        <f t="shared" si="1"/>
        <v>6.15</v>
      </c>
      <c r="E852" s="4">
        <f t="shared" si="2"/>
        <v>4</v>
      </c>
      <c r="F852" s="15"/>
      <c r="G852" s="4"/>
    </row>
    <row r="853" ht="14.25" customHeight="1">
      <c r="A853" s="8" t="s">
        <v>159</v>
      </c>
      <c r="B853" s="8">
        <v>7.6</v>
      </c>
      <c r="C853" s="4" t="str">
        <f>IFERROR(__xludf.DUMMYFUNCTION("""COMPUTED_VALUE"""),"Michael Spierig")</f>
        <v>Michael Spierig</v>
      </c>
      <c r="D853" s="31">
        <f t="shared" si="1"/>
        <v>6.5</v>
      </c>
      <c r="E853" s="4">
        <f t="shared" si="2"/>
        <v>1</v>
      </c>
      <c r="F853" s="15"/>
      <c r="G853" s="4"/>
    </row>
    <row r="854" ht="14.25" customHeight="1">
      <c r="A854" s="8" t="s">
        <v>1747</v>
      </c>
      <c r="B854" s="8">
        <v>5.5</v>
      </c>
      <c r="C854" s="4" t="str">
        <f>IFERROR(__xludf.DUMMYFUNCTION("""COMPUTED_VALUE"""),"Jim Field Smith")</f>
        <v>Jim Field Smith</v>
      </c>
      <c r="D854" s="31">
        <f t="shared" si="1"/>
        <v>6.4</v>
      </c>
      <c r="E854" s="4">
        <f t="shared" si="2"/>
        <v>1</v>
      </c>
      <c r="F854" s="15"/>
      <c r="G854" s="4"/>
    </row>
    <row r="855" ht="14.25" customHeight="1">
      <c r="A855" s="8" t="s">
        <v>1976</v>
      </c>
      <c r="B855" s="8">
        <v>7.0</v>
      </c>
      <c r="C855" s="4" t="str">
        <f>IFERROR(__xludf.DUMMYFUNCTION("""COMPUTED_VALUE"""),"Thomas Bezucha")</f>
        <v>Thomas Bezucha</v>
      </c>
      <c r="D855" s="31">
        <f t="shared" si="1"/>
        <v>6.05</v>
      </c>
      <c r="E855" s="4">
        <f t="shared" si="2"/>
        <v>2</v>
      </c>
      <c r="F855" s="15"/>
      <c r="G855" s="4"/>
    </row>
    <row r="856" ht="14.25" customHeight="1">
      <c r="A856" s="8" t="s">
        <v>1506</v>
      </c>
      <c r="B856" s="8">
        <v>7.1</v>
      </c>
      <c r="C856" s="4" t="str">
        <f>IFERROR(__xludf.DUMMYFUNCTION("""COMPUTED_VALUE"""),"William Brent Bell")</f>
        <v>William Brent Bell</v>
      </c>
      <c r="D856" s="31">
        <f t="shared" si="1"/>
        <v>5.1</v>
      </c>
      <c r="E856" s="4">
        <f t="shared" si="2"/>
        <v>3</v>
      </c>
      <c r="F856" s="15"/>
      <c r="G856" s="4"/>
    </row>
    <row r="857" ht="14.25" customHeight="1">
      <c r="A857" s="8" t="s">
        <v>1258</v>
      </c>
      <c r="B857" s="8">
        <v>7.4</v>
      </c>
      <c r="C857" s="4" t="str">
        <f>IFERROR(__xludf.DUMMYFUNCTION("""COMPUTED_VALUE"""),"Anthony Bell")</f>
        <v>Anthony Bell</v>
      </c>
      <c r="D857" s="31">
        <f t="shared" si="1"/>
        <v>5.3</v>
      </c>
      <c r="E857" s="4">
        <f t="shared" si="2"/>
        <v>1</v>
      </c>
      <c r="F857" s="15"/>
      <c r="G857" s="4"/>
    </row>
    <row r="858" ht="14.25" customHeight="1">
      <c r="A858" s="8" t="s">
        <v>1980</v>
      </c>
      <c r="B858" s="8">
        <v>7.6</v>
      </c>
      <c r="C858" s="4" t="str">
        <f>IFERROR(__xludf.DUMMYFUNCTION("""COMPUTED_VALUE"""),"Henry Joost")</f>
        <v>Henry Joost</v>
      </c>
      <c r="D858" s="31">
        <f t="shared" si="1"/>
        <v>5.833333333</v>
      </c>
      <c r="E858" s="4">
        <f t="shared" si="2"/>
        <v>3</v>
      </c>
      <c r="F858" s="15"/>
      <c r="G858" s="4"/>
    </row>
    <row r="859" ht="14.25" customHeight="1">
      <c r="A859" s="8" t="s">
        <v>1130</v>
      </c>
      <c r="B859" s="8">
        <v>5.9</v>
      </c>
      <c r="C859" s="4" t="str">
        <f>IFERROR(__xludf.DUMMYFUNCTION("""COMPUTED_VALUE"""),"Alfred Hitchcock")</f>
        <v>Alfred Hitchcock</v>
      </c>
      <c r="D859" s="31">
        <f t="shared" si="1"/>
        <v>8.5</v>
      </c>
      <c r="E859" s="4">
        <f t="shared" si="2"/>
        <v>1</v>
      </c>
      <c r="F859" s="15"/>
      <c r="G859" s="4"/>
    </row>
    <row r="860" ht="14.25" customHeight="1">
      <c r="A860" s="8" t="s">
        <v>1985</v>
      </c>
      <c r="B860" s="8">
        <v>5.9</v>
      </c>
      <c r="C860" s="4" t="str">
        <f>IFERROR(__xludf.DUMMYFUNCTION("""COMPUTED_VALUE"""),"Shana Feste")</f>
        <v>Shana Feste</v>
      </c>
      <c r="D860" s="31">
        <f t="shared" si="1"/>
        <v>6.433333333</v>
      </c>
      <c r="E860" s="4">
        <f t="shared" si="2"/>
        <v>3</v>
      </c>
      <c r="F860" s="15"/>
      <c r="G860" s="4"/>
    </row>
    <row r="861" ht="14.25" customHeight="1">
      <c r="A861" s="8" t="s">
        <v>168</v>
      </c>
      <c r="B861" s="8">
        <v>8.0</v>
      </c>
      <c r="C861" s="4" t="str">
        <f>IFERROR(__xludf.DUMMYFUNCTION("""COMPUTED_VALUE"""),"Steve Rash")</f>
        <v>Steve Rash</v>
      </c>
      <c r="D861" s="31">
        <f t="shared" si="1"/>
        <v>5.25</v>
      </c>
      <c r="E861" s="4">
        <f t="shared" si="2"/>
        <v>2</v>
      </c>
      <c r="F861" s="15"/>
      <c r="G861" s="4"/>
    </row>
    <row r="862" ht="14.25" customHeight="1">
      <c r="A862" s="8" t="s">
        <v>961</v>
      </c>
      <c r="B862" s="8">
        <v>7.4</v>
      </c>
      <c r="C862" s="4" t="str">
        <f>IFERROR(__xludf.DUMMYFUNCTION("""COMPUTED_VALUE"""),"Mike Binder")</f>
        <v>Mike Binder</v>
      </c>
      <c r="D862" s="31">
        <f t="shared" si="1"/>
        <v>7</v>
      </c>
      <c r="E862" s="4">
        <f t="shared" si="2"/>
        <v>3</v>
      </c>
      <c r="F862" s="15"/>
      <c r="G862" s="4"/>
    </row>
    <row r="863" ht="14.25" customHeight="1">
      <c r="A863" s="8" t="s">
        <v>490</v>
      </c>
      <c r="B863" s="8">
        <v>5.8</v>
      </c>
      <c r="C863" s="4" t="str">
        <f>IFERROR(__xludf.DUMMYFUNCTION("""COMPUTED_VALUE"""),"Michael J. Bassett")</f>
        <v>Michael J. Bassett</v>
      </c>
      <c r="D863" s="31">
        <f t="shared" si="1"/>
        <v>5</v>
      </c>
      <c r="E863" s="4">
        <f t="shared" si="2"/>
        <v>1</v>
      </c>
      <c r="F863" s="15"/>
      <c r="G863" s="4"/>
    </row>
    <row r="864" ht="14.25" customHeight="1">
      <c r="A864" s="8" t="s">
        <v>1992</v>
      </c>
      <c r="B864" s="8">
        <v>6.3</v>
      </c>
      <c r="C864" s="4" t="str">
        <f>IFERROR(__xludf.DUMMYFUNCTION("""COMPUTED_VALUE"""),"Frank Nissen")</f>
        <v>Frank Nissen</v>
      </c>
      <c r="D864" s="31">
        <f t="shared" si="1"/>
        <v>6.4</v>
      </c>
      <c r="E864" s="4">
        <f t="shared" si="2"/>
        <v>1</v>
      </c>
      <c r="F864" s="15"/>
      <c r="G864" s="4"/>
    </row>
    <row r="865" ht="14.25" customHeight="1">
      <c r="A865" s="8" t="s">
        <v>1349</v>
      </c>
      <c r="B865" s="8">
        <v>5.7</v>
      </c>
      <c r="C865" s="4" t="str">
        <f>IFERROR(__xludf.DUMMYFUNCTION("""COMPUTED_VALUE"""),"Stephen Chow")</f>
        <v>Stephen Chow</v>
      </c>
      <c r="D865" s="31">
        <f t="shared" si="1"/>
        <v>7.55</v>
      </c>
      <c r="E865" s="4">
        <f t="shared" si="2"/>
        <v>2</v>
      </c>
      <c r="F865" s="15"/>
      <c r="G865" s="4"/>
    </row>
    <row r="866" ht="14.25" customHeight="1">
      <c r="A866" s="8" t="s">
        <v>1996</v>
      </c>
      <c r="B866" s="8">
        <v>5.1</v>
      </c>
      <c r="C866" s="4" t="str">
        <f>IFERROR(__xludf.DUMMYFUNCTION("""COMPUTED_VALUE"""),"Peter Hastings")</f>
        <v>Peter Hastings</v>
      </c>
      <c r="D866" s="31">
        <f t="shared" si="1"/>
        <v>4</v>
      </c>
      <c r="E866" s="4">
        <f t="shared" si="2"/>
        <v>1</v>
      </c>
      <c r="F866" s="15"/>
      <c r="G866" s="4"/>
    </row>
    <row r="867" ht="14.25" customHeight="1">
      <c r="A867" s="8" t="s">
        <v>1999</v>
      </c>
      <c r="B867" s="8">
        <v>7.6</v>
      </c>
      <c r="C867" s="4" t="str">
        <f>IFERROR(__xludf.DUMMYFUNCTION("""COMPUTED_VALUE"""),"Paul Abascal")</f>
        <v>Paul Abascal</v>
      </c>
      <c r="D867" s="31">
        <f t="shared" si="1"/>
        <v>5.8</v>
      </c>
      <c r="E867" s="4">
        <f t="shared" si="2"/>
        <v>1</v>
      </c>
      <c r="F867" s="15"/>
      <c r="G867" s="4"/>
    </row>
    <row r="868" ht="14.25" customHeight="1">
      <c r="A868" s="8" t="s">
        <v>2001</v>
      </c>
      <c r="B868" s="8">
        <v>6.4</v>
      </c>
      <c r="C868" s="4" t="str">
        <f>IFERROR(__xludf.DUMMYFUNCTION("""COMPUTED_VALUE"""),"Chris Koch")</f>
        <v>Chris Koch</v>
      </c>
      <c r="D868" s="31">
        <f t="shared" si="1"/>
        <v>5.25</v>
      </c>
      <c r="E868" s="4">
        <f t="shared" si="2"/>
        <v>2</v>
      </c>
      <c r="F868" s="15"/>
      <c r="G868" s="4"/>
    </row>
    <row r="869" ht="14.25" customHeight="1">
      <c r="A869" s="8" t="s">
        <v>2003</v>
      </c>
      <c r="B869" s="8">
        <v>7.4</v>
      </c>
      <c r="C869" s="4" t="str">
        <f>IFERROR(__xludf.DUMMYFUNCTION("""COMPUTED_VALUE"""),"Amy Heckerling")</f>
        <v>Amy Heckerling</v>
      </c>
      <c r="D869" s="31">
        <f t="shared" si="1"/>
        <v>5.733333333</v>
      </c>
      <c r="E869" s="4">
        <f t="shared" si="2"/>
        <v>3</v>
      </c>
      <c r="F869" s="15"/>
      <c r="G869" s="4"/>
    </row>
    <row r="870" ht="14.25" customHeight="1">
      <c r="A870" s="8" t="s">
        <v>208</v>
      </c>
      <c r="B870" s="8">
        <v>8.2</v>
      </c>
      <c r="C870" s="4" t="str">
        <f>IFERROR(__xludf.DUMMYFUNCTION("""COMPUTED_VALUE"""),"George Stevens")</f>
        <v>George Stevens</v>
      </c>
      <c r="D870" s="31">
        <f t="shared" si="1"/>
        <v>6.6</v>
      </c>
      <c r="E870" s="4">
        <f t="shared" si="2"/>
        <v>1</v>
      </c>
      <c r="F870" s="15"/>
      <c r="G870" s="4"/>
    </row>
    <row r="871" ht="14.25" customHeight="1">
      <c r="A871" s="8" t="s">
        <v>2007</v>
      </c>
      <c r="B871" s="8">
        <v>6.5</v>
      </c>
      <c r="C871" s="4" t="str">
        <f>IFERROR(__xludf.DUMMYFUNCTION("""COMPUTED_VALUE"""),"Mark Mylod")</f>
        <v>Mark Mylod</v>
      </c>
      <c r="D871" s="31">
        <f t="shared" si="1"/>
        <v>6</v>
      </c>
      <c r="E871" s="4">
        <f t="shared" si="2"/>
        <v>1</v>
      </c>
      <c r="F871" s="15"/>
      <c r="G871" s="4"/>
    </row>
    <row r="872" ht="14.25" customHeight="1">
      <c r="A872" s="8" t="s">
        <v>2010</v>
      </c>
      <c r="B872" s="8">
        <v>5.5</v>
      </c>
      <c r="C872" s="4" t="str">
        <f>IFERROR(__xludf.DUMMYFUNCTION("""COMPUTED_VALUE"""),"James Mather")</f>
        <v>James Mather</v>
      </c>
      <c r="D872" s="31">
        <f t="shared" si="1"/>
        <v>6.1</v>
      </c>
      <c r="E872" s="4">
        <f t="shared" si="2"/>
        <v>1</v>
      </c>
      <c r="F872" s="15"/>
      <c r="G872" s="4"/>
    </row>
    <row r="873" ht="14.25" customHeight="1">
      <c r="A873" s="8" t="s">
        <v>1428</v>
      </c>
      <c r="B873" s="8">
        <v>6.5</v>
      </c>
      <c r="C873" s="4" t="str">
        <f>IFERROR(__xludf.DUMMYFUNCTION("""COMPUTED_VALUE"""),"Michael O. Sajbel")</f>
        <v>Michael O. Sajbel</v>
      </c>
      <c r="D873" s="31">
        <f t="shared" si="1"/>
        <v>6.3</v>
      </c>
      <c r="E873" s="4">
        <f t="shared" si="2"/>
        <v>1</v>
      </c>
      <c r="F873" s="15"/>
      <c r="G873" s="4"/>
    </row>
    <row r="874" ht="14.25" customHeight="1">
      <c r="A874" s="8" t="s">
        <v>2014</v>
      </c>
      <c r="B874" s="8">
        <v>5.6</v>
      </c>
      <c r="C874" s="4" t="str">
        <f>IFERROR(__xludf.DUMMYFUNCTION("""COMPUTED_VALUE"""),"Charles T. Kanganis")</f>
        <v>Charles T. Kanganis</v>
      </c>
      <c r="D874" s="31">
        <f t="shared" si="1"/>
        <v>4.3</v>
      </c>
      <c r="E874" s="4">
        <f t="shared" si="2"/>
        <v>1</v>
      </c>
      <c r="F874" s="15"/>
      <c r="G874" s="4"/>
    </row>
    <row r="875" ht="14.25" customHeight="1">
      <c r="A875" s="8" t="s">
        <v>85</v>
      </c>
      <c r="B875" s="8">
        <v>4.6</v>
      </c>
      <c r="C875" s="4" t="str">
        <f>IFERROR(__xludf.DUMMYFUNCTION("""COMPUTED_VALUE"""),"Damon Santostefano")</f>
        <v>Damon Santostefano</v>
      </c>
      <c r="D875" s="31">
        <f t="shared" si="1"/>
        <v>6.1</v>
      </c>
      <c r="E875" s="4">
        <f t="shared" si="2"/>
        <v>1</v>
      </c>
      <c r="F875" s="15"/>
      <c r="G875" s="4"/>
    </row>
    <row r="876" ht="14.25" customHeight="1">
      <c r="A876" s="8" t="s">
        <v>62</v>
      </c>
      <c r="B876" s="8">
        <v>7.9</v>
      </c>
      <c r="C876" s="4" t="str">
        <f>IFERROR(__xludf.DUMMYFUNCTION("""COMPUTED_VALUE"""),"Bob Clark")</f>
        <v>Bob Clark</v>
      </c>
      <c r="D876" s="31">
        <f t="shared" si="1"/>
        <v>3.533333333</v>
      </c>
      <c r="E876" s="4">
        <f t="shared" si="2"/>
        <v>3</v>
      </c>
      <c r="F876" s="15"/>
      <c r="G876" s="4"/>
    </row>
    <row r="877" ht="14.25" customHeight="1">
      <c r="A877" s="8" t="s">
        <v>2020</v>
      </c>
      <c r="B877" s="8">
        <v>7.1</v>
      </c>
      <c r="C877" s="4" t="str">
        <f>IFERROR(__xludf.DUMMYFUNCTION("""COMPUTED_VALUE"""),"Dave Borthwick")</f>
        <v>Dave Borthwick</v>
      </c>
      <c r="D877" s="31">
        <f t="shared" si="1"/>
        <v>2.8</v>
      </c>
      <c r="E877" s="4">
        <f t="shared" si="2"/>
        <v>1</v>
      </c>
      <c r="F877" s="15"/>
      <c r="G877" s="4"/>
    </row>
    <row r="878" ht="14.25" customHeight="1">
      <c r="A878" s="8" t="s">
        <v>228</v>
      </c>
      <c r="B878" s="8">
        <v>6.9</v>
      </c>
      <c r="C878" s="4" t="str">
        <f>IFERROR(__xludf.DUMMYFUNCTION("""COMPUTED_VALUE"""),"Benson Lee")</f>
        <v>Benson Lee</v>
      </c>
      <c r="D878" s="31">
        <f t="shared" si="1"/>
        <v>5</v>
      </c>
      <c r="E878" s="4">
        <f t="shared" si="2"/>
        <v>1</v>
      </c>
      <c r="F878" s="15"/>
      <c r="G878" s="4"/>
    </row>
    <row r="879" ht="14.25" customHeight="1">
      <c r="A879" s="8" t="s">
        <v>1364</v>
      </c>
      <c r="B879" s="8">
        <v>7.3</v>
      </c>
      <c r="C879" s="4" t="str">
        <f>IFERROR(__xludf.DUMMYFUNCTION("""COMPUTED_VALUE"""),"Glen Morgan")</f>
        <v>Glen Morgan</v>
      </c>
      <c r="D879" s="31">
        <f t="shared" si="1"/>
        <v>5.35</v>
      </c>
      <c r="E879" s="4">
        <f t="shared" si="2"/>
        <v>2</v>
      </c>
      <c r="F879" s="15"/>
      <c r="G879" s="4"/>
    </row>
    <row r="880" ht="14.25" customHeight="1">
      <c r="A880" s="8" t="s">
        <v>1053</v>
      </c>
      <c r="B880" s="8">
        <v>7.0</v>
      </c>
      <c r="C880" s="4" t="str">
        <f>IFERROR(__xludf.DUMMYFUNCTION("""COMPUTED_VALUE"""),"Mike Leigh")</f>
        <v>Mike Leigh</v>
      </c>
      <c r="D880" s="31">
        <f t="shared" si="1"/>
        <v>7.36</v>
      </c>
      <c r="E880" s="4">
        <f t="shared" si="2"/>
        <v>5</v>
      </c>
      <c r="F880" s="15"/>
      <c r="G880" s="4"/>
    </row>
    <row r="881" ht="14.25" customHeight="1">
      <c r="A881" s="8" t="s">
        <v>592</v>
      </c>
      <c r="B881" s="8">
        <v>7.7</v>
      </c>
      <c r="C881" s="4" t="str">
        <f>IFERROR(__xludf.DUMMYFUNCTION("""COMPUTED_VALUE"""),"Alejandro Monteverde")</f>
        <v>Alejandro Monteverde</v>
      </c>
      <c r="D881" s="31">
        <f t="shared" si="1"/>
        <v>7.4</v>
      </c>
      <c r="E881" s="4">
        <f t="shared" si="2"/>
        <v>2</v>
      </c>
      <c r="F881" s="15"/>
      <c r="G881" s="4"/>
    </row>
    <row r="882" ht="14.25" customHeight="1">
      <c r="A882" s="8" t="s">
        <v>221</v>
      </c>
      <c r="B882" s="8">
        <v>6.7</v>
      </c>
      <c r="C882" s="4" t="str">
        <f>IFERROR(__xludf.DUMMYFUNCTION("""COMPUTED_VALUE"""),"Jonathan Glazer")</f>
        <v>Jonathan Glazer</v>
      </c>
      <c r="D882" s="31">
        <f t="shared" si="1"/>
        <v>6.1</v>
      </c>
      <c r="E882" s="4">
        <f t="shared" si="2"/>
        <v>1</v>
      </c>
      <c r="F882" s="15"/>
      <c r="G882" s="4"/>
    </row>
    <row r="883" ht="14.25" customHeight="1">
      <c r="A883" s="8" t="s">
        <v>727</v>
      </c>
      <c r="B883" s="8">
        <v>6.3</v>
      </c>
      <c r="C883" s="4" t="str">
        <f>IFERROR(__xludf.DUMMYFUNCTION("""COMPUTED_VALUE"""),"J.C. Chandor")</f>
        <v>J.C. Chandor</v>
      </c>
      <c r="D883" s="31">
        <f t="shared" si="1"/>
        <v>7</v>
      </c>
      <c r="E883" s="4">
        <f t="shared" si="2"/>
        <v>3</v>
      </c>
      <c r="F883" s="15"/>
      <c r="G883" s="4"/>
    </row>
    <row r="884" ht="14.25" customHeight="1">
      <c r="A884" s="8" t="s">
        <v>1147</v>
      </c>
      <c r="B884" s="8">
        <v>5.8</v>
      </c>
      <c r="C884" s="4" t="str">
        <f>IFERROR(__xludf.DUMMYFUNCTION("""COMPUTED_VALUE"""),"Marc Abraham")</f>
        <v>Marc Abraham</v>
      </c>
      <c r="D884" s="31">
        <f t="shared" si="1"/>
        <v>7</v>
      </c>
      <c r="E884" s="4">
        <f t="shared" si="2"/>
        <v>1</v>
      </c>
      <c r="F884" s="15"/>
      <c r="G884" s="4"/>
    </row>
    <row r="885" ht="14.25" customHeight="1">
      <c r="A885" s="8" t="s">
        <v>154</v>
      </c>
      <c r="B885" s="8">
        <v>7.1</v>
      </c>
      <c r="C885" s="4" t="str">
        <f>IFERROR(__xludf.DUMMYFUNCTION("""COMPUTED_VALUE"""),"Todd Haynes")</f>
        <v>Todd Haynes</v>
      </c>
      <c r="D885" s="31">
        <f t="shared" si="1"/>
        <v>7.2</v>
      </c>
      <c r="E885" s="4">
        <f t="shared" si="2"/>
        <v>2</v>
      </c>
      <c r="F885" s="15"/>
      <c r="G885" s="4"/>
    </row>
    <row r="886" ht="14.25" customHeight="1">
      <c r="A886" s="8" t="s">
        <v>639</v>
      </c>
      <c r="B886" s="8">
        <v>7.3</v>
      </c>
      <c r="C886" s="4" t="str">
        <f>IFERROR(__xludf.DUMMYFUNCTION("""COMPUTED_VALUE"""),"Mabrouk El Mechri")</f>
        <v>Mabrouk El Mechri</v>
      </c>
      <c r="D886" s="31">
        <f t="shared" si="1"/>
        <v>4.9</v>
      </c>
      <c r="E886" s="4">
        <f t="shared" si="2"/>
        <v>1</v>
      </c>
      <c r="F886" s="15"/>
      <c r="G886" s="4"/>
    </row>
    <row r="887" ht="14.25" customHeight="1">
      <c r="A887" s="8" t="s">
        <v>1727</v>
      </c>
      <c r="B887" s="8">
        <v>6.4</v>
      </c>
      <c r="C887" s="4" t="str">
        <f>IFERROR(__xludf.DUMMYFUNCTION("""COMPUTED_VALUE"""),"Charlie Kaufman")</f>
        <v>Charlie Kaufman</v>
      </c>
      <c r="D887" s="31">
        <f t="shared" si="1"/>
        <v>7.5</v>
      </c>
      <c r="E887" s="4">
        <f t="shared" si="2"/>
        <v>1</v>
      </c>
      <c r="F887" s="15"/>
      <c r="G887" s="4"/>
    </row>
    <row r="888" ht="14.25" customHeight="1">
      <c r="A888" s="8" t="s">
        <v>888</v>
      </c>
      <c r="B888" s="8">
        <v>7.1</v>
      </c>
      <c r="C888" s="4" t="str">
        <f>IFERROR(__xludf.DUMMYFUNCTION("""COMPUTED_VALUE"""),"Jean-Paul Rappeneau")</f>
        <v>Jean-Paul Rappeneau</v>
      </c>
      <c r="D888" s="31">
        <f t="shared" si="1"/>
        <v>6.9</v>
      </c>
      <c r="E888" s="4">
        <f t="shared" si="2"/>
        <v>1</v>
      </c>
      <c r="F888" s="15"/>
      <c r="G888" s="4"/>
    </row>
    <row r="889" ht="14.25" customHeight="1">
      <c r="A889" s="8" t="s">
        <v>2038</v>
      </c>
      <c r="B889" s="8">
        <v>7.6</v>
      </c>
      <c r="C889" s="4" t="str">
        <f>IFERROR(__xludf.DUMMYFUNCTION("""COMPUTED_VALUE"""),"Nancy Walker")</f>
        <v>Nancy Walker</v>
      </c>
      <c r="D889" s="31">
        <f t="shared" si="1"/>
        <v>4.5</v>
      </c>
      <c r="E889" s="4">
        <f t="shared" si="2"/>
        <v>1</v>
      </c>
      <c r="F889" s="15"/>
      <c r="G889" s="4"/>
    </row>
    <row r="890" ht="14.25" customHeight="1">
      <c r="A890" s="8" t="s">
        <v>490</v>
      </c>
      <c r="B890" s="8">
        <v>6.8</v>
      </c>
      <c r="C890" s="4" t="str">
        <f>IFERROR(__xludf.DUMMYFUNCTION("""COMPUTED_VALUE"""),"Angelo Pizzo")</f>
        <v>Angelo Pizzo</v>
      </c>
      <c r="D890" s="31">
        <f t="shared" si="1"/>
        <v>7</v>
      </c>
      <c r="E890" s="4">
        <f t="shared" si="2"/>
        <v>1</v>
      </c>
      <c r="F890" s="15"/>
      <c r="G890" s="4"/>
    </row>
    <row r="891" ht="14.25" customHeight="1">
      <c r="A891" s="8" t="s">
        <v>2042</v>
      </c>
      <c r="B891" s="8">
        <v>6.6</v>
      </c>
      <c r="C891" s="4" t="str">
        <f>IFERROR(__xludf.DUMMYFUNCTION("""COMPUTED_VALUE"""),"Matthew Diamond")</f>
        <v>Matthew Diamond</v>
      </c>
      <c r="D891" s="31">
        <f t="shared" si="1"/>
        <v>6.7</v>
      </c>
      <c r="E891" s="4">
        <f t="shared" si="2"/>
        <v>1</v>
      </c>
      <c r="F891" s="15"/>
      <c r="G891" s="4"/>
    </row>
    <row r="892" ht="14.25" customHeight="1">
      <c r="A892" s="8" t="s">
        <v>524</v>
      </c>
      <c r="B892" s="8">
        <v>6.7</v>
      </c>
      <c r="C892" s="4" t="str">
        <f>IFERROR(__xludf.DUMMYFUNCTION("""COMPUTED_VALUE"""),"Katsuhiro Ã”tomo")</f>
        <v>Katsuhiro Ã”tomo</v>
      </c>
      <c r="D892" s="31">
        <f t="shared" si="1"/>
        <v>7.5</v>
      </c>
      <c r="E892" s="4">
        <f t="shared" si="2"/>
        <v>2</v>
      </c>
      <c r="F892" s="15"/>
      <c r="G892" s="4"/>
    </row>
    <row r="893" ht="14.25" customHeight="1">
      <c r="A893" s="8" t="s">
        <v>1834</v>
      </c>
      <c r="B893" s="8">
        <v>6.1</v>
      </c>
      <c r="C893" s="4" t="str">
        <f>IFERROR(__xludf.DUMMYFUNCTION("""COMPUTED_VALUE"""),"David Anspaugh")</f>
        <v>David Anspaugh</v>
      </c>
      <c r="D893" s="31">
        <f t="shared" si="1"/>
        <v>6.2</v>
      </c>
      <c r="E893" s="4">
        <f t="shared" si="2"/>
        <v>1</v>
      </c>
      <c r="F893" s="15"/>
      <c r="G893" s="4"/>
    </row>
    <row r="894" ht="14.25" customHeight="1">
      <c r="A894" s="8" t="s">
        <v>67</v>
      </c>
      <c r="B894" s="8">
        <v>6.0</v>
      </c>
      <c r="C894" s="4" t="str">
        <f>IFERROR(__xludf.DUMMYFUNCTION("""COMPUTED_VALUE"""),"Daniel Algrant")</f>
        <v>Daniel Algrant</v>
      </c>
      <c r="D894" s="31">
        <f t="shared" si="1"/>
        <v>5.5</v>
      </c>
      <c r="E894" s="4">
        <f t="shared" si="2"/>
        <v>1</v>
      </c>
      <c r="F894" s="15"/>
      <c r="G894" s="4"/>
    </row>
    <row r="895" ht="14.25" customHeight="1">
      <c r="A895" s="8" t="s">
        <v>2048</v>
      </c>
      <c r="B895" s="8">
        <v>7.6</v>
      </c>
      <c r="C895" s="4" t="str">
        <f>IFERROR(__xludf.DUMMYFUNCTION("""COMPUTED_VALUE"""),"Mark Rosman")</f>
        <v>Mark Rosman</v>
      </c>
      <c r="D895" s="31">
        <f t="shared" si="1"/>
        <v>5.7</v>
      </c>
      <c r="E895" s="4">
        <f t="shared" si="2"/>
        <v>2</v>
      </c>
      <c r="F895" s="15"/>
      <c r="G895" s="4"/>
    </row>
    <row r="896" ht="14.25" customHeight="1">
      <c r="A896" s="8" t="s">
        <v>2050</v>
      </c>
      <c r="B896" s="8">
        <v>7.1</v>
      </c>
      <c r="C896" s="4" t="str">
        <f>IFERROR(__xludf.DUMMYFUNCTION("""COMPUTED_VALUE"""),"Britt Allcroft")</f>
        <v>Britt Allcroft</v>
      </c>
      <c r="D896" s="31">
        <f t="shared" si="1"/>
        <v>3.6</v>
      </c>
      <c r="E896" s="4">
        <f t="shared" si="2"/>
        <v>1</v>
      </c>
      <c r="F896" s="15"/>
      <c r="G896" s="4"/>
    </row>
    <row r="897" ht="14.25" customHeight="1">
      <c r="A897" s="8" t="s">
        <v>2053</v>
      </c>
      <c r="B897" s="8">
        <v>5.0</v>
      </c>
      <c r="C897" s="4" t="str">
        <f>IFERROR(__xludf.DUMMYFUNCTION("""COMPUTED_VALUE"""),"Brian Percival")</f>
        <v>Brian Percival</v>
      </c>
      <c r="D897" s="31">
        <f t="shared" si="1"/>
        <v>7.6</v>
      </c>
      <c r="E897" s="4">
        <f t="shared" si="2"/>
        <v>1</v>
      </c>
      <c r="F897" s="15"/>
      <c r="G897" s="4"/>
    </row>
    <row r="898" ht="14.25" customHeight="1">
      <c r="A898" s="8" t="s">
        <v>439</v>
      </c>
      <c r="B898" s="8">
        <v>6.2</v>
      </c>
      <c r="C898" s="4" t="str">
        <f>IFERROR(__xludf.DUMMYFUNCTION("""COMPUTED_VALUE"""),"Anand Tucker")</f>
        <v>Anand Tucker</v>
      </c>
      <c r="D898" s="31">
        <f t="shared" si="1"/>
        <v>6.65</v>
      </c>
      <c r="E898" s="4">
        <f t="shared" si="2"/>
        <v>2</v>
      </c>
      <c r="F898" s="15"/>
      <c r="G898" s="4"/>
    </row>
    <row r="899" ht="14.25" customHeight="1">
      <c r="A899" s="8" t="s">
        <v>1888</v>
      </c>
      <c r="B899" s="8">
        <v>5.6</v>
      </c>
      <c r="C899" s="4" t="str">
        <f>IFERROR(__xludf.DUMMYFUNCTION("""COMPUTED_VALUE"""),"Michael Dowse")</f>
        <v>Michael Dowse</v>
      </c>
      <c r="D899" s="31">
        <f t="shared" si="1"/>
        <v>6.3</v>
      </c>
      <c r="E899" s="4">
        <f t="shared" si="2"/>
        <v>1</v>
      </c>
      <c r="F899" s="15"/>
      <c r="G899" s="4"/>
    </row>
    <row r="900" ht="14.25" customHeight="1">
      <c r="A900" s="8" t="s">
        <v>1523</v>
      </c>
      <c r="B900" s="8">
        <v>7.4</v>
      </c>
      <c r="C900" s="4" t="str">
        <f>IFERROR(__xludf.DUMMYFUNCTION("""COMPUTED_VALUE"""),"Emile Ardolino")</f>
        <v>Emile Ardolino</v>
      </c>
      <c r="D900" s="31">
        <f t="shared" si="1"/>
        <v>5.7</v>
      </c>
      <c r="E900" s="4">
        <f t="shared" si="2"/>
        <v>1</v>
      </c>
      <c r="F900" s="15"/>
      <c r="G900" s="4"/>
    </row>
    <row r="901" ht="14.25" customHeight="1">
      <c r="A901" s="8" t="s">
        <v>2059</v>
      </c>
      <c r="B901" s="8">
        <v>5.0</v>
      </c>
      <c r="C901" s="4" t="str">
        <f>IFERROR(__xludf.DUMMYFUNCTION("""COMPUTED_VALUE"""),"Robert Altman")</f>
        <v>Robert Altman</v>
      </c>
      <c r="D901" s="31">
        <f t="shared" si="1"/>
        <v>6.8</v>
      </c>
      <c r="E901" s="4">
        <f t="shared" si="2"/>
        <v>3</v>
      </c>
      <c r="F901" s="15"/>
      <c r="G901" s="4"/>
    </row>
    <row r="902" ht="14.25" customHeight="1">
      <c r="A902" s="8" t="s">
        <v>2061</v>
      </c>
      <c r="B902" s="8">
        <v>5.2</v>
      </c>
      <c r="C902" s="4" t="str">
        <f>IFERROR(__xludf.DUMMYFUNCTION("""COMPUTED_VALUE"""),"Andrew Douglas")</f>
        <v>Andrew Douglas</v>
      </c>
      <c r="D902" s="31">
        <f t="shared" si="1"/>
        <v>6</v>
      </c>
      <c r="E902" s="4">
        <f t="shared" si="2"/>
        <v>1</v>
      </c>
      <c r="F902" s="15"/>
      <c r="G902" s="4"/>
    </row>
    <row r="903" ht="14.25" customHeight="1">
      <c r="A903" s="8" t="s">
        <v>2063</v>
      </c>
      <c r="B903" s="8">
        <v>7.6</v>
      </c>
      <c r="C903" s="4" t="str">
        <f>IFERROR(__xludf.DUMMYFUNCTION("""COMPUTED_VALUE"""),"George A. Romero")</f>
        <v>George A. Romero</v>
      </c>
      <c r="D903" s="31">
        <f t="shared" si="1"/>
        <v>5.633333333</v>
      </c>
      <c r="E903" s="4">
        <f t="shared" si="2"/>
        <v>3</v>
      </c>
      <c r="F903" s="15"/>
      <c r="G903" s="4"/>
    </row>
    <row r="904" ht="14.25" customHeight="1">
      <c r="A904" s="8" t="s">
        <v>303</v>
      </c>
      <c r="B904" s="8">
        <v>6.6</v>
      </c>
      <c r="C904" s="4" t="str">
        <f>IFERROR(__xludf.DUMMYFUNCTION("""COMPUTED_VALUE"""),"Ricky Gervais")</f>
        <v>Ricky Gervais</v>
      </c>
      <c r="D904" s="31">
        <f t="shared" si="1"/>
        <v>6.4</v>
      </c>
      <c r="E904" s="4">
        <f t="shared" si="2"/>
        <v>1</v>
      </c>
      <c r="F904" s="15"/>
      <c r="G904" s="4"/>
    </row>
    <row r="905" ht="14.25" customHeight="1">
      <c r="A905" s="8" t="s">
        <v>2066</v>
      </c>
      <c r="B905" s="8">
        <v>7.0</v>
      </c>
      <c r="C905" s="4" t="str">
        <f>IFERROR(__xludf.DUMMYFUNCTION("""COMPUTED_VALUE"""),"Vic Armstrong")</f>
        <v>Vic Armstrong</v>
      </c>
      <c r="D905" s="31">
        <f t="shared" si="1"/>
        <v>3.1</v>
      </c>
      <c r="E905" s="4">
        <f t="shared" si="2"/>
        <v>1</v>
      </c>
      <c r="F905" s="15"/>
      <c r="G905" s="4"/>
    </row>
    <row r="906" ht="14.25" customHeight="1">
      <c r="A906" s="8" t="s">
        <v>2068</v>
      </c>
      <c r="B906" s="8">
        <v>5.7</v>
      </c>
      <c r="C906" s="4" t="str">
        <f>IFERROR(__xludf.DUMMYFUNCTION("""COMPUTED_VALUE"""),"Terry Zwigoff")</f>
        <v>Terry Zwigoff</v>
      </c>
      <c r="D906" s="31">
        <f t="shared" si="1"/>
        <v>7.25</v>
      </c>
      <c r="E906" s="4">
        <f t="shared" si="2"/>
        <v>2</v>
      </c>
      <c r="F906" s="15"/>
      <c r="G906" s="4"/>
    </row>
    <row r="907" ht="14.25" customHeight="1">
      <c r="A907" s="8" t="s">
        <v>2071</v>
      </c>
      <c r="B907" s="8">
        <v>8.2</v>
      </c>
      <c r="C907" s="4" t="str">
        <f>IFERROR(__xludf.DUMMYFUNCTION("""COMPUTED_VALUE"""),"Nelson McCormick")</f>
        <v>Nelson McCormick</v>
      </c>
      <c r="D907" s="31">
        <f t="shared" si="1"/>
        <v>3.9</v>
      </c>
      <c r="E907" s="4">
        <f t="shared" si="2"/>
        <v>1</v>
      </c>
      <c r="F907" s="15"/>
      <c r="G907" s="4"/>
    </row>
    <row r="908" ht="14.25" customHeight="1">
      <c r="A908" s="8" t="s">
        <v>2001</v>
      </c>
      <c r="B908" s="8">
        <v>6.2</v>
      </c>
      <c r="C908" s="4" t="str">
        <f>IFERROR(__xludf.DUMMYFUNCTION("""COMPUTED_VALUE"""),"Audrey Wells")</f>
        <v>Audrey Wells</v>
      </c>
      <c r="D908" s="31">
        <f t="shared" si="1"/>
        <v>6.7</v>
      </c>
      <c r="E908" s="4">
        <f t="shared" si="2"/>
        <v>1</v>
      </c>
      <c r="F908" s="15"/>
      <c r="G908" s="4"/>
    </row>
    <row r="909" ht="14.25" customHeight="1">
      <c r="A909" s="8" t="s">
        <v>2075</v>
      </c>
      <c r="B909" s="8">
        <v>6.6</v>
      </c>
      <c r="C909" s="4" t="str">
        <f>IFERROR(__xludf.DUMMYFUNCTION("""COMPUTED_VALUE"""),"Bille Woodruff")</f>
        <v>Bille Woodruff</v>
      </c>
      <c r="D909" s="31">
        <f t="shared" si="1"/>
        <v>5</v>
      </c>
      <c r="E909" s="4">
        <f t="shared" si="2"/>
        <v>3</v>
      </c>
      <c r="F909" s="15"/>
      <c r="G909" s="4"/>
    </row>
    <row r="910" ht="14.25" customHeight="1">
      <c r="A910" s="8" t="s">
        <v>2077</v>
      </c>
      <c r="B910" s="8">
        <v>4.7</v>
      </c>
      <c r="C910" s="4" t="str">
        <f>IFERROR(__xludf.DUMMYFUNCTION("""COMPUTED_VALUE"""),"Rick Friedberg")</f>
        <v>Rick Friedberg</v>
      </c>
      <c r="D910" s="31">
        <f t="shared" si="1"/>
        <v>5.3</v>
      </c>
      <c r="E910" s="4">
        <f t="shared" si="2"/>
        <v>1</v>
      </c>
      <c r="F910" s="15"/>
      <c r="G910" s="4"/>
    </row>
    <row r="911" ht="14.25" customHeight="1">
      <c r="A911" s="8" t="s">
        <v>2081</v>
      </c>
      <c r="B911" s="8">
        <v>6.3</v>
      </c>
      <c r="C911" s="4" t="str">
        <f>IFERROR(__xludf.DUMMYFUNCTION("""COMPUTED_VALUE"""),"Sean McNamara")</f>
        <v>Sean McNamara</v>
      </c>
      <c r="D911" s="31">
        <f t="shared" si="1"/>
        <v>6.5</v>
      </c>
      <c r="E911" s="4">
        <f t="shared" si="2"/>
        <v>2</v>
      </c>
      <c r="F911" s="15"/>
      <c r="G911" s="4"/>
    </row>
    <row r="912" ht="14.25" customHeight="1">
      <c r="A912" s="8" t="s">
        <v>2083</v>
      </c>
      <c r="B912" s="8">
        <v>6.1</v>
      </c>
      <c r="C912" s="4" t="str">
        <f>IFERROR(__xludf.DUMMYFUNCTION("""COMPUTED_VALUE"""),"Jody Hill")</f>
        <v>Jody Hill</v>
      </c>
      <c r="D912" s="31">
        <f t="shared" si="1"/>
        <v>5.8</v>
      </c>
      <c r="E912" s="4">
        <f t="shared" si="2"/>
        <v>1</v>
      </c>
      <c r="F912" s="15"/>
      <c r="G912" s="4"/>
    </row>
    <row r="913" ht="14.25" customHeight="1">
      <c r="A913" s="8" t="s">
        <v>2085</v>
      </c>
      <c r="B913" s="8">
        <v>6.7</v>
      </c>
      <c r="C913" s="4" t="str">
        <f>IFERROR(__xludf.DUMMYFUNCTION("""COMPUTED_VALUE"""),"Brandon Camp")</f>
        <v>Brandon Camp</v>
      </c>
      <c r="D913" s="31">
        <f t="shared" si="1"/>
        <v>5.6</v>
      </c>
      <c r="E913" s="4">
        <f t="shared" si="2"/>
        <v>1</v>
      </c>
      <c r="F913" s="15"/>
      <c r="G913" s="4"/>
    </row>
    <row r="914" ht="14.25" customHeight="1">
      <c r="A914" s="8" t="s">
        <v>1093</v>
      </c>
      <c r="B914" s="8">
        <v>6.1</v>
      </c>
      <c r="C914" s="4" t="str">
        <f>IFERROR(__xludf.DUMMYFUNCTION("""COMPUTED_VALUE"""),"Kevin Tancharoen")</f>
        <v>Kevin Tancharoen</v>
      </c>
      <c r="D914" s="31">
        <f t="shared" si="1"/>
        <v>5.2</v>
      </c>
      <c r="E914" s="4">
        <f t="shared" si="2"/>
        <v>2</v>
      </c>
      <c r="F914" s="15"/>
      <c r="G914" s="4"/>
    </row>
    <row r="915" ht="14.25" customHeight="1">
      <c r="A915" s="8" t="s">
        <v>2090</v>
      </c>
      <c r="B915" s="8">
        <v>7.0</v>
      </c>
      <c r="C915" s="4" t="str">
        <f>IFERROR(__xludf.DUMMYFUNCTION("""COMPUTED_VALUE"""),"Nicholas Hytner")</f>
        <v>Nicholas Hytner</v>
      </c>
      <c r="D915" s="31">
        <f t="shared" si="1"/>
        <v>6.533333333</v>
      </c>
      <c r="E915" s="4">
        <f t="shared" si="2"/>
        <v>3</v>
      </c>
      <c r="F915" s="15"/>
      <c r="G915" s="4"/>
    </row>
    <row r="916" ht="14.25" customHeight="1">
      <c r="A916" s="8" t="s">
        <v>121</v>
      </c>
      <c r="B916" s="8">
        <v>7.4</v>
      </c>
      <c r="C916" s="4" t="str">
        <f>IFERROR(__xludf.DUMMYFUNCTION("""COMPUTED_VALUE"""),"Bart Freundlich")</f>
        <v>Bart Freundlich</v>
      </c>
      <c r="D916" s="31">
        <f t="shared" si="1"/>
        <v>5.45</v>
      </c>
      <c r="E916" s="4">
        <f t="shared" si="2"/>
        <v>2</v>
      </c>
      <c r="F916" s="15"/>
      <c r="G916" s="4"/>
    </row>
    <row r="917" ht="14.25" customHeight="1">
      <c r="A917" s="8" t="s">
        <v>2093</v>
      </c>
      <c r="B917" s="8">
        <v>7.3</v>
      </c>
      <c r="C917" s="4" t="str">
        <f>IFERROR(__xludf.DUMMYFUNCTION("""COMPUTED_VALUE"""),"William A. Fraker")</f>
        <v>William A. Fraker</v>
      </c>
      <c r="D917" s="31">
        <f t="shared" si="1"/>
        <v>5</v>
      </c>
      <c r="E917" s="4">
        <f t="shared" si="2"/>
        <v>1</v>
      </c>
      <c r="F917" s="15"/>
      <c r="G917" s="4"/>
    </row>
    <row r="918" ht="14.25" customHeight="1">
      <c r="A918" s="8" t="s">
        <v>2095</v>
      </c>
      <c r="B918" s="8">
        <v>5.8</v>
      </c>
      <c r="C918" s="4" t="str">
        <f>IFERROR(__xludf.DUMMYFUNCTION("""COMPUTED_VALUE"""),"John Boorman")</f>
        <v>John Boorman</v>
      </c>
      <c r="D918" s="31">
        <f t="shared" si="1"/>
        <v>6.1</v>
      </c>
      <c r="E918" s="4">
        <f t="shared" si="2"/>
        <v>1</v>
      </c>
      <c r="F918" s="15"/>
      <c r="G918" s="4"/>
    </row>
    <row r="919" ht="14.25" customHeight="1">
      <c r="A919" s="8" t="s">
        <v>1506</v>
      </c>
      <c r="B919" s="8">
        <v>6.7</v>
      </c>
      <c r="C919" s="4" t="str">
        <f>IFERROR(__xludf.DUMMYFUNCTION("""COMPUTED_VALUE"""),"Courtney Solomon")</f>
        <v>Courtney Solomon</v>
      </c>
      <c r="D919" s="31">
        <f t="shared" si="1"/>
        <v>4.7</v>
      </c>
      <c r="E919" s="4">
        <f t="shared" si="2"/>
        <v>2</v>
      </c>
      <c r="F919" s="15"/>
      <c r="G919" s="4"/>
    </row>
    <row r="920" ht="14.25" customHeight="1">
      <c r="A920" s="8" t="s">
        <v>80</v>
      </c>
      <c r="B920" s="8">
        <v>5.8</v>
      </c>
      <c r="C920" s="4" t="str">
        <f>IFERROR(__xludf.DUMMYFUNCTION("""COMPUTED_VALUE"""),"Jeff Kanew")</f>
        <v>Jeff Kanew</v>
      </c>
      <c r="D920" s="31">
        <f t="shared" si="1"/>
        <v>5.5</v>
      </c>
      <c r="E920" s="4">
        <f t="shared" si="2"/>
        <v>1</v>
      </c>
      <c r="F920" s="15"/>
      <c r="G920" s="4"/>
    </row>
    <row r="921" ht="14.25" customHeight="1">
      <c r="A921" s="8" t="s">
        <v>291</v>
      </c>
      <c r="B921" s="8">
        <v>7.8</v>
      </c>
      <c r="C921" s="4" t="str">
        <f>IFERROR(__xludf.DUMMYFUNCTION("""COMPUTED_VALUE"""),"IstvÃ¡n SzabÃ³")</f>
        <v>IstvÃ¡n SzabÃ³</v>
      </c>
      <c r="D921" s="31">
        <f t="shared" si="1"/>
        <v>7.1</v>
      </c>
      <c r="E921" s="4">
        <f t="shared" si="2"/>
        <v>1</v>
      </c>
      <c r="F921" s="15"/>
      <c r="G921" s="4"/>
    </row>
    <row r="922" ht="14.25" customHeight="1">
      <c r="A922" s="8" t="s">
        <v>2102</v>
      </c>
      <c r="B922" s="8">
        <v>6.6</v>
      </c>
      <c r="C922" s="4" t="str">
        <f>IFERROR(__xludf.DUMMYFUNCTION("""COMPUTED_VALUE"""),"Matthew Robbins")</f>
        <v>Matthew Robbins</v>
      </c>
      <c r="D922" s="31">
        <f t="shared" si="1"/>
        <v>6.7</v>
      </c>
      <c r="E922" s="4">
        <f t="shared" si="2"/>
        <v>1</v>
      </c>
      <c r="F922" s="15"/>
      <c r="G922" s="4"/>
    </row>
    <row r="923" ht="14.25" customHeight="1">
      <c r="A923" s="8" t="s">
        <v>2106</v>
      </c>
      <c r="B923" s="8">
        <v>6.5</v>
      </c>
      <c r="C923" s="4" t="str">
        <f>IFERROR(__xludf.DUMMYFUNCTION("""COMPUTED_VALUE"""),"Hal Needham")</f>
        <v>Hal Needham</v>
      </c>
      <c r="D923" s="31">
        <f t="shared" si="1"/>
        <v>3.5</v>
      </c>
      <c r="E923" s="4">
        <f t="shared" si="2"/>
        <v>1</v>
      </c>
      <c r="F923" s="15"/>
      <c r="G923" s="4"/>
    </row>
    <row r="924" ht="14.25" customHeight="1">
      <c r="A924" s="8" t="s">
        <v>2108</v>
      </c>
      <c r="B924" s="8">
        <v>6.7</v>
      </c>
      <c r="C924" s="4" t="str">
        <f>IFERROR(__xludf.DUMMYFUNCTION("""COMPUTED_VALUE"""),"Jeff Nichols")</f>
        <v>Jeff Nichols</v>
      </c>
      <c r="D924" s="31">
        <f t="shared" si="1"/>
        <v>7.166666667</v>
      </c>
      <c r="E924" s="4">
        <f t="shared" si="2"/>
        <v>3</v>
      </c>
      <c r="F924" s="15"/>
      <c r="G924" s="4"/>
    </row>
    <row r="925" ht="14.25" customHeight="1">
      <c r="A925" s="8" t="s">
        <v>1258</v>
      </c>
      <c r="B925" s="8">
        <v>7.3</v>
      </c>
      <c r="C925" s="4" t="str">
        <f>IFERROR(__xludf.DUMMYFUNCTION("""COMPUTED_VALUE"""),"Jonathan Teplitzky")</f>
        <v>Jonathan Teplitzky</v>
      </c>
      <c r="D925" s="31">
        <f t="shared" si="1"/>
        <v>7.1</v>
      </c>
      <c r="E925" s="4">
        <f t="shared" si="2"/>
        <v>1</v>
      </c>
      <c r="F925" s="15"/>
      <c r="G925" s="4"/>
    </row>
    <row r="926" ht="14.25" customHeight="1">
      <c r="A926" s="8" t="s">
        <v>2111</v>
      </c>
      <c r="B926" s="8">
        <v>5.8</v>
      </c>
      <c r="C926" s="4" t="str">
        <f>IFERROR(__xludf.DUMMYFUNCTION("""COMPUTED_VALUE"""),"Michael Haneke")</f>
        <v>Michael Haneke</v>
      </c>
      <c r="D926" s="31">
        <f t="shared" si="1"/>
        <v>7.4</v>
      </c>
      <c r="E926" s="4">
        <f t="shared" si="2"/>
        <v>3</v>
      </c>
      <c r="F926" s="15"/>
      <c r="G926" s="4"/>
    </row>
    <row r="927" ht="14.25" customHeight="1">
      <c r="A927" s="8" t="s">
        <v>2114</v>
      </c>
      <c r="B927" s="8">
        <v>5.5</v>
      </c>
      <c r="C927" s="4" t="str">
        <f>IFERROR(__xludf.DUMMYFUNCTION("""COMPUTED_VALUE"""),"Mike Marvin")</f>
        <v>Mike Marvin</v>
      </c>
      <c r="D927" s="31">
        <f t="shared" si="1"/>
        <v>5.9</v>
      </c>
      <c r="E927" s="4">
        <f t="shared" si="2"/>
        <v>1</v>
      </c>
      <c r="F927" s="15"/>
      <c r="G927" s="4"/>
    </row>
    <row r="928" ht="14.25" customHeight="1">
      <c r="A928" s="8" t="s">
        <v>1167</v>
      </c>
      <c r="B928" s="8">
        <v>6.3</v>
      </c>
      <c r="C928" s="4" t="str">
        <f>IFERROR(__xludf.DUMMYFUNCTION("""COMPUTED_VALUE"""),"Lance Hool")</f>
        <v>Lance Hool</v>
      </c>
      <c r="D928" s="31">
        <f t="shared" si="1"/>
        <v>6.2</v>
      </c>
      <c r="E928" s="4">
        <f t="shared" si="2"/>
        <v>1</v>
      </c>
      <c r="F928" s="15"/>
      <c r="G928" s="4"/>
    </row>
    <row r="929" ht="14.25" customHeight="1">
      <c r="A929" s="8" t="s">
        <v>2001</v>
      </c>
      <c r="B929" s="8">
        <v>7.4</v>
      </c>
      <c r="C929" s="4" t="str">
        <f>IFERROR(__xludf.DUMMYFUNCTION("""COMPUTED_VALUE"""),"Christian Volckman")</f>
        <v>Christian Volckman</v>
      </c>
      <c r="D929" s="31">
        <f t="shared" si="1"/>
        <v>6.7</v>
      </c>
      <c r="E929" s="4">
        <f t="shared" si="2"/>
        <v>1</v>
      </c>
      <c r="F929" s="15"/>
      <c r="G929" s="4"/>
    </row>
    <row r="930" ht="14.25" customHeight="1">
      <c r="A930" s="8" t="s">
        <v>1072</v>
      </c>
      <c r="B930" s="8">
        <v>5.9</v>
      </c>
      <c r="C930" s="4" t="str">
        <f>IFERROR(__xludf.DUMMYFUNCTION("""COMPUTED_VALUE"""),"Cory Edwards")</f>
        <v>Cory Edwards</v>
      </c>
      <c r="D930" s="31">
        <f t="shared" si="1"/>
        <v>6.5</v>
      </c>
      <c r="E930" s="4">
        <f t="shared" si="2"/>
        <v>1</v>
      </c>
      <c r="F930" s="15"/>
      <c r="G930" s="4"/>
    </row>
    <row r="931" ht="14.25" customHeight="1">
      <c r="A931" s="8" t="s">
        <v>2121</v>
      </c>
      <c r="B931" s="8">
        <v>6.2</v>
      </c>
      <c r="C931" s="4" t="str">
        <f>IFERROR(__xludf.DUMMYFUNCTION("""COMPUTED_VALUE"""),"Terry George")</f>
        <v>Terry George</v>
      </c>
      <c r="D931" s="31">
        <f t="shared" si="1"/>
        <v>8.1</v>
      </c>
      <c r="E931" s="4">
        <f t="shared" si="2"/>
        <v>1</v>
      </c>
      <c r="F931" s="15"/>
      <c r="G931" s="4"/>
    </row>
    <row r="932" ht="14.25" customHeight="1">
      <c r="A932" s="8" t="s">
        <v>2123</v>
      </c>
      <c r="B932" s="8">
        <v>5.9</v>
      </c>
      <c r="C932" s="4" t="str">
        <f>IFERROR(__xludf.DUMMYFUNCTION("""COMPUTED_VALUE"""),"Xavier Gens")</f>
        <v>Xavier Gens</v>
      </c>
      <c r="D932" s="31">
        <f t="shared" si="1"/>
        <v>6.05</v>
      </c>
      <c r="E932" s="4">
        <f t="shared" si="2"/>
        <v>2</v>
      </c>
      <c r="F932" s="15"/>
      <c r="G932" s="4"/>
    </row>
    <row r="933" ht="14.25" customHeight="1">
      <c r="A933" s="8" t="s">
        <v>2125</v>
      </c>
      <c r="B933" s="8">
        <v>6.5</v>
      </c>
      <c r="C933" s="4" t="str">
        <f>IFERROR(__xludf.DUMMYFUNCTION("""COMPUTED_VALUE"""),"Kasi Lemmons")</f>
        <v>Kasi Lemmons</v>
      </c>
      <c r="D933" s="31">
        <f t="shared" si="1"/>
        <v>5.85</v>
      </c>
      <c r="E933" s="4">
        <f t="shared" si="2"/>
        <v>2</v>
      </c>
      <c r="F933" s="15"/>
      <c r="G933" s="4"/>
    </row>
    <row r="934" ht="14.25" customHeight="1">
      <c r="A934" s="8" t="s">
        <v>2128</v>
      </c>
      <c r="B934" s="8">
        <v>4.4</v>
      </c>
      <c r="C934" s="4" t="str">
        <f>IFERROR(__xludf.DUMMYFUNCTION("""COMPUTED_VALUE"""),"Matt Dillon")</f>
        <v>Matt Dillon</v>
      </c>
      <c r="D934" s="31">
        <f t="shared" si="1"/>
        <v>6</v>
      </c>
      <c r="E934" s="4">
        <f t="shared" si="2"/>
        <v>1</v>
      </c>
      <c r="F934" s="15"/>
      <c r="G934" s="4"/>
    </row>
    <row r="935" ht="14.25" customHeight="1">
      <c r="A935" s="8" t="s">
        <v>1980</v>
      </c>
      <c r="B935" s="8">
        <v>3.5</v>
      </c>
      <c r="C935" s="4" t="str">
        <f>IFERROR(__xludf.DUMMYFUNCTION("""COMPUTED_VALUE"""),"George Cukor")</f>
        <v>George Cukor</v>
      </c>
      <c r="D935" s="31">
        <f t="shared" si="1"/>
        <v>7.9</v>
      </c>
      <c r="E935" s="4">
        <f t="shared" si="2"/>
        <v>1</v>
      </c>
      <c r="F935" s="15"/>
      <c r="G935" s="4"/>
    </row>
    <row r="936" ht="14.25" customHeight="1">
      <c r="A936" s="8" t="s">
        <v>2132</v>
      </c>
      <c r="B936" s="8">
        <v>6.6</v>
      </c>
      <c r="C936" s="4" t="str">
        <f>IFERROR(__xludf.DUMMYFUNCTION("""COMPUTED_VALUE"""),"Jim Gillespie")</f>
        <v>Jim Gillespie</v>
      </c>
      <c r="D936" s="31">
        <f t="shared" si="1"/>
        <v>5.6</v>
      </c>
      <c r="E936" s="4">
        <f t="shared" si="2"/>
        <v>1</v>
      </c>
      <c r="F936" s="15"/>
      <c r="G936" s="4"/>
    </row>
    <row r="937" ht="14.25" customHeight="1">
      <c r="A937" s="8" t="s">
        <v>1349</v>
      </c>
      <c r="B937" s="8">
        <v>6.0</v>
      </c>
      <c r="C937" s="4" t="str">
        <f>IFERROR(__xludf.DUMMYFUNCTION("""COMPUTED_VALUE"""),"John Hoffman")</f>
        <v>John Hoffman</v>
      </c>
      <c r="D937" s="31">
        <f t="shared" si="1"/>
        <v>5.1</v>
      </c>
      <c r="E937" s="4">
        <f t="shared" si="2"/>
        <v>1</v>
      </c>
      <c r="F937" s="15"/>
      <c r="G937" s="4"/>
    </row>
    <row r="938" ht="14.25" customHeight="1">
      <c r="A938" s="8" t="s">
        <v>2071</v>
      </c>
      <c r="B938" s="8">
        <v>6.4</v>
      </c>
      <c r="C938" s="4" t="str">
        <f>IFERROR(__xludf.DUMMYFUNCTION("""COMPUTED_VALUE"""),"Kevin Greutert")</f>
        <v>Kevin Greutert</v>
      </c>
      <c r="D938" s="31">
        <f t="shared" si="1"/>
        <v>5.8</v>
      </c>
      <c r="E938" s="4">
        <f t="shared" si="2"/>
        <v>2</v>
      </c>
      <c r="F938" s="15"/>
      <c r="G938" s="4"/>
    </row>
    <row r="939" ht="14.25" customHeight="1">
      <c r="A939" s="8" t="s">
        <v>33</v>
      </c>
      <c r="B939" s="8">
        <v>6.5</v>
      </c>
      <c r="C939" s="4" t="str">
        <f>IFERROR(__xludf.DUMMYFUNCTION("""COMPUTED_VALUE"""),"John Fortenberry")</f>
        <v>John Fortenberry</v>
      </c>
      <c r="D939" s="31">
        <f t="shared" si="1"/>
        <v>6.2</v>
      </c>
      <c r="E939" s="4">
        <f t="shared" si="2"/>
        <v>1</v>
      </c>
      <c r="F939" s="15"/>
      <c r="G939" s="4"/>
    </row>
    <row r="940" ht="14.25" customHeight="1">
      <c r="A940" s="8" t="s">
        <v>2139</v>
      </c>
      <c r="B940" s="8">
        <v>4.3</v>
      </c>
      <c r="C940" s="4" t="str">
        <f>IFERROR(__xludf.DUMMYFUNCTION("""COMPUTED_VALUE"""),"Daniel Barnz")</f>
        <v>Daniel Barnz</v>
      </c>
      <c r="D940" s="31">
        <f t="shared" si="1"/>
        <v>5.6</v>
      </c>
      <c r="E940" s="4">
        <f t="shared" si="2"/>
        <v>1</v>
      </c>
      <c r="F940" s="15"/>
      <c r="G940" s="4"/>
    </row>
    <row r="941" ht="14.25" customHeight="1">
      <c r="A941" s="8" t="s">
        <v>1888</v>
      </c>
      <c r="B941" s="8">
        <v>4.2</v>
      </c>
      <c r="C941" s="4" t="str">
        <f>IFERROR(__xludf.DUMMYFUNCTION("""COMPUTED_VALUE"""),"Jason Moore")</f>
        <v>Jason Moore</v>
      </c>
      <c r="D941" s="31">
        <f t="shared" si="1"/>
        <v>7.2</v>
      </c>
      <c r="E941" s="4">
        <f t="shared" si="2"/>
        <v>1</v>
      </c>
      <c r="F941" s="15"/>
      <c r="G941" s="4"/>
    </row>
    <row r="942" ht="14.25" customHeight="1">
      <c r="A942" s="8" t="s">
        <v>1506</v>
      </c>
      <c r="B942" s="8">
        <v>6.5</v>
      </c>
      <c r="C942" s="4" t="str">
        <f>IFERROR(__xludf.DUMMYFUNCTION("""COMPUTED_VALUE"""),"Robert Harmon")</f>
        <v>Robert Harmon</v>
      </c>
      <c r="D942" s="31">
        <f t="shared" si="1"/>
        <v>5.15</v>
      </c>
      <c r="E942" s="4">
        <f t="shared" si="2"/>
        <v>2</v>
      </c>
      <c r="F942" s="15"/>
      <c r="G942" s="4"/>
    </row>
    <row r="943" ht="14.25" customHeight="1">
      <c r="A943" s="8" t="s">
        <v>2145</v>
      </c>
      <c r="B943" s="8">
        <v>6.1</v>
      </c>
      <c r="C943" s="4" t="str">
        <f>IFERROR(__xludf.DUMMYFUNCTION("""COMPUTED_VALUE"""),"Trent Cooper")</f>
        <v>Trent Cooper</v>
      </c>
      <c r="D943" s="31">
        <f t="shared" si="1"/>
        <v>3.1</v>
      </c>
      <c r="E943" s="4">
        <f t="shared" si="2"/>
        <v>1</v>
      </c>
      <c r="F943" s="15"/>
      <c r="G943" s="4"/>
    </row>
    <row r="944" ht="14.25" customHeight="1">
      <c r="A944" s="8" t="s">
        <v>446</v>
      </c>
      <c r="B944" s="8">
        <v>6.3</v>
      </c>
      <c r="C944" s="4" t="str">
        <f>IFERROR(__xludf.DUMMYFUNCTION("""COMPUTED_VALUE"""),"Gary Halvorson")</f>
        <v>Gary Halvorson</v>
      </c>
      <c r="D944" s="31">
        <f t="shared" si="1"/>
        <v>5.8</v>
      </c>
      <c r="E944" s="4">
        <f t="shared" si="2"/>
        <v>1</v>
      </c>
      <c r="F944" s="15"/>
      <c r="G944" s="4"/>
    </row>
    <row r="945" ht="14.25" customHeight="1">
      <c r="A945" s="8" t="s">
        <v>2149</v>
      </c>
      <c r="B945" s="8">
        <v>6.2</v>
      </c>
      <c r="C945" s="4" t="str">
        <f>IFERROR(__xludf.DUMMYFUNCTION("""COMPUTED_VALUE"""),"Fede Alvarez")</f>
        <v>Fede Alvarez</v>
      </c>
      <c r="D945" s="31">
        <f t="shared" si="1"/>
        <v>6.5</v>
      </c>
      <c r="E945" s="4">
        <f t="shared" si="2"/>
        <v>1</v>
      </c>
      <c r="F945" s="15"/>
      <c r="G945" s="4"/>
    </row>
    <row r="946" ht="14.25" customHeight="1">
      <c r="A946" s="8" t="s">
        <v>1580</v>
      </c>
      <c r="B946" s="8">
        <v>5.9</v>
      </c>
      <c r="C946" s="4" t="str">
        <f>IFERROR(__xludf.DUMMYFUNCTION("""COMPUTED_VALUE"""),"Sidney J. Furie")</f>
        <v>Sidney J. Furie</v>
      </c>
      <c r="D946" s="31">
        <f t="shared" si="1"/>
        <v>3.6</v>
      </c>
      <c r="E946" s="4">
        <f t="shared" si="2"/>
        <v>1</v>
      </c>
      <c r="F946" s="15"/>
      <c r="G946" s="4"/>
    </row>
    <row r="947" ht="14.25" customHeight="1">
      <c r="A947" s="8" t="s">
        <v>2152</v>
      </c>
      <c r="B947" s="8">
        <v>5.9</v>
      </c>
      <c r="C947" s="4" t="str">
        <f>IFERROR(__xludf.DUMMYFUNCTION("""COMPUTED_VALUE"""),"Wayne Kramer")</f>
        <v>Wayne Kramer</v>
      </c>
      <c r="D947" s="31">
        <f t="shared" si="1"/>
        <v>7.2</v>
      </c>
      <c r="E947" s="4">
        <f t="shared" si="2"/>
        <v>2</v>
      </c>
      <c r="F947" s="15"/>
      <c r="G947" s="4"/>
    </row>
    <row r="948" ht="14.25" customHeight="1">
      <c r="A948" s="8" t="s">
        <v>545</v>
      </c>
      <c r="B948" s="8">
        <v>6.5</v>
      </c>
      <c r="C948" s="4" t="str">
        <f>IFERROR(__xludf.DUMMYFUNCTION("""COMPUTED_VALUE"""),"Jim Goddard")</f>
        <v>Jim Goddard</v>
      </c>
      <c r="D948" s="31">
        <f t="shared" si="1"/>
        <v>3</v>
      </c>
      <c r="E948" s="4">
        <f t="shared" si="2"/>
        <v>1</v>
      </c>
      <c r="F948" s="15"/>
      <c r="G948" s="4"/>
    </row>
    <row r="949" ht="14.25" customHeight="1">
      <c r="A949" s="8" t="s">
        <v>1506</v>
      </c>
      <c r="B949" s="8">
        <v>6.4</v>
      </c>
      <c r="C949" s="4" t="str">
        <f>IFERROR(__xludf.DUMMYFUNCTION("""COMPUTED_VALUE"""),"Noel Marshall")</f>
        <v>Noel Marshall</v>
      </c>
      <c r="D949" s="31">
        <f t="shared" si="1"/>
        <v>6.4</v>
      </c>
      <c r="E949" s="4">
        <f t="shared" si="2"/>
        <v>1</v>
      </c>
      <c r="F949" s="15"/>
      <c r="G949" s="4"/>
    </row>
    <row r="950" ht="14.25" customHeight="1">
      <c r="A950" s="8" t="s">
        <v>769</v>
      </c>
      <c r="B950" s="8">
        <v>6.5</v>
      </c>
      <c r="C950" s="4" t="str">
        <f>IFERROR(__xludf.DUMMYFUNCTION("""COMPUTED_VALUE"""),"Andrea Di Stefano")</f>
        <v>Andrea Di Stefano</v>
      </c>
      <c r="D950" s="31">
        <f t="shared" si="1"/>
        <v>6.6</v>
      </c>
      <c r="E950" s="4">
        <f t="shared" si="2"/>
        <v>1</v>
      </c>
      <c r="F950" s="15"/>
      <c r="G950" s="4"/>
    </row>
    <row r="951" ht="14.25" customHeight="1">
      <c r="A951" s="8" t="s">
        <v>2158</v>
      </c>
      <c r="B951" s="8">
        <v>5.7</v>
      </c>
      <c r="C951" s="4" t="str">
        <f>IFERROR(__xludf.DUMMYFUNCTION("""COMPUTED_VALUE"""),"Todd Lincoln")</f>
        <v>Todd Lincoln</v>
      </c>
      <c r="D951" s="31">
        <f t="shared" si="1"/>
        <v>4.1</v>
      </c>
      <c r="E951" s="4">
        <f t="shared" si="2"/>
        <v>1</v>
      </c>
      <c r="F951" s="15"/>
      <c r="G951" s="4"/>
    </row>
    <row r="952" ht="14.25" customHeight="1">
      <c r="A952" s="8" t="s">
        <v>258</v>
      </c>
      <c r="B952" s="8">
        <v>8.0</v>
      </c>
      <c r="C952" s="4" t="str">
        <f>IFERROR(__xludf.DUMMYFUNCTION("""COMPUTED_VALUE"""),"Howard Zieff")</f>
        <v>Howard Zieff</v>
      </c>
      <c r="D952" s="31">
        <f t="shared" si="1"/>
        <v>6.45</v>
      </c>
      <c r="E952" s="4">
        <f t="shared" si="2"/>
        <v>2</v>
      </c>
      <c r="F952" s="15"/>
      <c r="G952" s="4"/>
    </row>
    <row r="953" ht="14.25" customHeight="1">
      <c r="A953" s="8" t="s">
        <v>2161</v>
      </c>
      <c r="B953" s="8">
        <v>7.3</v>
      </c>
      <c r="C953" s="4" t="str">
        <f>IFERROR(__xludf.DUMMYFUNCTION("""COMPUTED_VALUE"""),"Steven Shainberg")</f>
        <v>Steven Shainberg</v>
      </c>
      <c r="D953" s="31">
        <f t="shared" si="1"/>
        <v>6.8</v>
      </c>
      <c r="E953" s="4">
        <f t="shared" si="2"/>
        <v>2</v>
      </c>
      <c r="F953" s="15"/>
      <c r="G953" s="4"/>
    </row>
    <row r="954" ht="14.25" customHeight="1">
      <c r="A954" s="8" t="s">
        <v>972</v>
      </c>
      <c r="B954" s="8">
        <v>6.7</v>
      </c>
      <c r="C954" s="4" t="str">
        <f>IFERROR(__xludf.DUMMYFUNCTION("""COMPUTED_VALUE"""),"Julian Jarrold")</f>
        <v>Julian Jarrold</v>
      </c>
      <c r="D954" s="31">
        <f t="shared" si="1"/>
        <v>7.1</v>
      </c>
      <c r="E954" s="4">
        <f t="shared" si="2"/>
        <v>1</v>
      </c>
      <c r="F954" s="15"/>
      <c r="G954" s="4"/>
    </row>
    <row r="955" ht="14.25" customHeight="1">
      <c r="A955" s="8" t="s">
        <v>1900</v>
      </c>
      <c r="B955" s="8">
        <v>7.5</v>
      </c>
      <c r="C955" s="4" t="str">
        <f>IFERROR(__xludf.DUMMYFUNCTION("""COMPUTED_VALUE"""),"Joe Nussbaum")</f>
        <v>Joe Nussbaum</v>
      </c>
      <c r="D955" s="31">
        <f t="shared" si="1"/>
        <v>5.666666667</v>
      </c>
      <c r="E955" s="4">
        <f t="shared" si="2"/>
        <v>3</v>
      </c>
      <c r="F955" s="15"/>
      <c r="G955" s="4"/>
    </row>
    <row r="956" ht="14.25" customHeight="1">
      <c r="A956" s="8" t="s">
        <v>1809</v>
      </c>
      <c r="B956" s="8">
        <v>5.4</v>
      </c>
      <c r="C956" s="4" t="str">
        <f>IFERROR(__xludf.DUMMYFUNCTION("""COMPUTED_VALUE"""),"Vadim Perelman")</f>
        <v>Vadim Perelman</v>
      </c>
      <c r="D956" s="31">
        <f t="shared" si="1"/>
        <v>7</v>
      </c>
      <c r="E956" s="4">
        <f t="shared" si="2"/>
        <v>2</v>
      </c>
      <c r="F956" s="15"/>
      <c r="G956" s="4"/>
    </row>
    <row r="957" ht="14.25" customHeight="1">
      <c r="A957" s="8" t="s">
        <v>2066</v>
      </c>
      <c r="B957" s="8">
        <v>6.6</v>
      </c>
      <c r="C957" s="4" t="str">
        <f>IFERROR(__xludf.DUMMYFUNCTION("""COMPUTED_VALUE"""),"Peter Farrelly")</f>
        <v>Peter Farrelly</v>
      </c>
      <c r="D957" s="31">
        <f t="shared" si="1"/>
        <v>7.3</v>
      </c>
      <c r="E957" s="4">
        <f t="shared" si="2"/>
        <v>1</v>
      </c>
      <c r="F957" s="15"/>
      <c r="G957" s="4"/>
    </row>
    <row r="958" ht="14.25" customHeight="1">
      <c r="A958" s="8" t="s">
        <v>2170</v>
      </c>
      <c r="B958" s="8">
        <v>7.7</v>
      </c>
      <c r="C958" s="4" t="str">
        <f>IFERROR(__xludf.DUMMYFUNCTION("""COMPUTED_VALUE"""),"Michel Hazanavicius")</f>
        <v>Michel Hazanavicius</v>
      </c>
      <c r="D958" s="31">
        <f t="shared" si="1"/>
        <v>8</v>
      </c>
      <c r="E958" s="4">
        <f t="shared" si="2"/>
        <v>1</v>
      </c>
      <c r="F958" s="15"/>
      <c r="G958" s="4"/>
    </row>
    <row r="959" ht="14.25" customHeight="1">
      <c r="A959" s="8" t="s">
        <v>2172</v>
      </c>
      <c r="B959" s="8">
        <v>5.8</v>
      </c>
      <c r="C959" s="4" t="str">
        <f>IFERROR(__xludf.DUMMYFUNCTION("""COMPUTED_VALUE"""),"Cyrus Nowrasteh")</f>
        <v>Cyrus Nowrasteh</v>
      </c>
      <c r="D959" s="31">
        <f t="shared" si="1"/>
        <v>5.4</v>
      </c>
      <c r="E959" s="4">
        <f t="shared" si="2"/>
        <v>1</v>
      </c>
      <c r="F959" s="15"/>
      <c r="G959" s="4"/>
    </row>
    <row r="960" ht="14.25" customHeight="1">
      <c r="A960" s="8" t="s">
        <v>830</v>
      </c>
      <c r="B960" s="8">
        <v>6.4</v>
      </c>
      <c r="C960" s="4" t="str">
        <f>IFERROR(__xludf.DUMMYFUNCTION("""COMPUTED_VALUE"""),"Perry Andelin Blake")</f>
        <v>Perry Andelin Blake</v>
      </c>
      <c r="D960" s="31">
        <f t="shared" si="1"/>
        <v>3.3</v>
      </c>
      <c r="E960" s="4">
        <f t="shared" si="2"/>
        <v>1</v>
      </c>
      <c r="F960" s="15"/>
      <c r="G960" s="4"/>
    </row>
    <row r="961" ht="14.25" customHeight="1">
      <c r="A961" s="8" t="s">
        <v>2176</v>
      </c>
      <c r="B961" s="8">
        <v>5.6</v>
      </c>
      <c r="C961" s="4" t="str">
        <f>IFERROR(__xludf.DUMMYFUNCTION("""COMPUTED_VALUE"""),"Christian E. Christiansen")</f>
        <v>Christian E. Christiansen</v>
      </c>
      <c r="D961" s="31">
        <f t="shared" si="1"/>
        <v>4.8</v>
      </c>
      <c r="E961" s="4">
        <f t="shared" si="2"/>
        <v>1</v>
      </c>
      <c r="F961" s="15"/>
      <c r="G961" s="4"/>
    </row>
    <row r="962" ht="14.25" customHeight="1">
      <c r="A962" s="8" t="s">
        <v>2179</v>
      </c>
      <c r="B962" s="8">
        <v>6.0</v>
      </c>
      <c r="C962" s="4" t="str">
        <f>IFERROR(__xludf.DUMMYFUNCTION("""COMPUTED_VALUE"""),"Sheldon Lettich")</f>
        <v>Sheldon Lettich</v>
      </c>
      <c r="D962" s="31">
        <f t="shared" si="1"/>
        <v>6.1</v>
      </c>
      <c r="E962" s="4">
        <f t="shared" si="2"/>
        <v>2</v>
      </c>
      <c r="F962" s="15"/>
      <c r="G962" s="4"/>
    </row>
    <row r="963" ht="14.25" customHeight="1">
      <c r="A963" s="8" t="s">
        <v>2181</v>
      </c>
      <c r="B963" s="8">
        <v>6.2</v>
      </c>
      <c r="C963" s="4" t="str">
        <f>IFERROR(__xludf.DUMMYFUNCTION("""COMPUTED_VALUE"""),"Diane English")</f>
        <v>Diane English</v>
      </c>
      <c r="D963" s="31">
        <f t="shared" si="1"/>
        <v>4.9</v>
      </c>
      <c r="E963" s="4">
        <f t="shared" si="2"/>
        <v>1</v>
      </c>
      <c r="F963" s="15"/>
      <c r="G963" s="4"/>
    </row>
    <row r="964" ht="14.25" customHeight="1">
      <c r="A964" s="8" t="s">
        <v>2184</v>
      </c>
      <c r="B964" s="8">
        <v>5.9</v>
      </c>
      <c r="C964" s="4" t="str">
        <f>IFERROR(__xludf.DUMMYFUNCTION("""COMPUTED_VALUE"""),"Robert Iscove")</f>
        <v>Robert Iscove</v>
      </c>
      <c r="D964" s="31">
        <f t="shared" si="1"/>
        <v>4.4</v>
      </c>
      <c r="E964" s="4">
        <f t="shared" si="2"/>
        <v>3</v>
      </c>
      <c r="F964" s="15"/>
      <c r="G964" s="4"/>
    </row>
    <row r="965" ht="14.25" customHeight="1">
      <c r="A965" s="8" t="s">
        <v>2187</v>
      </c>
      <c r="B965" s="8">
        <v>5.1</v>
      </c>
      <c r="C965" s="4" t="str">
        <f>IFERROR(__xludf.DUMMYFUNCTION("""COMPUTED_VALUE"""),"Peter Kosminsky")</f>
        <v>Peter Kosminsky</v>
      </c>
      <c r="D965" s="31">
        <f t="shared" si="1"/>
        <v>7.2</v>
      </c>
      <c r="E965" s="4">
        <f t="shared" si="2"/>
        <v>1</v>
      </c>
      <c r="F965" s="15"/>
      <c r="G965" s="4"/>
    </row>
    <row r="966" ht="14.25" customHeight="1">
      <c r="A966" s="8" t="s">
        <v>225</v>
      </c>
      <c r="B966" s="8">
        <v>6.8</v>
      </c>
      <c r="C966" s="4" t="str">
        <f>IFERROR(__xludf.DUMMYFUNCTION("""COMPUTED_VALUE"""),"Nick Gomez")</f>
        <v>Nick Gomez</v>
      </c>
      <c r="D966" s="31">
        <f t="shared" si="1"/>
        <v>5.6</v>
      </c>
      <c r="E966" s="4">
        <f t="shared" si="2"/>
        <v>1</v>
      </c>
      <c r="F966" s="15"/>
      <c r="G966" s="4"/>
    </row>
    <row r="967" ht="14.25" customHeight="1">
      <c r="A967" s="8" t="s">
        <v>722</v>
      </c>
      <c r="B967" s="8">
        <v>6.0</v>
      </c>
      <c r="C967" s="4" t="str">
        <f>IFERROR(__xludf.DUMMYFUNCTION("""COMPUTED_VALUE"""),"Allen Coulter")</f>
        <v>Allen Coulter</v>
      </c>
      <c r="D967" s="31">
        <f t="shared" si="1"/>
        <v>7.2</v>
      </c>
      <c r="E967" s="4">
        <f t="shared" si="2"/>
        <v>1</v>
      </c>
      <c r="F967" s="15"/>
      <c r="G967" s="4"/>
    </row>
    <row r="968" ht="14.25" customHeight="1">
      <c r="A968" s="8" t="s">
        <v>1914</v>
      </c>
      <c r="B968" s="8">
        <v>5.1</v>
      </c>
      <c r="C968" s="4" t="str">
        <f>IFERROR(__xludf.DUMMYFUNCTION("""COMPUTED_VALUE"""),"Clare Kilner")</f>
        <v>Clare Kilner</v>
      </c>
      <c r="D968" s="31">
        <f t="shared" si="1"/>
        <v>5.9</v>
      </c>
      <c r="E968" s="4">
        <f t="shared" si="2"/>
        <v>2</v>
      </c>
      <c r="F968" s="15"/>
      <c r="G968" s="4"/>
    </row>
    <row r="969" ht="14.25" customHeight="1">
      <c r="A969" s="8" t="s">
        <v>1839</v>
      </c>
      <c r="B969" s="8">
        <v>5.8</v>
      </c>
      <c r="C969" s="4" t="str">
        <f>IFERROR(__xludf.DUMMYFUNCTION("""COMPUTED_VALUE"""),"Josef Rusnak")</f>
        <v>Josef Rusnak</v>
      </c>
      <c r="D969" s="31">
        <f t="shared" si="1"/>
        <v>7</v>
      </c>
      <c r="E969" s="4">
        <f t="shared" si="2"/>
        <v>1</v>
      </c>
      <c r="F969" s="15"/>
      <c r="G969" s="4"/>
    </row>
    <row r="970" ht="14.25" customHeight="1">
      <c r="A970" s="8" t="s">
        <v>2195</v>
      </c>
      <c r="B970" s="8">
        <v>6.2</v>
      </c>
      <c r="C970" s="4" t="str">
        <f>IFERROR(__xludf.DUMMYFUNCTION("""COMPUTED_VALUE"""),"Bruce Paltrow")</f>
        <v>Bruce Paltrow</v>
      </c>
      <c r="D970" s="31">
        <f t="shared" si="1"/>
        <v>6</v>
      </c>
      <c r="E970" s="4">
        <f t="shared" si="2"/>
        <v>1</v>
      </c>
      <c r="F970" s="15"/>
      <c r="G970" s="4"/>
    </row>
    <row r="971" ht="14.25" customHeight="1">
      <c r="A971" s="8" t="s">
        <v>2198</v>
      </c>
      <c r="B971" s="8">
        <v>6.4</v>
      </c>
      <c r="C971" s="4" t="str">
        <f>IFERROR(__xludf.DUMMYFUNCTION("""COMPUTED_VALUE"""),"Adam Rifkin")</f>
        <v>Adam Rifkin</v>
      </c>
      <c r="D971" s="31">
        <f t="shared" si="1"/>
        <v>6.8</v>
      </c>
      <c r="E971" s="4">
        <f t="shared" si="2"/>
        <v>1</v>
      </c>
      <c r="F971" s="15"/>
      <c r="G971" s="4"/>
    </row>
    <row r="972" ht="14.25" customHeight="1">
      <c r="A972" s="8" t="s">
        <v>894</v>
      </c>
      <c r="B972" s="8">
        <v>4.8</v>
      </c>
      <c r="C972" s="4" t="str">
        <f>IFERROR(__xludf.DUMMYFUNCTION("""COMPUTED_VALUE"""),"Susanne Bier")</f>
        <v>Susanne Bier</v>
      </c>
      <c r="D972" s="31">
        <f t="shared" si="1"/>
        <v>7.2</v>
      </c>
      <c r="E972" s="4">
        <f t="shared" si="2"/>
        <v>1</v>
      </c>
      <c r="F972" s="15"/>
      <c r="G972" s="4"/>
    </row>
    <row r="973" ht="14.25" customHeight="1">
      <c r="A973" s="8" t="s">
        <v>2201</v>
      </c>
      <c r="B973" s="8">
        <v>4.9</v>
      </c>
      <c r="C973" s="4" t="str">
        <f>IFERROR(__xludf.DUMMYFUNCTION("""COMPUTED_VALUE"""),"Kenneth Johnson")</f>
        <v>Kenneth Johnson</v>
      </c>
      <c r="D973" s="31">
        <f t="shared" si="1"/>
        <v>2.8</v>
      </c>
      <c r="E973" s="4">
        <f t="shared" si="2"/>
        <v>1</v>
      </c>
      <c r="F973" s="15"/>
      <c r="G973" s="4"/>
    </row>
    <row r="974" ht="14.25" customHeight="1">
      <c r="A974" s="8" t="s">
        <v>1251</v>
      </c>
      <c r="B974" s="8">
        <v>5.6</v>
      </c>
      <c r="C974" s="4" t="str">
        <f>IFERROR(__xludf.DUMMYFUNCTION("""COMPUTED_VALUE"""),"James Ivory")</f>
        <v>James Ivory</v>
      </c>
      <c r="D974" s="31">
        <f t="shared" si="1"/>
        <v>7.1</v>
      </c>
      <c r="E974" s="4">
        <f t="shared" si="2"/>
        <v>5</v>
      </c>
      <c r="F974" s="15"/>
      <c r="G974" s="4"/>
    </row>
    <row r="975" ht="14.25" customHeight="1">
      <c r="A975" s="8" t="s">
        <v>2205</v>
      </c>
      <c r="B975" s="8">
        <v>5.5</v>
      </c>
      <c r="C975" s="4" t="str">
        <f>IFERROR(__xludf.DUMMYFUNCTION("""COMPUTED_VALUE"""),"Jessy Terrero")</f>
        <v>Jessy Terrero</v>
      </c>
      <c r="D975" s="31">
        <f t="shared" si="1"/>
        <v>4.4</v>
      </c>
      <c r="E975" s="4">
        <f t="shared" si="2"/>
        <v>1</v>
      </c>
      <c r="F975" s="15"/>
      <c r="G975" s="4"/>
    </row>
    <row r="976" ht="14.25" customHeight="1">
      <c r="A976" s="8" t="s">
        <v>1404</v>
      </c>
      <c r="B976" s="8">
        <v>3.7</v>
      </c>
      <c r="C976" s="4" t="str">
        <f>IFERROR(__xludf.DUMMYFUNCTION("""COMPUTED_VALUE"""),"Vicente Amorim")</f>
        <v>Vicente Amorim</v>
      </c>
      <c r="D976" s="31">
        <f t="shared" si="1"/>
        <v>6.2</v>
      </c>
      <c r="E976" s="4">
        <f t="shared" si="2"/>
        <v>1</v>
      </c>
      <c r="F976" s="15"/>
      <c r="G976" s="4"/>
    </row>
    <row r="977" ht="14.25" customHeight="1">
      <c r="A977" s="8" t="s">
        <v>2209</v>
      </c>
      <c r="B977" s="8">
        <v>5.9</v>
      </c>
      <c r="C977" s="4" t="str">
        <f>IFERROR(__xludf.DUMMYFUNCTION("""COMPUTED_VALUE"""),"Gaspar NoÃ©")</f>
        <v>Gaspar NoÃ©</v>
      </c>
      <c r="D977" s="31">
        <f t="shared" si="1"/>
        <v>7.3</v>
      </c>
      <c r="E977" s="4">
        <f t="shared" si="2"/>
        <v>1</v>
      </c>
      <c r="F977" s="15"/>
      <c r="G977" s="4"/>
    </row>
    <row r="978" ht="14.25" customHeight="1">
      <c r="A978" s="8" t="s">
        <v>875</v>
      </c>
      <c r="B978" s="8">
        <v>6.3</v>
      </c>
      <c r="C978" s="4" t="str">
        <f>IFERROR(__xludf.DUMMYFUNCTION("""COMPUTED_VALUE"""),"Tommy Lee Jones")</f>
        <v>Tommy Lee Jones</v>
      </c>
      <c r="D978" s="31">
        <f t="shared" si="1"/>
        <v>7.05</v>
      </c>
      <c r="E978" s="4">
        <f t="shared" si="2"/>
        <v>2</v>
      </c>
      <c r="F978" s="15"/>
      <c r="G978" s="4"/>
    </row>
    <row r="979" ht="14.25" customHeight="1">
      <c r="A979" s="8" t="s">
        <v>639</v>
      </c>
      <c r="B979" s="8">
        <v>7.6</v>
      </c>
      <c r="C979" s="4" t="str">
        <f>IFERROR(__xludf.DUMMYFUNCTION("""COMPUTED_VALUE"""),"Jesse Vaughan")</f>
        <v>Jesse Vaughan</v>
      </c>
      <c r="D979" s="31">
        <f t="shared" si="1"/>
        <v>4.5</v>
      </c>
      <c r="E979" s="4">
        <f t="shared" si="2"/>
        <v>1</v>
      </c>
      <c r="F979" s="15"/>
      <c r="G979" s="4"/>
    </row>
    <row r="980" ht="14.25" customHeight="1">
      <c r="A980" s="8" t="s">
        <v>168</v>
      </c>
      <c r="B980" s="8">
        <v>8.3</v>
      </c>
      <c r="C980" s="4" t="str">
        <f>IFERROR(__xludf.DUMMYFUNCTION("""COMPUTED_VALUE"""),"Wayne Beach")</f>
        <v>Wayne Beach</v>
      </c>
      <c r="D980" s="31">
        <f t="shared" si="1"/>
        <v>5.9</v>
      </c>
      <c r="E980" s="4">
        <f t="shared" si="2"/>
        <v>1</v>
      </c>
      <c r="F980" s="15"/>
      <c r="G980" s="4"/>
    </row>
    <row r="981" ht="14.25" customHeight="1">
      <c r="A981" s="8" t="s">
        <v>580</v>
      </c>
      <c r="B981" s="8">
        <v>6.9</v>
      </c>
      <c r="C981" s="4" t="str">
        <f>IFERROR(__xludf.DUMMYFUNCTION("""COMPUTED_VALUE"""),"GÃ©rard Krawczyk")</f>
        <v>GÃ©rard Krawczyk</v>
      </c>
      <c r="D981" s="31">
        <f t="shared" si="1"/>
        <v>6.6</v>
      </c>
      <c r="E981" s="4">
        <f t="shared" si="2"/>
        <v>1</v>
      </c>
      <c r="F981" s="15"/>
      <c r="G981" s="4"/>
    </row>
    <row r="982" ht="14.25" customHeight="1">
      <c r="A982" s="8" t="s">
        <v>502</v>
      </c>
      <c r="B982" s="8">
        <v>6.7</v>
      </c>
      <c r="C982" s="4" t="str">
        <f>IFERROR(__xludf.DUMMYFUNCTION("""COMPUTED_VALUE"""),"Udayan Prasad")</f>
        <v>Udayan Prasad</v>
      </c>
      <c r="D982" s="31">
        <f t="shared" si="1"/>
        <v>6.8</v>
      </c>
      <c r="E982" s="4">
        <f t="shared" si="2"/>
        <v>1</v>
      </c>
      <c r="F982" s="15"/>
      <c r="G982" s="4"/>
    </row>
    <row r="983" ht="14.25" customHeight="1">
      <c r="A983" s="8" t="s">
        <v>291</v>
      </c>
      <c r="B983" s="8">
        <v>6.8</v>
      </c>
      <c r="C983" s="4" t="str">
        <f>IFERROR(__xludf.DUMMYFUNCTION("""COMPUTED_VALUE"""),"Morten Tyldum")</f>
        <v>Morten Tyldum</v>
      </c>
      <c r="D983" s="31">
        <f t="shared" si="1"/>
        <v>7.85</v>
      </c>
      <c r="E983" s="4">
        <f t="shared" si="2"/>
        <v>2</v>
      </c>
      <c r="F983" s="15"/>
      <c r="G983" s="4"/>
    </row>
    <row r="984" ht="14.25" customHeight="1">
      <c r="A984" s="8" t="s">
        <v>1695</v>
      </c>
      <c r="B984" s="8">
        <v>7.1</v>
      </c>
      <c r="C984" s="4" t="str">
        <f>IFERROR(__xludf.DUMMYFUNCTION("""COMPUTED_VALUE"""),"AndrÃ©s Muschietti")</f>
        <v>AndrÃ©s Muschietti</v>
      </c>
      <c r="D984" s="31">
        <f t="shared" si="1"/>
        <v>6.2</v>
      </c>
      <c r="E984" s="4">
        <f t="shared" si="2"/>
        <v>1</v>
      </c>
      <c r="F984" s="15"/>
      <c r="G984" s="4"/>
    </row>
    <row r="985" ht="14.25" customHeight="1">
      <c r="A985" s="8" t="s">
        <v>991</v>
      </c>
      <c r="B985" s="8">
        <v>6.4</v>
      </c>
      <c r="C985" s="4" t="str">
        <f>IFERROR(__xludf.DUMMYFUNCTION("""COMPUTED_VALUE"""),"Gillian Armstrong")</f>
        <v>Gillian Armstrong</v>
      </c>
      <c r="D985" s="31">
        <f t="shared" si="1"/>
        <v>7</v>
      </c>
      <c r="E985" s="4">
        <f t="shared" si="2"/>
        <v>2</v>
      </c>
      <c r="F985" s="15"/>
      <c r="G985" s="4"/>
    </row>
    <row r="986" ht="14.25" customHeight="1">
      <c r="A986" s="8" t="s">
        <v>1277</v>
      </c>
      <c r="B986" s="8">
        <v>6.4</v>
      </c>
      <c r="C986" s="4" t="str">
        <f>IFERROR(__xludf.DUMMYFUNCTION("""COMPUTED_VALUE"""),"James Watkins")</f>
        <v>James Watkins</v>
      </c>
      <c r="D986" s="31">
        <f t="shared" si="1"/>
        <v>6.4</v>
      </c>
      <c r="E986" s="4">
        <f t="shared" si="2"/>
        <v>1</v>
      </c>
      <c r="F986" s="15"/>
      <c r="G986" s="4"/>
    </row>
    <row r="987" ht="14.25" customHeight="1">
      <c r="A987" s="8" t="s">
        <v>1794</v>
      </c>
      <c r="B987" s="8">
        <v>7.4</v>
      </c>
      <c r="C987" s="4" t="str">
        <f>IFERROR(__xludf.DUMMYFUNCTION("""COMPUTED_VALUE"""),"Jim Fall")</f>
        <v>Jim Fall</v>
      </c>
      <c r="D987" s="31">
        <f t="shared" si="1"/>
        <v>5.3</v>
      </c>
      <c r="E987" s="4">
        <f t="shared" si="2"/>
        <v>1</v>
      </c>
      <c r="F987" s="15"/>
      <c r="G987" s="4"/>
    </row>
    <row r="988" ht="14.25" customHeight="1">
      <c r="A988" s="8" t="s">
        <v>596</v>
      </c>
      <c r="B988" s="8">
        <v>6.4</v>
      </c>
      <c r="C988" s="4" t="str">
        <f>IFERROR(__xludf.DUMMYFUNCTION("""COMPUTED_VALUE"""),"Ric Roman Waugh")</f>
        <v>Ric Roman Waugh</v>
      </c>
      <c r="D988" s="31">
        <f t="shared" si="1"/>
        <v>6.5</v>
      </c>
      <c r="E988" s="4">
        <f t="shared" si="2"/>
        <v>2</v>
      </c>
      <c r="F988" s="15"/>
      <c r="G988" s="4"/>
    </row>
    <row r="989" ht="14.25" customHeight="1">
      <c r="A989" s="8" t="s">
        <v>1719</v>
      </c>
      <c r="B989" s="8">
        <v>6.0</v>
      </c>
      <c r="C989" s="4" t="str">
        <f>IFERROR(__xludf.DUMMYFUNCTION("""COMPUTED_VALUE"""),"Michael Dougherty")</f>
        <v>Michael Dougherty</v>
      </c>
      <c r="D989" s="31">
        <f t="shared" si="1"/>
        <v>6.2</v>
      </c>
      <c r="E989" s="4">
        <f t="shared" si="2"/>
        <v>1</v>
      </c>
      <c r="F989" s="15"/>
      <c r="G989" s="4"/>
    </row>
    <row r="990" ht="14.25" customHeight="1">
      <c r="A990" s="8" t="s">
        <v>1957</v>
      </c>
      <c r="B990" s="8">
        <v>6.5</v>
      </c>
      <c r="C990" s="4" t="str">
        <f>IFERROR(__xludf.DUMMYFUNCTION("""COMPUTED_VALUE"""),"Joel Gallen")</f>
        <v>Joel Gallen</v>
      </c>
      <c r="D990" s="31">
        <f t="shared" si="1"/>
        <v>5.7</v>
      </c>
      <c r="E990" s="4">
        <f t="shared" si="2"/>
        <v>1</v>
      </c>
      <c r="F990" s="15"/>
      <c r="G990" s="4"/>
    </row>
    <row r="991" ht="14.25" customHeight="1">
      <c r="A991" s="8" t="s">
        <v>596</v>
      </c>
      <c r="B991" s="8">
        <v>7.8</v>
      </c>
      <c r="C991" s="4" t="str">
        <f>IFERROR(__xludf.DUMMYFUNCTION("""COMPUTED_VALUE"""),"James Marsh")</f>
        <v>James Marsh</v>
      </c>
      <c r="D991" s="31">
        <f t="shared" si="1"/>
        <v>7.75</v>
      </c>
      <c r="E991" s="4">
        <f t="shared" si="2"/>
        <v>2</v>
      </c>
      <c r="F991" s="15"/>
      <c r="G991" s="4"/>
    </row>
    <row r="992" ht="14.25" customHeight="1">
      <c r="A992" s="8" t="s">
        <v>2234</v>
      </c>
      <c r="B992" s="8">
        <v>6.0</v>
      </c>
      <c r="C992" s="4" t="str">
        <f>IFERROR(__xludf.DUMMYFUNCTION("""COMPUTED_VALUE"""),"Matt Williams")</f>
        <v>Matt Williams</v>
      </c>
      <c r="D992" s="31">
        <f t="shared" si="1"/>
        <v>6.8</v>
      </c>
      <c r="E992" s="4">
        <f t="shared" si="2"/>
        <v>1</v>
      </c>
      <c r="F992" s="15"/>
      <c r="G992" s="4"/>
    </row>
    <row r="993" ht="14.25" customHeight="1">
      <c r="A993" s="8" t="s">
        <v>639</v>
      </c>
      <c r="B993" s="8">
        <v>7.0</v>
      </c>
      <c r="C993" s="4" t="str">
        <f>IFERROR(__xludf.DUMMYFUNCTION("""COMPUTED_VALUE"""),"Rob Zombie")</f>
        <v>Rob Zombie</v>
      </c>
      <c r="D993" s="31">
        <f t="shared" si="1"/>
        <v>5.725</v>
      </c>
      <c r="E993" s="4">
        <f t="shared" si="2"/>
        <v>4</v>
      </c>
      <c r="F993" s="15"/>
      <c r="G993" s="4"/>
    </row>
    <row r="994" ht="14.25" customHeight="1">
      <c r="A994" s="8" t="s">
        <v>894</v>
      </c>
      <c r="B994" s="8">
        <v>6.0</v>
      </c>
      <c r="C994" s="4" t="str">
        <f>IFERROR(__xludf.DUMMYFUNCTION("""COMPUTED_VALUE"""),"Dennis Iliadis")</f>
        <v>Dennis Iliadis</v>
      </c>
      <c r="D994" s="31">
        <f t="shared" si="1"/>
        <v>6.6</v>
      </c>
      <c r="E994" s="4">
        <f t="shared" si="2"/>
        <v>2</v>
      </c>
      <c r="F994" s="15"/>
      <c r="G994" s="4"/>
    </row>
    <row r="995" ht="14.25" customHeight="1">
      <c r="A995" s="8" t="s">
        <v>2239</v>
      </c>
      <c r="B995" s="8">
        <v>6.1</v>
      </c>
      <c r="C995" s="4" t="str">
        <f>IFERROR(__xludf.DUMMYFUNCTION("""COMPUTED_VALUE"""),"Rick Rosenthal")</f>
        <v>Rick Rosenthal</v>
      </c>
      <c r="D995" s="31">
        <f t="shared" si="1"/>
        <v>4.1</v>
      </c>
      <c r="E995" s="4">
        <f t="shared" si="2"/>
        <v>1</v>
      </c>
      <c r="F995" s="15"/>
      <c r="G995" s="4"/>
    </row>
    <row r="996" ht="14.25" customHeight="1">
      <c r="A996" s="8" t="s">
        <v>545</v>
      </c>
      <c r="B996" s="8">
        <v>6.8</v>
      </c>
      <c r="C996" s="4" t="str">
        <f>IFERROR(__xludf.DUMMYFUNCTION("""COMPUTED_VALUE"""),"Denzel Washington")</f>
        <v>Denzel Washington</v>
      </c>
      <c r="D996" s="31">
        <f t="shared" si="1"/>
        <v>7.45</v>
      </c>
      <c r="E996" s="4">
        <f t="shared" si="2"/>
        <v>2</v>
      </c>
      <c r="F996" s="15"/>
      <c r="G996" s="4"/>
    </row>
    <row r="997" ht="14.25" customHeight="1">
      <c r="A997" s="8" t="s">
        <v>2246</v>
      </c>
      <c r="B997" s="8">
        <v>6.4</v>
      </c>
      <c r="C997" s="4" t="str">
        <f>IFERROR(__xludf.DUMMYFUNCTION("""COMPUTED_VALUE"""),"Nicolas Winding Refn")</f>
        <v>Nicolas Winding Refn</v>
      </c>
      <c r="D997" s="31">
        <f t="shared" si="1"/>
        <v>6.833333333</v>
      </c>
      <c r="E997" s="4">
        <f t="shared" si="2"/>
        <v>3</v>
      </c>
      <c r="F997" s="15"/>
      <c r="G997" s="4"/>
    </row>
    <row r="998" ht="14.25" customHeight="1">
      <c r="A998" s="8" t="s">
        <v>2249</v>
      </c>
      <c r="B998" s="8">
        <v>4.5</v>
      </c>
      <c r="C998" s="4" t="str">
        <f>IFERROR(__xludf.DUMMYFUNCTION("""COMPUTED_VALUE"""),"Sara Sugarman")</f>
        <v>Sara Sugarman</v>
      </c>
      <c r="D998" s="31">
        <f t="shared" si="1"/>
        <v>4.6</v>
      </c>
      <c r="E998" s="4">
        <f t="shared" si="2"/>
        <v>1</v>
      </c>
      <c r="F998" s="15"/>
      <c r="G998" s="4"/>
    </row>
    <row r="999" ht="14.25" customHeight="1">
      <c r="A999" s="8" t="s">
        <v>2251</v>
      </c>
      <c r="B999" s="8">
        <v>5.8</v>
      </c>
      <c r="C999" s="4" t="str">
        <f>IFERROR(__xludf.DUMMYFUNCTION("""COMPUTED_VALUE"""),"Juan Carlos Fresnadillo")</f>
        <v>Juan Carlos Fresnadillo</v>
      </c>
      <c r="D999" s="31">
        <f t="shared" si="1"/>
        <v>7</v>
      </c>
      <c r="E999" s="4">
        <f t="shared" si="2"/>
        <v>1</v>
      </c>
      <c r="F999" s="15"/>
      <c r="G999" s="4"/>
    </row>
    <row r="1000" ht="14.25" customHeight="1">
      <c r="A1000" s="8" t="s">
        <v>2253</v>
      </c>
      <c r="B1000" s="8">
        <v>6.3</v>
      </c>
      <c r="C1000" s="4" t="str">
        <f>IFERROR(__xludf.DUMMYFUNCTION("""COMPUTED_VALUE"""),"Gina Prince-Bythewood")</f>
        <v>Gina Prince-Bythewood</v>
      </c>
      <c r="D1000" s="31">
        <f t="shared" si="1"/>
        <v>7.133333333</v>
      </c>
      <c r="E1000" s="4">
        <f t="shared" si="2"/>
        <v>3</v>
      </c>
      <c r="F1000" s="15"/>
      <c r="G1000" s="4"/>
    </row>
    <row r="1001" ht="14.25" customHeight="1">
      <c r="A1001" s="8" t="s">
        <v>2061</v>
      </c>
      <c r="B1001" s="8">
        <v>5.7</v>
      </c>
      <c r="C1001" s="4" t="str">
        <f>IFERROR(__xludf.DUMMYFUNCTION("""COMPUTED_VALUE"""),"Phil Traill")</f>
        <v>Phil Traill</v>
      </c>
      <c r="D1001" s="31">
        <f t="shared" si="1"/>
        <v>4.8</v>
      </c>
      <c r="E1001" s="4">
        <f t="shared" si="2"/>
        <v>1</v>
      </c>
      <c r="F1001" s="15"/>
      <c r="G1001" s="4"/>
    </row>
    <row r="1002" ht="14.25" customHeight="1">
      <c r="A1002" s="8" t="s">
        <v>25</v>
      </c>
      <c r="B1002" s="8">
        <v>7.2</v>
      </c>
      <c r="C1002" s="4" t="str">
        <f>IFERROR(__xludf.DUMMYFUNCTION("""COMPUTED_VALUE"""),"Joe Berlinger")</f>
        <v>Joe Berlinger</v>
      </c>
      <c r="D1002" s="31">
        <f t="shared" si="1"/>
        <v>4</v>
      </c>
      <c r="E1002" s="4">
        <f t="shared" si="2"/>
        <v>1</v>
      </c>
      <c r="F1002" s="15"/>
      <c r="G1002" s="4"/>
    </row>
    <row r="1003" ht="14.25" customHeight="1">
      <c r="A1003" s="8" t="s">
        <v>1376</v>
      </c>
      <c r="B1003" s="8">
        <v>7.6</v>
      </c>
      <c r="C1003" s="4" t="str">
        <f>IFERROR(__xludf.DUMMYFUNCTION("""COMPUTED_VALUE"""),"Elizabeth Allen Rosenbaum")</f>
        <v>Elizabeth Allen Rosenbaum</v>
      </c>
      <c r="D1003" s="31">
        <f t="shared" si="1"/>
        <v>6</v>
      </c>
      <c r="E1003" s="4">
        <f t="shared" si="2"/>
        <v>2</v>
      </c>
      <c r="F1003" s="15"/>
      <c r="G1003" s="4"/>
    </row>
    <row r="1004" ht="14.25" customHeight="1">
      <c r="A1004" s="8" t="s">
        <v>1896</v>
      </c>
      <c r="B1004" s="8">
        <v>4.7</v>
      </c>
      <c r="C1004" s="4" t="str">
        <f>IFERROR(__xludf.DUMMYFUNCTION("""COMPUTED_VALUE"""),"Michael Mayer")</f>
        <v>Michael Mayer</v>
      </c>
      <c r="D1004" s="31">
        <f t="shared" si="1"/>
        <v>6.5</v>
      </c>
      <c r="E1004" s="4">
        <f t="shared" si="2"/>
        <v>2</v>
      </c>
      <c r="F1004" s="15"/>
      <c r="G1004" s="4"/>
    </row>
    <row r="1005" ht="14.25" customHeight="1">
      <c r="A1005" s="8" t="s">
        <v>430</v>
      </c>
      <c r="B1005" s="8">
        <v>6.6</v>
      </c>
      <c r="C1005" s="4" t="str">
        <f>IFERROR(__xludf.DUMMYFUNCTION("""COMPUTED_VALUE"""),"Martin Weisz")</f>
        <v>Martin Weisz</v>
      </c>
      <c r="D1005" s="31">
        <f t="shared" si="1"/>
        <v>5.1</v>
      </c>
      <c r="E1005" s="4">
        <f t="shared" si="2"/>
        <v>1</v>
      </c>
      <c r="F1005" s="15"/>
      <c r="G1005" s="4"/>
    </row>
    <row r="1006" ht="14.25" customHeight="1">
      <c r="A1006" s="8" t="s">
        <v>221</v>
      </c>
      <c r="B1006" s="8">
        <v>6.8</v>
      </c>
      <c r="C1006" s="4" t="str">
        <f>IFERROR(__xludf.DUMMYFUNCTION("""COMPUTED_VALUE"""),"John Ottman")</f>
        <v>John Ottman</v>
      </c>
      <c r="D1006" s="31">
        <f t="shared" si="1"/>
        <v>4.1</v>
      </c>
      <c r="E1006" s="4">
        <f t="shared" si="2"/>
        <v>1</v>
      </c>
      <c r="F1006" s="15"/>
      <c r="G1006" s="4"/>
    </row>
    <row r="1007" ht="14.25" customHeight="1">
      <c r="A1007" s="8" t="s">
        <v>2264</v>
      </c>
      <c r="B1007" s="8">
        <v>7.3</v>
      </c>
      <c r="C1007" s="4" t="str">
        <f>IFERROR(__xludf.DUMMYFUNCTION("""COMPUTED_VALUE"""),"John Bonito")</f>
        <v>John Bonito</v>
      </c>
      <c r="D1007" s="31">
        <f t="shared" si="1"/>
        <v>4.7</v>
      </c>
      <c r="E1007" s="4">
        <f t="shared" si="2"/>
        <v>1</v>
      </c>
      <c r="F1007" s="15"/>
      <c r="G1007" s="4"/>
    </row>
    <row r="1008" ht="14.25" customHeight="1">
      <c r="A1008" s="8" t="s">
        <v>1669</v>
      </c>
      <c r="B1008" s="8">
        <v>4.8</v>
      </c>
      <c r="C1008" s="4" t="str">
        <f>IFERROR(__xludf.DUMMYFUNCTION("""COMPUTED_VALUE"""),"Peter Atencio")</f>
        <v>Peter Atencio</v>
      </c>
      <c r="D1008" s="31">
        <f t="shared" si="1"/>
        <v>6.4</v>
      </c>
      <c r="E1008" s="4">
        <f t="shared" si="2"/>
        <v>1</v>
      </c>
      <c r="F1008" s="15"/>
      <c r="G1008" s="4"/>
    </row>
    <row r="1009" ht="14.25" customHeight="1">
      <c r="A1009" s="8" t="s">
        <v>2234</v>
      </c>
      <c r="B1009" s="8">
        <v>6.3</v>
      </c>
      <c r="C1009" s="4" t="str">
        <f>IFERROR(__xludf.DUMMYFUNCTION("""COMPUTED_VALUE"""),"David Nutter")</f>
        <v>David Nutter</v>
      </c>
      <c r="D1009" s="31">
        <f t="shared" si="1"/>
        <v>5.5</v>
      </c>
      <c r="E1009" s="4">
        <f t="shared" si="2"/>
        <v>1</v>
      </c>
      <c r="F1009" s="15"/>
      <c r="G1009" s="4"/>
    </row>
    <row r="1010" ht="14.25" customHeight="1">
      <c r="A1010" s="8" t="s">
        <v>2271</v>
      </c>
      <c r="B1010" s="8">
        <v>5.5</v>
      </c>
      <c r="C1010" s="4" t="str">
        <f>IFERROR(__xludf.DUMMYFUNCTION("""COMPUTED_VALUE"""),"Derek Cianfrance")</f>
        <v>Derek Cianfrance</v>
      </c>
      <c r="D1010" s="31">
        <f t="shared" si="1"/>
        <v>7.35</v>
      </c>
      <c r="E1010" s="4">
        <f t="shared" si="2"/>
        <v>2</v>
      </c>
      <c r="F1010" s="15"/>
      <c r="G1010" s="4"/>
    </row>
    <row r="1011" ht="14.25" customHeight="1">
      <c r="A1011" s="8" t="s">
        <v>1727</v>
      </c>
      <c r="B1011" s="8">
        <v>6.2</v>
      </c>
      <c r="C1011" s="4" t="str">
        <f>IFERROR(__xludf.DUMMYFUNCTION("""COMPUTED_VALUE"""),"Stephan Elliott")</f>
        <v>Stephan Elliott</v>
      </c>
      <c r="D1011" s="31">
        <f t="shared" si="1"/>
        <v>4.9</v>
      </c>
      <c r="E1011" s="4">
        <f t="shared" si="2"/>
        <v>1</v>
      </c>
      <c r="F1011" s="15"/>
      <c r="G1011" s="4"/>
    </row>
    <row r="1012" ht="14.25" customHeight="1">
      <c r="A1012" s="8" t="s">
        <v>1120</v>
      </c>
      <c r="B1012" s="8">
        <v>5.8</v>
      </c>
      <c r="C1012" s="4" t="str">
        <f>IFERROR(__xludf.DUMMYFUNCTION("""COMPUTED_VALUE"""),"Mark L. Lester")</f>
        <v>Mark L. Lester</v>
      </c>
      <c r="D1012" s="31">
        <f t="shared" si="1"/>
        <v>6</v>
      </c>
      <c r="E1012" s="4">
        <f t="shared" si="2"/>
        <v>2</v>
      </c>
      <c r="F1012" s="15"/>
      <c r="G1012" s="4"/>
    </row>
    <row r="1013" ht="14.25" customHeight="1">
      <c r="A1013" s="8" t="s">
        <v>1349</v>
      </c>
      <c r="B1013" s="8">
        <v>5.7</v>
      </c>
      <c r="C1013" s="4" t="str">
        <f>IFERROR(__xludf.DUMMYFUNCTION("""COMPUTED_VALUE"""),"Tom Green")</f>
        <v>Tom Green</v>
      </c>
      <c r="D1013" s="31">
        <f t="shared" si="1"/>
        <v>4.5</v>
      </c>
      <c r="E1013" s="4">
        <f t="shared" si="2"/>
        <v>1</v>
      </c>
      <c r="F1013" s="15"/>
      <c r="G1013" s="4"/>
    </row>
    <row r="1014" ht="14.25" customHeight="1">
      <c r="A1014" s="8" t="s">
        <v>959</v>
      </c>
      <c r="B1014" s="8">
        <v>6.5</v>
      </c>
      <c r="C1014" s="4" t="str">
        <f>IFERROR(__xludf.DUMMYFUNCTION("""COMPUTED_VALUE"""),"Mike Nawrocki")</f>
        <v>Mike Nawrocki</v>
      </c>
      <c r="D1014" s="31">
        <f t="shared" si="1"/>
        <v>6.15</v>
      </c>
      <c r="E1014" s="4">
        <f t="shared" si="2"/>
        <v>2</v>
      </c>
      <c r="F1014" s="15"/>
      <c r="G1014" s="4"/>
    </row>
    <row r="1015" ht="14.25" customHeight="1">
      <c r="A1015" s="8" t="s">
        <v>552</v>
      </c>
      <c r="B1015" s="8">
        <v>6.7</v>
      </c>
      <c r="C1015" s="4" t="str">
        <f>IFERROR(__xludf.DUMMYFUNCTION("""COMPUTED_VALUE"""),"Douglas Aarniokoski")</f>
        <v>Douglas Aarniokoski</v>
      </c>
      <c r="D1015" s="31">
        <f t="shared" si="1"/>
        <v>4.6</v>
      </c>
      <c r="E1015" s="4">
        <f t="shared" si="2"/>
        <v>1</v>
      </c>
      <c r="F1015" s="15"/>
      <c r="G1015" s="4"/>
    </row>
    <row r="1016" ht="14.25" customHeight="1">
      <c r="A1016" s="8" t="s">
        <v>1580</v>
      </c>
      <c r="B1016" s="8">
        <v>7.4</v>
      </c>
      <c r="C1016" s="4" t="str">
        <f>IFERROR(__xludf.DUMMYFUNCTION("""COMPUTED_VALUE"""),"Bryan Barber")</f>
        <v>Bryan Barber</v>
      </c>
      <c r="D1016" s="31">
        <f t="shared" si="1"/>
        <v>6.2</v>
      </c>
      <c r="E1016" s="4">
        <f t="shared" si="2"/>
        <v>1</v>
      </c>
      <c r="F1016" s="15"/>
      <c r="G1016" s="4"/>
    </row>
    <row r="1017" ht="14.25" customHeight="1">
      <c r="A1017" s="8" t="s">
        <v>502</v>
      </c>
      <c r="B1017" s="8">
        <v>6.9</v>
      </c>
      <c r="C1017" s="4" t="str">
        <f>IFERROR(__xludf.DUMMYFUNCTION("""COMPUTED_VALUE"""),"Lone Scherfig")</f>
        <v>Lone Scherfig</v>
      </c>
      <c r="D1017" s="31">
        <f t="shared" si="1"/>
        <v>7.15</v>
      </c>
      <c r="E1017" s="4">
        <f t="shared" si="2"/>
        <v>2</v>
      </c>
      <c r="F1017" s="15"/>
      <c r="G1017" s="4"/>
    </row>
    <row r="1018" ht="14.25" customHeight="1">
      <c r="A1018" s="8" t="s">
        <v>1265</v>
      </c>
      <c r="B1018" s="8">
        <v>5.5</v>
      </c>
      <c r="C1018" s="4" t="str">
        <f>IFERROR(__xludf.DUMMYFUNCTION("""COMPUTED_VALUE"""),"Drew Barrymore")</f>
        <v>Drew Barrymore</v>
      </c>
      <c r="D1018" s="31">
        <f t="shared" si="1"/>
        <v>6.9</v>
      </c>
      <c r="E1018" s="4">
        <f t="shared" si="2"/>
        <v>1</v>
      </c>
      <c r="F1018" s="15"/>
      <c r="G1018" s="4"/>
    </row>
    <row r="1019" ht="14.25" customHeight="1">
      <c r="A1019" s="8" t="s">
        <v>2286</v>
      </c>
      <c r="B1019" s="8">
        <v>8.1</v>
      </c>
      <c r="C1019" s="4" t="str">
        <f>IFERROR(__xludf.DUMMYFUNCTION("""COMPUTED_VALUE"""),"James Foley")</f>
        <v>James Foley</v>
      </c>
      <c r="D1019" s="31">
        <f t="shared" si="1"/>
        <v>6.833333333</v>
      </c>
      <c r="E1019" s="4">
        <f t="shared" si="2"/>
        <v>3</v>
      </c>
      <c r="F1019" s="15"/>
      <c r="G1019" s="4"/>
    </row>
    <row r="1020" ht="14.25" customHeight="1">
      <c r="A1020" s="8" t="s">
        <v>1263</v>
      </c>
      <c r="B1020" s="8">
        <v>7.7</v>
      </c>
      <c r="C1020" s="4" t="str">
        <f>IFERROR(__xludf.DUMMYFUNCTION("""COMPUTED_VALUE"""),"Albert Brooks")</f>
        <v>Albert Brooks</v>
      </c>
      <c r="D1020" s="31">
        <f t="shared" si="1"/>
        <v>5.6</v>
      </c>
      <c r="E1020" s="4">
        <f t="shared" si="2"/>
        <v>1</v>
      </c>
      <c r="F1020" s="15"/>
      <c r="G1020" s="4"/>
    </row>
    <row r="1021" ht="14.25" customHeight="1">
      <c r="A1021" s="8" t="s">
        <v>426</v>
      </c>
      <c r="B1021" s="8">
        <v>7.3</v>
      </c>
      <c r="C1021" s="4" t="str">
        <f>IFERROR(__xludf.DUMMYFUNCTION("""COMPUTED_VALUE"""),"Steve Gomer")</f>
        <v>Steve Gomer</v>
      </c>
      <c r="D1021" s="31">
        <f t="shared" si="1"/>
        <v>2.8</v>
      </c>
      <c r="E1021" s="4">
        <f t="shared" si="2"/>
        <v>1</v>
      </c>
      <c r="F1021" s="15"/>
      <c r="G1021" s="4"/>
    </row>
    <row r="1022" ht="14.25" customHeight="1">
      <c r="A1022" s="8" t="s">
        <v>1576</v>
      </c>
      <c r="B1022" s="8">
        <v>5.2</v>
      </c>
      <c r="C1022" s="4" t="str">
        <f>IFERROR(__xludf.DUMMYFUNCTION("""COMPUTED_VALUE"""),"RZA")</f>
        <v>RZA</v>
      </c>
      <c r="D1022" s="31">
        <f t="shared" si="1"/>
        <v>5.4</v>
      </c>
      <c r="E1022" s="4">
        <f t="shared" si="2"/>
        <v>1</v>
      </c>
      <c r="F1022" s="15"/>
      <c r="G1022" s="4"/>
    </row>
    <row r="1023" ht="14.25" customHeight="1">
      <c r="A1023" s="8" t="s">
        <v>306</v>
      </c>
      <c r="B1023" s="8">
        <v>7.1</v>
      </c>
      <c r="C1023" s="4" t="str">
        <f>IFERROR(__xludf.DUMMYFUNCTION("""COMPUTED_VALUE"""),"Mark Piznarski")</f>
        <v>Mark Piznarski</v>
      </c>
      <c r="D1023" s="31">
        <f t="shared" si="1"/>
        <v>5.1</v>
      </c>
      <c r="E1023" s="4">
        <f t="shared" si="2"/>
        <v>1</v>
      </c>
      <c r="F1023" s="15"/>
      <c r="G1023" s="4"/>
    </row>
    <row r="1024" ht="14.25" customHeight="1">
      <c r="A1024" s="8" t="s">
        <v>1218</v>
      </c>
      <c r="B1024" s="8">
        <v>7.1</v>
      </c>
      <c r="C1024" s="4" t="str">
        <f>IFERROR(__xludf.DUMMYFUNCTION("""COMPUTED_VALUE"""),"Craig Brewer")</f>
        <v>Craig Brewer</v>
      </c>
      <c r="D1024" s="31">
        <f t="shared" si="1"/>
        <v>7.2</v>
      </c>
      <c r="E1024" s="4">
        <f t="shared" si="2"/>
        <v>2</v>
      </c>
      <c r="F1024" s="15"/>
      <c r="G1024" s="4"/>
    </row>
    <row r="1025" ht="14.25" customHeight="1">
      <c r="A1025" s="8" t="s">
        <v>2297</v>
      </c>
      <c r="B1025" s="8">
        <v>7.2</v>
      </c>
      <c r="C1025" s="4" t="str">
        <f>IFERROR(__xludf.DUMMYFUNCTION("""COMPUTED_VALUE"""),"Michael Winterbottom")</f>
        <v>Michael Winterbottom</v>
      </c>
      <c r="D1025" s="31">
        <f t="shared" si="1"/>
        <v>6.48</v>
      </c>
      <c r="E1025" s="4">
        <f t="shared" si="2"/>
        <v>5</v>
      </c>
      <c r="F1025" s="15"/>
      <c r="G1025" s="4"/>
    </row>
    <row r="1026" ht="14.25" customHeight="1">
      <c r="A1026" s="8" t="s">
        <v>2299</v>
      </c>
      <c r="B1026" s="8">
        <v>6.5</v>
      </c>
      <c r="C1026" s="4" t="str">
        <f>IFERROR(__xludf.DUMMYFUNCTION("""COMPUTED_VALUE"""),"David Raynr")</f>
        <v>David Raynr</v>
      </c>
      <c r="D1026" s="31">
        <f t="shared" si="1"/>
        <v>5.45</v>
      </c>
      <c r="E1026" s="4">
        <f t="shared" si="2"/>
        <v>2</v>
      </c>
      <c r="F1026" s="15"/>
      <c r="G1026" s="4"/>
    </row>
    <row r="1027" ht="14.25" customHeight="1">
      <c r="A1027" s="8" t="s">
        <v>2301</v>
      </c>
      <c r="B1027" s="8">
        <v>4.6</v>
      </c>
      <c r="C1027" s="4" t="str">
        <f>IFERROR(__xludf.DUMMYFUNCTION("""COMPUTED_VALUE"""),"Mort Nathan")</f>
        <v>Mort Nathan</v>
      </c>
      <c r="D1027" s="31">
        <f t="shared" si="1"/>
        <v>4.9</v>
      </c>
      <c r="E1027" s="4">
        <f t="shared" si="2"/>
        <v>1</v>
      </c>
      <c r="F1027" s="15"/>
      <c r="G1027" s="4"/>
    </row>
    <row r="1028" ht="14.25" customHeight="1">
      <c r="A1028" s="8" t="s">
        <v>1656</v>
      </c>
      <c r="B1028" s="8">
        <v>5.6</v>
      </c>
      <c r="C1028" s="4" t="str">
        <f>IFERROR(__xludf.DUMMYFUNCTION("""COMPUTED_VALUE"""),"Wil Shriner")</f>
        <v>Wil Shriner</v>
      </c>
      <c r="D1028" s="31">
        <f t="shared" si="1"/>
        <v>5.6</v>
      </c>
      <c r="E1028" s="4">
        <f t="shared" si="2"/>
        <v>1</v>
      </c>
      <c r="F1028" s="15"/>
      <c r="G1028" s="4"/>
    </row>
    <row r="1029" ht="14.25" customHeight="1">
      <c r="A1029" s="8" t="s">
        <v>2307</v>
      </c>
      <c r="B1029" s="8">
        <v>7.7</v>
      </c>
      <c r="C1029" s="4" t="str">
        <f>IFERROR(__xludf.DUMMYFUNCTION("""COMPUTED_VALUE"""),"Martin McDonagh")</f>
        <v>Martin McDonagh</v>
      </c>
      <c r="D1029" s="31">
        <f t="shared" si="1"/>
        <v>7.6</v>
      </c>
      <c r="E1029" s="4">
        <f t="shared" si="2"/>
        <v>2</v>
      </c>
      <c r="F1029" s="15"/>
      <c r="G1029" s="4"/>
    </row>
    <row r="1030" ht="14.25" customHeight="1">
      <c r="A1030" s="8" t="s">
        <v>132</v>
      </c>
      <c r="B1030" s="8">
        <v>7.2</v>
      </c>
      <c r="C1030" s="4" t="str">
        <f>IFERROR(__xludf.DUMMYFUNCTION("""COMPUTED_VALUE"""),"Tina Gordon Chism")</f>
        <v>Tina Gordon Chism</v>
      </c>
      <c r="D1030" s="31">
        <f t="shared" si="1"/>
        <v>5.3</v>
      </c>
      <c r="E1030" s="4">
        <f t="shared" si="2"/>
        <v>1</v>
      </c>
      <c r="F1030" s="15"/>
      <c r="G1030" s="4"/>
    </row>
    <row r="1031" ht="14.25" customHeight="1">
      <c r="A1031" s="8" t="s">
        <v>1098</v>
      </c>
      <c r="B1031" s="8">
        <v>6.8</v>
      </c>
      <c r="C1031" s="4" t="str">
        <f>IFERROR(__xludf.DUMMYFUNCTION("""COMPUTED_VALUE"""),"Peter Cattaneo")</f>
        <v>Peter Cattaneo</v>
      </c>
      <c r="D1031" s="31">
        <f t="shared" si="1"/>
        <v>6.55</v>
      </c>
      <c r="E1031" s="4">
        <f t="shared" si="2"/>
        <v>4</v>
      </c>
      <c r="F1031" s="15"/>
      <c r="G1031" s="4"/>
    </row>
    <row r="1032" ht="14.25" customHeight="1">
      <c r="A1032" s="8" t="s">
        <v>2301</v>
      </c>
      <c r="B1032" s="8">
        <v>5.4</v>
      </c>
      <c r="C1032" s="4" t="str">
        <f>IFERROR(__xludf.DUMMYFUNCTION("""COMPUTED_VALUE"""),"Vicky Jenson")</f>
        <v>Vicky Jenson</v>
      </c>
      <c r="D1032" s="31">
        <f t="shared" si="1"/>
        <v>5.3</v>
      </c>
      <c r="E1032" s="4">
        <f t="shared" si="2"/>
        <v>1</v>
      </c>
      <c r="F1032" s="15"/>
      <c r="G1032" s="4"/>
    </row>
    <row r="1033" ht="14.25" customHeight="1">
      <c r="A1033" s="8" t="s">
        <v>1292</v>
      </c>
      <c r="B1033" s="8">
        <v>6.3</v>
      </c>
      <c r="C1033" s="4" t="str">
        <f>IFERROR(__xludf.DUMMYFUNCTION("""COMPUTED_VALUE"""),"Mary Lambert")</f>
        <v>Mary Lambert</v>
      </c>
      <c r="D1033" s="31">
        <f t="shared" si="1"/>
        <v>5.6</v>
      </c>
      <c r="E1033" s="4">
        <f t="shared" si="2"/>
        <v>2</v>
      </c>
      <c r="F1033" s="15"/>
      <c r="G1033" s="4"/>
    </row>
    <row r="1034" ht="14.25" customHeight="1">
      <c r="A1034" s="8" t="s">
        <v>1864</v>
      </c>
      <c r="B1034" s="8">
        <v>5.6</v>
      </c>
      <c r="C1034" s="4" t="str">
        <f>IFERROR(__xludf.DUMMYFUNCTION("""COMPUTED_VALUE"""),"Peter Kassovitz")</f>
        <v>Peter Kassovitz</v>
      </c>
      <c r="D1034" s="31">
        <f t="shared" si="1"/>
        <v>6.5</v>
      </c>
      <c r="E1034" s="4">
        <f t="shared" si="2"/>
        <v>1</v>
      </c>
      <c r="F1034" s="15"/>
      <c r="G1034" s="4"/>
    </row>
    <row r="1035" ht="14.25" customHeight="1">
      <c r="A1035" s="8" t="s">
        <v>2317</v>
      </c>
      <c r="B1035" s="8">
        <v>6.8</v>
      </c>
      <c r="C1035" s="4" t="str">
        <f>IFERROR(__xludf.DUMMYFUNCTION("""COMPUTED_VALUE"""),"Rodman Flender")</f>
        <v>Rodman Flender</v>
      </c>
      <c r="D1035" s="31">
        <f t="shared" si="1"/>
        <v>6.2</v>
      </c>
      <c r="E1035" s="4">
        <f t="shared" si="2"/>
        <v>1</v>
      </c>
      <c r="F1035" s="15"/>
      <c r="G1035" s="4"/>
    </row>
    <row r="1036" ht="14.25" customHeight="1">
      <c r="A1036" s="8" t="s">
        <v>2319</v>
      </c>
      <c r="B1036" s="8">
        <v>4.3</v>
      </c>
      <c r="C1036" s="4" t="str">
        <f>IFERROR(__xludf.DUMMYFUNCTION("""COMPUTED_VALUE"""),"Mark Romanek")</f>
        <v>Mark Romanek</v>
      </c>
      <c r="D1036" s="31">
        <f t="shared" si="1"/>
        <v>7</v>
      </c>
      <c r="E1036" s="4">
        <f t="shared" si="2"/>
        <v>2</v>
      </c>
      <c r="F1036" s="15"/>
      <c r="G1036" s="4"/>
    </row>
    <row r="1037" ht="14.25" customHeight="1">
      <c r="A1037" s="8" t="s">
        <v>2322</v>
      </c>
      <c r="B1037" s="8">
        <v>6.3</v>
      </c>
      <c r="C1037" s="4" t="str">
        <f>IFERROR(__xludf.DUMMYFUNCTION("""COMPUTED_VALUE"""),"Brad Anderson")</f>
        <v>Brad Anderson</v>
      </c>
      <c r="D1037" s="31">
        <f t="shared" si="1"/>
        <v>6.86</v>
      </c>
      <c r="E1037" s="4">
        <f t="shared" si="2"/>
        <v>5</v>
      </c>
      <c r="F1037" s="15"/>
      <c r="G1037" s="4"/>
    </row>
    <row r="1038" ht="14.25" customHeight="1">
      <c r="A1038" s="8" t="s">
        <v>677</v>
      </c>
      <c r="B1038" s="8">
        <v>6.5</v>
      </c>
      <c r="C1038" s="4" t="str">
        <f>IFERROR(__xludf.DUMMYFUNCTION("""COMPUTED_VALUE"""),"Michael Chapman")</f>
        <v>Michael Chapman</v>
      </c>
      <c r="D1038" s="31">
        <f t="shared" si="1"/>
        <v>5.3</v>
      </c>
      <c r="E1038" s="4">
        <f t="shared" si="2"/>
        <v>1</v>
      </c>
      <c r="F1038" s="15"/>
      <c r="G1038" s="4"/>
    </row>
    <row r="1039" ht="14.25" customHeight="1">
      <c r="A1039" s="8" t="s">
        <v>1873</v>
      </c>
      <c r="B1039" s="8">
        <v>6.4</v>
      </c>
      <c r="C1039" s="4" t="str">
        <f>IFERROR(__xludf.DUMMYFUNCTION("""COMPUTED_VALUE"""),"Antonio Banderas")</f>
        <v>Antonio Banderas</v>
      </c>
      <c r="D1039" s="31">
        <f t="shared" si="1"/>
        <v>6.3</v>
      </c>
      <c r="E1039" s="4">
        <f t="shared" si="2"/>
        <v>1</v>
      </c>
      <c r="F1039" s="15"/>
      <c r="G1039" s="4"/>
    </row>
    <row r="1040" ht="14.25" customHeight="1">
      <c r="A1040" s="8" t="s">
        <v>1985</v>
      </c>
      <c r="B1040" s="8">
        <v>6.3</v>
      </c>
      <c r="C1040" s="4" t="str">
        <f>IFERROR(__xludf.DUMMYFUNCTION("""COMPUTED_VALUE"""),"Fritz Lang")</f>
        <v>Fritz Lang</v>
      </c>
      <c r="D1040" s="31">
        <f t="shared" si="1"/>
        <v>8.3</v>
      </c>
      <c r="E1040" s="4">
        <f t="shared" si="2"/>
        <v>1</v>
      </c>
      <c r="F1040" s="15"/>
      <c r="G1040" s="4"/>
    </row>
    <row r="1041" ht="14.25" customHeight="1">
      <c r="A1041" s="8" t="s">
        <v>820</v>
      </c>
      <c r="B1041" s="8">
        <v>5.9</v>
      </c>
      <c r="C1041" s="4" t="str">
        <f>IFERROR(__xludf.DUMMYFUNCTION("""COMPUTED_VALUE"""),"Hsiao-Hsien Hou")</f>
        <v>Hsiao-Hsien Hou</v>
      </c>
      <c r="D1041" s="31">
        <f t="shared" si="1"/>
        <v>6.4</v>
      </c>
      <c r="E1041" s="4">
        <f t="shared" si="2"/>
        <v>1</v>
      </c>
      <c r="F1041" s="15"/>
      <c r="G1041" s="4"/>
    </row>
    <row r="1042" ht="14.25" customHeight="1">
      <c r="A1042" s="8" t="s">
        <v>324</v>
      </c>
      <c r="B1042" s="8">
        <v>6.5</v>
      </c>
      <c r="C1042" s="4" t="str">
        <f>IFERROR(__xludf.DUMMYFUNCTION("""COMPUTED_VALUE"""),"Gregor Jordan")</f>
        <v>Gregor Jordan</v>
      </c>
      <c r="D1042" s="31">
        <f t="shared" si="1"/>
        <v>6.9</v>
      </c>
      <c r="E1042" s="4">
        <f t="shared" si="2"/>
        <v>1</v>
      </c>
      <c r="F1042" s="15"/>
      <c r="G1042" s="4"/>
    </row>
    <row r="1043" ht="14.25" customHeight="1">
      <c r="A1043" s="8" t="s">
        <v>2331</v>
      </c>
      <c r="B1043" s="8">
        <v>6.5</v>
      </c>
      <c r="C1043" s="4" t="str">
        <f>IFERROR(__xludf.DUMMYFUNCTION("""COMPUTED_VALUE"""),"Tony Jaa")</f>
        <v>Tony Jaa</v>
      </c>
      <c r="D1043" s="31">
        <f t="shared" si="1"/>
        <v>6.2</v>
      </c>
      <c r="E1043" s="4">
        <f t="shared" si="2"/>
        <v>1</v>
      </c>
      <c r="F1043" s="15"/>
      <c r="G1043" s="4"/>
    </row>
    <row r="1044" ht="14.25" customHeight="1">
      <c r="A1044" s="8" t="s">
        <v>2334</v>
      </c>
      <c r="B1044" s="8">
        <v>6.1</v>
      </c>
      <c r="C1044" s="4" t="str">
        <f>IFERROR(__xludf.DUMMYFUNCTION("""COMPUTED_VALUE"""),"RyÃ»hei Kitamura")</f>
        <v>RyÃ»hei Kitamura</v>
      </c>
      <c r="D1044" s="31">
        <f t="shared" si="1"/>
        <v>6.1</v>
      </c>
      <c r="E1044" s="4">
        <f t="shared" si="2"/>
        <v>1</v>
      </c>
      <c r="F1044" s="15"/>
      <c r="G1044" s="4"/>
    </row>
    <row r="1045" ht="14.25" customHeight="1">
      <c r="A1045" s="8" t="s">
        <v>2337</v>
      </c>
      <c r="B1045" s="8">
        <v>5.9</v>
      </c>
      <c r="C1045" s="4" t="str">
        <f>IFERROR(__xludf.DUMMYFUNCTION("""COMPUTED_VALUE"""),"Dito Montiel")</f>
        <v>Dito Montiel</v>
      </c>
      <c r="D1045" s="31">
        <f t="shared" si="1"/>
        <v>5.1</v>
      </c>
      <c r="E1045" s="4">
        <f t="shared" si="2"/>
        <v>1</v>
      </c>
      <c r="F1045" s="15"/>
      <c r="G1045" s="4"/>
    </row>
    <row r="1046" ht="14.25" customHeight="1">
      <c r="A1046" s="8" t="s">
        <v>2339</v>
      </c>
      <c r="B1046" s="8">
        <v>6.6</v>
      </c>
      <c r="C1046" s="4" t="str">
        <f>IFERROR(__xludf.DUMMYFUNCTION("""COMPUTED_VALUE"""),"Stefan Ruzowitzky")</f>
        <v>Stefan Ruzowitzky</v>
      </c>
      <c r="D1046" s="31">
        <f t="shared" si="1"/>
        <v>5.633333333</v>
      </c>
      <c r="E1046" s="4">
        <f t="shared" si="2"/>
        <v>3</v>
      </c>
      <c r="F1046" s="15"/>
      <c r="G1046" s="4"/>
    </row>
    <row r="1047" ht="14.25" customHeight="1">
      <c r="A1047" s="8" t="s">
        <v>2342</v>
      </c>
      <c r="B1047" s="8">
        <v>7.4</v>
      </c>
      <c r="C1047" s="4" t="str">
        <f>IFERROR(__xludf.DUMMYFUNCTION("""COMPUTED_VALUE"""),"Jake Paltrow")</f>
        <v>Jake Paltrow</v>
      </c>
      <c r="D1047" s="31">
        <f t="shared" si="1"/>
        <v>5.9</v>
      </c>
      <c r="E1047" s="4">
        <f t="shared" si="2"/>
        <v>1</v>
      </c>
      <c r="F1047" s="15"/>
      <c r="G1047" s="4"/>
    </row>
    <row r="1048" ht="14.25" customHeight="1">
      <c r="A1048" s="8" t="s">
        <v>21</v>
      </c>
      <c r="B1048" s="8">
        <v>7.3</v>
      </c>
      <c r="C1048" s="4" t="str">
        <f>IFERROR(__xludf.DUMMYFUNCTION("""COMPUTED_VALUE"""),"Gregory Jacobs")</f>
        <v>Gregory Jacobs</v>
      </c>
      <c r="D1048" s="31">
        <f t="shared" si="1"/>
        <v>5.7</v>
      </c>
      <c r="E1048" s="4">
        <f t="shared" si="2"/>
        <v>1</v>
      </c>
      <c r="F1048" s="15"/>
      <c r="G1048" s="4"/>
    </row>
    <row r="1049" ht="14.25" customHeight="1">
      <c r="A1049" s="8" t="s">
        <v>446</v>
      </c>
      <c r="B1049" s="8">
        <v>6.6</v>
      </c>
      <c r="C1049" s="4" t="str">
        <f>IFERROR(__xludf.DUMMYFUNCTION("""COMPUTED_VALUE"""),"Gilles Paquet-Brenner")</f>
        <v>Gilles Paquet-Brenner</v>
      </c>
      <c r="D1049" s="31">
        <f t="shared" si="1"/>
        <v>7.5</v>
      </c>
      <c r="E1049" s="4">
        <f t="shared" si="2"/>
        <v>1</v>
      </c>
      <c r="F1049" s="15"/>
      <c r="G1049" s="4"/>
    </row>
    <row r="1050" ht="14.25" customHeight="1">
      <c r="A1050" s="8" t="s">
        <v>2348</v>
      </c>
      <c r="B1050" s="8">
        <v>5.6</v>
      </c>
      <c r="C1050" s="4" t="str">
        <f>IFERROR(__xludf.DUMMYFUNCTION("""COMPUTED_VALUE"""),"Lars von Trier")</f>
        <v>Lars von Trier</v>
      </c>
      <c r="D1050" s="31">
        <f t="shared" si="1"/>
        <v>7.5</v>
      </c>
      <c r="E1050" s="4">
        <f t="shared" si="2"/>
        <v>3</v>
      </c>
      <c r="F1050" s="15"/>
      <c r="G1050" s="4"/>
    </row>
    <row r="1051" ht="14.25" customHeight="1">
      <c r="A1051" s="8" t="s">
        <v>2350</v>
      </c>
      <c r="B1051" s="8">
        <v>5.3</v>
      </c>
      <c r="C1051" s="4" t="str">
        <f>IFERROR(__xludf.DUMMYFUNCTION("""COMPUTED_VALUE"""),"John Cornell")</f>
        <v>John Cornell</v>
      </c>
      <c r="D1051" s="31">
        <f t="shared" si="1"/>
        <v>5.5</v>
      </c>
      <c r="E1051" s="4">
        <f t="shared" si="2"/>
        <v>1</v>
      </c>
      <c r="F1051" s="15"/>
      <c r="G1051" s="4"/>
    </row>
    <row r="1052" ht="14.25" customHeight="1">
      <c r="A1052" s="8" t="s">
        <v>1719</v>
      </c>
      <c r="B1052" s="8">
        <v>6.0</v>
      </c>
      <c r="C1052" s="4" t="str">
        <f>IFERROR(__xludf.DUMMYFUNCTION("""COMPUTED_VALUE"""),"Jamie Blanks")</f>
        <v>Jamie Blanks</v>
      </c>
      <c r="D1052" s="31">
        <f t="shared" si="1"/>
        <v>5.1</v>
      </c>
      <c r="E1052" s="4">
        <f t="shared" si="2"/>
        <v>2</v>
      </c>
      <c r="F1052" s="15"/>
      <c r="G1052" s="4"/>
    </row>
    <row r="1053" ht="14.25" customHeight="1">
      <c r="A1053" s="8" t="s">
        <v>2355</v>
      </c>
      <c r="B1053" s="8">
        <v>5.4</v>
      </c>
      <c r="C1053" s="4" t="str">
        <f>IFERROR(__xludf.DUMMYFUNCTION("""COMPUTED_VALUE"""),"Randal Kleiser")</f>
        <v>Randal Kleiser</v>
      </c>
      <c r="D1053" s="31">
        <f t="shared" si="1"/>
        <v>6.95</v>
      </c>
      <c r="E1053" s="4">
        <f t="shared" si="2"/>
        <v>2</v>
      </c>
      <c r="F1053" s="15"/>
      <c r="G1053" s="4"/>
    </row>
    <row r="1054" ht="14.25" customHeight="1">
      <c r="A1054" s="8" t="s">
        <v>2359</v>
      </c>
      <c r="B1054" s="8">
        <v>6.8</v>
      </c>
      <c r="C1054" s="4" t="str">
        <f>IFERROR(__xludf.DUMMYFUNCTION("""COMPUTED_VALUE"""),"Rick Famuyiwa")</f>
        <v>Rick Famuyiwa</v>
      </c>
      <c r="D1054" s="31">
        <f t="shared" si="1"/>
        <v>6.4</v>
      </c>
      <c r="E1054" s="4">
        <f t="shared" si="2"/>
        <v>4</v>
      </c>
      <c r="F1054" s="15"/>
      <c r="G1054" s="4"/>
    </row>
    <row r="1055" ht="14.25" customHeight="1">
      <c r="A1055" s="8" t="s">
        <v>2362</v>
      </c>
      <c r="B1055" s="8">
        <v>6.4</v>
      </c>
      <c r="C1055" s="4" t="str">
        <f>IFERROR(__xludf.DUMMYFUNCTION("""COMPUTED_VALUE"""),"Alan Cohn")</f>
        <v>Alan Cohn</v>
      </c>
      <c r="D1055" s="31">
        <f t="shared" si="1"/>
        <v>6</v>
      </c>
      <c r="E1055" s="4">
        <f t="shared" si="2"/>
        <v>1</v>
      </c>
      <c r="F1055" s="15"/>
      <c r="G1055" s="4"/>
    </row>
    <row r="1056" ht="14.25" customHeight="1">
      <c r="A1056" s="8" t="s">
        <v>1043</v>
      </c>
      <c r="B1056" s="8">
        <v>7.1</v>
      </c>
      <c r="C1056" s="4" t="str">
        <f>IFERROR(__xludf.DUMMYFUNCTION("""COMPUTED_VALUE"""),"Franco Zeffirelli")</f>
        <v>Franco Zeffirelli</v>
      </c>
      <c r="D1056" s="31">
        <f t="shared" si="1"/>
        <v>6.9</v>
      </c>
      <c r="E1056" s="4">
        <f t="shared" si="2"/>
        <v>1</v>
      </c>
      <c r="F1056" s="15"/>
      <c r="G1056" s="4"/>
    </row>
    <row r="1057" ht="14.25" customHeight="1">
      <c r="A1057" s="8" t="s">
        <v>2365</v>
      </c>
      <c r="B1057" s="8">
        <v>4.9</v>
      </c>
      <c r="C1057" s="4" t="str">
        <f>IFERROR(__xludf.DUMMYFUNCTION("""COMPUTED_VALUE"""),"Tom Holland")</f>
        <v>Tom Holland</v>
      </c>
      <c r="D1057" s="31">
        <f t="shared" si="1"/>
        <v>6.1</v>
      </c>
      <c r="E1057" s="4">
        <f t="shared" si="2"/>
        <v>2</v>
      </c>
      <c r="F1057" s="15"/>
      <c r="G1057" s="4"/>
    </row>
    <row r="1058" ht="14.25" customHeight="1">
      <c r="A1058" s="8" t="s">
        <v>2367</v>
      </c>
      <c r="B1058" s="8">
        <v>5.8</v>
      </c>
      <c r="C1058" s="4" t="str">
        <f>IFERROR(__xludf.DUMMYFUNCTION("""COMPUTED_VALUE"""),"James Isaac")</f>
        <v>James Isaac</v>
      </c>
      <c r="D1058" s="31">
        <f t="shared" si="1"/>
        <v>4.4</v>
      </c>
      <c r="E1058" s="4">
        <f t="shared" si="2"/>
        <v>1</v>
      </c>
      <c r="F1058" s="15"/>
      <c r="G1058" s="4"/>
    </row>
    <row r="1059" ht="14.25" customHeight="1">
      <c r="A1059" s="8" t="s">
        <v>324</v>
      </c>
      <c r="B1059" s="8">
        <v>7.1</v>
      </c>
      <c r="C1059" s="4" t="str">
        <f>IFERROR(__xludf.DUMMYFUNCTION("""COMPUTED_VALUE"""),"Emilio Estevez")</f>
        <v>Emilio Estevez</v>
      </c>
      <c r="D1059" s="31">
        <f t="shared" si="1"/>
        <v>7</v>
      </c>
      <c r="E1059" s="4">
        <f t="shared" si="2"/>
        <v>1</v>
      </c>
      <c r="F1059" s="15"/>
      <c r="G1059" s="4"/>
    </row>
    <row r="1060" ht="14.25" customHeight="1">
      <c r="A1060" s="8" t="s">
        <v>1550</v>
      </c>
      <c r="B1060" s="8">
        <v>7.2</v>
      </c>
      <c r="C1060" s="4" t="str">
        <f>IFERROR(__xludf.DUMMYFUNCTION("""COMPUTED_VALUE"""),"Josh Schwartz")</f>
        <v>Josh Schwartz</v>
      </c>
      <c r="D1060" s="31">
        <f t="shared" si="1"/>
        <v>5.4</v>
      </c>
      <c r="E1060" s="4">
        <f t="shared" si="2"/>
        <v>1</v>
      </c>
      <c r="F1060" s="15"/>
      <c r="G1060" s="4"/>
    </row>
    <row r="1061" ht="14.25" customHeight="1">
      <c r="A1061" s="8" t="s">
        <v>231</v>
      </c>
      <c r="B1061" s="8">
        <v>6.0</v>
      </c>
      <c r="C1061" s="4" t="str">
        <f>IFERROR(__xludf.DUMMYFUNCTION("""COMPUTED_VALUE"""),"Todd Field")</f>
        <v>Todd Field</v>
      </c>
      <c r="D1061" s="31">
        <f t="shared" si="1"/>
        <v>7.55</v>
      </c>
      <c r="E1061" s="4">
        <f t="shared" si="2"/>
        <v>2</v>
      </c>
      <c r="F1061" s="15"/>
      <c r="G1061" s="4"/>
    </row>
    <row r="1062" ht="14.25" customHeight="1">
      <c r="A1062" s="8" t="s">
        <v>2048</v>
      </c>
      <c r="B1062" s="8">
        <v>6.0</v>
      </c>
      <c r="C1062" s="4" t="str">
        <f>IFERROR(__xludf.DUMMYFUNCTION("""COMPUTED_VALUE"""),"Davis Guggenheim")</f>
        <v>Davis Guggenheim</v>
      </c>
      <c r="D1062" s="31">
        <f t="shared" si="1"/>
        <v>6.05</v>
      </c>
      <c r="E1062" s="4">
        <f t="shared" si="2"/>
        <v>2</v>
      </c>
      <c r="F1062" s="15"/>
      <c r="G1062" s="4"/>
    </row>
    <row r="1063" ht="14.25" customHeight="1">
      <c r="A1063" s="8" t="s">
        <v>813</v>
      </c>
      <c r="B1063" s="8">
        <v>7.0</v>
      </c>
      <c r="C1063" s="4" t="str">
        <f>IFERROR(__xludf.DUMMYFUNCTION("""COMPUTED_VALUE"""),"Stephen Carpenter")</f>
        <v>Stephen Carpenter</v>
      </c>
      <c r="D1063" s="31">
        <f t="shared" si="1"/>
        <v>3.9</v>
      </c>
      <c r="E1063" s="4">
        <f t="shared" si="2"/>
        <v>1</v>
      </c>
      <c r="F1063" s="15"/>
      <c r="G1063" s="4"/>
    </row>
    <row r="1064" ht="14.25" customHeight="1">
      <c r="A1064" s="8" t="s">
        <v>2376</v>
      </c>
      <c r="B1064" s="8">
        <v>5.4</v>
      </c>
      <c r="C1064" s="4" t="str">
        <f>IFERROR(__xludf.DUMMYFUNCTION("""COMPUTED_VALUE"""),"James Fargo")</f>
        <v>James Fargo</v>
      </c>
      <c r="D1064" s="31">
        <f t="shared" si="1"/>
        <v>6.5</v>
      </c>
      <c r="E1064" s="4">
        <f t="shared" si="2"/>
        <v>1</v>
      </c>
      <c r="F1064" s="15"/>
      <c r="G1064" s="4"/>
    </row>
    <row r="1065" ht="14.25" customHeight="1">
      <c r="A1065" s="8" t="s">
        <v>69</v>
      </c>
      <c r="B1065" s="8">
        <v>6.5</v>
      </c>
      <c r="C1065" s="4" t="str">
        <f>IFERROR(__xludf.DUMMYFUNCTION("""COMPUTED_VALUE"""),"Kenneth Lonergan")</f>
        <v>Kenneth Lonergan</v>
      </c>
      <c r="D1065" s="31">
        <f t="shared" si="1"/>
        <v>7.1</v>
      </c>
      <c r="E1065" s="4">
        <f t="shared" si="2"/>
        <v>2</v>
      </c>
      <c r="F1065" s="15"/>
      <c r="G1065" s="4"/>
    </row>
    <row r="1066" ht="14.25" customHeight="1">
      <c r="A1066" s="8" t="s">
        <v>161</v>
      </c>
      <c r="B1066" s="8">
        <v>6.4</v>
      </c>
      <c r="C1066" s="4" t="str">
        <f>IFERROR(__xludf.DUMMYFUNCTION("""COMPUTED_VALUE"""),"Danny Leiner")</f>
        <v>Danny Leiner</v>
      </c>
      <c r="D1066" s="31">
        <f t="shared" si="1"/>
        <v>6.3</v>
      </c>
      <c r="E1066" s="4">
        <f t="shared" si="2"/>
        <v>2</v>
      </c>
      <c r="F1066" s="15"/>
      <c r="G1066" s="4"/>
    </row>
    <row r="1067" ht="14.25" customHeight="1">
      <c r="A1067" s="8" t="s">
        <v>2382</v>
      </c>
      <c r="B1067" s="8">
        <v>4.9</v>
      </c>
      <c r="C1067" s="4" t="str">
        <f>IFERROR(__xludf.DUMMYFUNCTION("""COMPUTED_VALUE"""),"Christopher Cain")</f>
        <v>Christopher Cain</v>
      </c>
      <c r="D1067" s="31">
        <f t="shared" si="1"/>
        <v>6.8</v>
      </c>
      <c r="E1067" s="4">
        <f t="shared" si="2"/>
        <v>1</v>
      </c>
      <c r="F1067" s="15"/>
      <c r="G1067" s="4"/>
    </row>
    <row r="1068" ht="14.25" customHeight="1">
      <c r="A1068" s="8" t="s">
        <v>2385</v>
      </c>
      <c r="B1068" s="8">
        <v>6.3</v>
      </c>
      <c r="C1068" s="4" t="str">
        <f>IFERROR(__xludf.DUMMYFUNCTION("""COMPUTED_VALUE"""),"Theodore Melfi")</f>
        <v>Theodore Melfi</v>
      </c>
      <c r="D1068" s="31">
        <f t="shared" si="1"/>
        <v>7.3</v>
      </c>
      <c r="E1068" s="4">
        <f t="shared" si="2"/>
        <v>1</v>
      </c>
      <c r="F1068" s="15"/>
      <c r="G1068" s="4"/>
    </row>
    <row r="1069" ht="14.25" customHeight="1">
      <c r="A1069" s="8" t="s">
        <v>2388</v>
      </c>
      <c r="B1069" s="8">
        <v>7.7</v>
      </c>
      <c r="C1069" s="4" t="str">
        <f>IFERROR(__xludf.DUMMYFUNCTION("""COMPUTED_VALUE"""),"Ed Decter")</f>
        <v>Ed Decter</v>
      </c>
      <c r="D1069" s="31">
        <f t="shared" si="1"/>
        <v>5.9</v>
      </c>
      <c r="E1069" s="4">
        <f t="shared" si="2"/>
        <v>1</v>
      </c>
      <c r="F1069" s="15"/>
      <c r="G1069" s="4"/>
    </row>
    <row r="1070" ht="14.25" customHeight="1">
      <c r="A1070" s="8" t="s">
        <v>1023</v>
      </c>
      <c r="B1070" s="8">
        <v>7.8</v>
      </c>
      <c r="C1070" s="4" t="str">
        <f>IFERROR(__xludf.DUMMYFUNCTION("""COMPUTED_VALUE"""),"Gene Quintano")</f>
        <v>Gene Quintano</v>
      </c>
      <c r="D1070" s="31">
        <f t="shared" si="1"/>
        <v>6.1</v>
      </c>
      <c r="E1070" s="4">
        <f t="shared" si="2"/>
        <v>1</v>
      </c>
      <c r="F1070" s="15"/>
      <c r="G1070" s="4"/>
    </row>
    <row r="1071" ht="14.25" customHeight="1">
      <c r="A1071" s="8" t="s">
        <v>1281</v>
      </c>
      <c r="B1071" s="8">
        <v>5.5</v>
      </c>
      <c r="C1071" s="4" t="str">
        <f>IFERROR(__xludf.DUMMYFUNCTION("""COMPUTED_VALUE"""),"Eric Bress")</f>
        <v>Eric Bress</v>
      </c>
      <c r="D1071" s="31">
        <f t="shared" si="1"/>
        <v>7.7</v>
      </c>
      <c r="E1071" s="4">
        <f t="shared" si="2"/>
        <v>1</v>
      </c>
      <c r="F1071" s="15"/>
      <c r="G1071" s="4"/>
    </row>
    <row r="1072" ht="14.25" customHeight="1">
      <c r="A1072" s="8" t="s">
        <v>1274</v>
      </c>
      <c r="B1072" s="8">
        <v>7.5</v>
      </c>
      <c r="C1072" s="4" t="str">
        <f>IFERROR(__xludf.DUMMYFUNCTION("""COMPUTED_VALUE"""),"Preston A. Whitmore II")</f>
        <v>Preston A. Whitmore II</v>
      </c>
      <c r="D1072" s="31">
        <f t="shared" si="1"/>
        <v>4.1</v>
      </c>
      <c r="E1072" s="4">
        <f t="shared" si="2"/>
        <v>2</v>
      </c>
      <c r="F1072" s="15"/>
      <c r="G1072" s="4"/>
    </row>
    <row r="1073" ht="14.25" customHeight="1">
      <c r="A1073" s="8" t="s">
        <v>2382</v>
      </c>
      <c r="B1073" s="8">
        <v>6.4</v>
      </c>
      <c r="C1073" s="4" t="str">
        <f>IFERROR(__xludf.DUMMYFUNCTION("""COMPUTED_VALUE"""),"Kirk Wong")</f>
        <v>Kirk Wong</v>
      </c>
      <c r="D1073" s="31">
        <f t="shared" si="1"/>
        <v>6.1</v>
      </c>
      <c r="E1073" s="4">
        <f t="shared" si="2"/>
        <v>1</v>
      </c>
      <c r="F1073" s="15"/>
      <c r="G1073" s="4"/>
    </row>
    <row r="1074" ht="14.25" customHeight="1">
      <c r="A1074" s="8" t="s">
        <v>2397</v>
      </c>
      <c r="B1074" s="8">
        <v>5.6</v>
      </c>
      <c r="C1074" s="4" t="str">
        <f>IFERROR(__xludf.DUMMYFUNCTION("""COMPUTED_VALUE"""),"Bronwen Hughes")</f>
        <v>Bronwen Hughes</v>
      </c>
      <c r="D1074" s="31">
        <f t="shared" si="1"/>
        <v>5.9</v>
      </c>
      <c r="E1074" s="4">
        <f t="shared" si="2"/>
        <v>1</v>
      </c>
      <c r="F1074" s="15"/>
      <c r="G1074" s="4"/>
    </row>
    <row r="1075" ht="14.25" customHeight="1">
      <c r="A1075" s="8" t="s">
        <v>2399</v>
      </c>
      <c r="B1075" s="8">
        <v>7.5</v>
      </c>
      <c r="C1075" s="4" t="str">
        <f>IFERROR(__xludf.DUMMYFUNCTION("""COMPUTED_VALUE"""),"John Lafia")</f>
        <v>John Lafia</v>
      </c>
      <c r="D1075" s="31">
        <f t="shared" si="1"/>
        <v>5.7</v>
      </c>
      <c r="E1075" s="4">
        <f t="shared" si="2"/>
        <v>1</v>
      </c>
      <c r="F1075" s="15"/>
      <c r="G1075" s="4"/>
    </row>
    <row r="1076" ht="14.25" customHeight="1">
      <c r="A1076" s="8" t="s">
        <v>2403</v>
      </c>
      <c r="B1076" s="8">
        <v>6.8</v>
      </c>
      <c r="C1076" s="4" t="str">
        <f>IFERROR(__xludf.DUMMYFUNCTION("""COMPUTED_VALUE"""),"Sam Miller")</f>
        <v>Sam Miller</v>
      </c>
      <c r="D1076" s="31">
        <f t="shared" si="1"/>
        <v>5.75</v>
      </c>
      <c r="E1076" s="4">
        <f t="shared" si="2"/>
        <v>2</v>
      </c>
      <c r="F1076" s="15"/>
      <c r="G1076" s="4"/>
    </row>
    <row r="1077" ht="14.25" customHeight="1">
      <c r="A1077" s="8" t="s">
        <v>674</v>
      </c>
      <c r="B1077" s="8">
        <v>6.8</v>
      </c>
      <c r="C1077" s="4" t="str">
        <f>IFERROR(__xludf.DUMMYFUNCTION("""COMPUTED_VALUE"""),"Alex Garland")</f>
        <v>Alex Garland</v>
      </c>
      <c r="D1077" s="31">
        <f t="shared" si="1"/>
        <v>7.7</v>
      </c>
      <c r="E1077" s="4">
        <f t="shared" si="2"/>
        <v>1</v>
      </c>
      <c r="F1077" s="15"/>
      <c r="G1077" s="4"/>
    </row>
    <row r="1078" ht="14.25" customHeight="1">
      <c r="A1078" s="8" t="s">
        <v>2407</v>
      </c>
      <c r="B1078" s="8">
        <v>6.0</v>
      </c>
      <c r="C1078" s="4" t="str">
        <f>IFERROR(__xludf.DUMMYFUNCTION("""COMPUTED_VALUE"""),"Mark Brown")</f>
        <v>Mark Brown</v>
      </c>
      <c r="D1078" s="31">
        <f t="shared" si="1"/>
        <v>5.2</v>
      </c>
      <c r="E1078" s="4">
        <f t="shared" si="2"/>
        <v>2</v>
      </c>
      <c r="F1078" s="15"/>
      <c r="G1078" s="4"/>
    </row>
    <row r="1079" ht="14.25" customHeight="1">
      <c r="A1079" s="8" t="s">
        <v>2409</v>
      </c>
      <c r="B1079" s="8">
        <v>7.3</v>
      </c>
      <c r="C1079" s="4" t="str">
        <f>IFERROR(__xludf.DUMMYFUNCTION("""COMPUTED_VALUE"""),"Michael Polish")</f>
        <v>Michael Polish</v>
      </c>
      <c r="D1079" s="31">
        <f t="shared" si="1"/>
        <v>6.15</v>
      </c>
      <c r="E1079" s="4">
        <f t="shared" si="2"/>
        <v>4</v>
      </c>
      <c r="F1079" s="15"/>
      <c r="G1079" s="4"/>
    </row>
    <row r="1080" ht="14.25" customHeight="1">
      <c r="A1080" s="8" t="s">
        <v>1341</v>
      </c>
      <c r="B1080" s="8">
        <v>6.0</v>
      </c>
      <c r="C1080" s="4" t="str">
        <f>IFERROR(__xludf.DUMMYFUNCTION("""COMPUTED_VALUE"""),"Daisy von Scherler Mayer")</f>
        <v>Daisy von Scherler Mayer</v>
      </c>
      <c r="D1080" s="31">
        <f t="shared" si="1"/>
        <v>4.6</v>
      </c>
      <c r="E1080" s="4">
        <f t="shared" si="2"/>
        <v>2</v>
      </c>
      <c r="F1080" s="15"/>
      <c r="G1080" s="4"/>
    </row>
    <row r="1081" ht="14.25" customHeight="1">
      <c r="A1081" s="8" t="s">
        <v>472</v>
      </c>
      <c r="B1081" s="8">
        <v>7.0</v>
      </c>
      <c r="C1081" s="4" t="str">
        <f>IFERROR(__xludf.DUMMYFUNCTION("""COMPUTED_VALUE"""),"Lenny Abrahamson")</f>
        <v>Lenny Abrahamson</v>
      </c>
      <c r="D1081" s="31">
        <f t="shared" si="1"/>
        <v>8.3</v>
      </c>
      <c r="E1081" s="4">
        <f t="shared" si="2"/>
        <v>1</v>
      </c>
      <c r="F1081" s="15"/>
      <c r="G1081" s="4"/>
    </row>
    <row r="1082" ht="14.25" customHeight="1">
      <c r="A1082" s="8" t="s">
        <v>2413</v>
      </c>
      <c r="B1082" s="8">
        <v>5.1</v>
      </c>
      <c r="C1082" s="4" t="str">
        <f>IFERROR(__xludf.DUMMYFUNCTION("""COMPUTED_VALUE"""),"Bob Saget")</f>
        <v>Bob Saget</v>
      </c>
      <c r="D1082" s="31">
        <f t="shared" si="1"/>
        <v>6.4</v>
      </c>
      <c r="E1082" s="4">
        <f t="shared" si="2"/>
        <v>1</v>
      </c>
      <c r="F1082" s="15"/>
      <c r="G1082" s="4"/>
    </row>
    <row r="1083" ht="14.25" customHeight="1">
      <c r="A1083" s="8" t="s">
        <v>937</v>
      </c>
      <c r="B1083" s="8">
        <v>6.8</v>
      </c>
      <c r="C1083" s="4" t="str">
        <f>IFERROR(__xludf.DUMMYFUNCTION("""COMPUTED_VALUE"""),"John Waters")</f>
        <v>John Waters</v>
      </c>
      <c r="D1083" s="31">
        <f t="shared" si="1"/>
        <v>6.333333333</v>
      </c>
      <c r="E1083" s="4">
        <f t="shared" si="2"/>
        <v>3</v>
      </c>
      <c r="F1083" s="15"/>
      <c r="G1083" s="4"/>
    </row>
    <row r="1084" ht="14.25" customHeight="1">
      <c r="A1084" s="8" t="s">
        <v>2417</v>
      </c>
      <c r="B1084" s="8">
        <v>6.5</v>
      </c>
      <c r="C1084" s="4" t="str">
        <f>IFERROR(__xludf.DUMMYFUNCTION("""COMPUTED_VALUE"""),"Craig Bolotin")</f>
        <v>Craig Bolotin</v>
      </c>
      <c r="D1084" s="31">
        <f t="shared" si="1"/>
        <v>6</v>
      </c>
      <c r="E1084" s="4">
        <f t="shared" si="2"/>
        <v>1</v>
      </c>
      <c r="F1084" s="15"/>
      <c r="G1084" s="4"/>
    </row>
    <row r="1085" ht="14.25" customHeight="1">
      <c r="A1085" s="8" t="s">
        <v>743</v>
      </c>
      <c r="B1085" s="8">
        <v>6.6</v>
      </c>
      <c r="C1085" s="4" t="str">
        <f>IFERROR(__xludf.DUMMYFUNCTION("""COMPUTED_VALUE"""),"Mark Christopher")</f>
        <v>Mark Christopher</v>
      </c>
      <c r="D1085" s="31">
        <f t="shared" si="1"/>
        <v>5.8</v>
      </c>
      <c r="E1085" s="4">
        <f t="shared" si="2"/>
        <v>1</v>
      </c>
      <c r="F1085" s="15"/>
      <c r="G1085" s="4"/>
    </row>
    <row r="1086" ht="14.25" customHeight="1">
      <c r="A1086" s="8" t="s">
        <v>888</v>
      </c>
      <c r="B1086" s="8">
        <v>7.2</v>
      </c>
      <c r="C1086" s="4" t="str">
        <f>IFERROR(__xludf.DUMMYFUNCTION("""COMPUTED_VALUE"""),"Blair Hayes")</f>
        <v>Blair Hayes</v>
      </c>
      <c r="D1086" s="31">
        <f t="shared" si="1"/>
        <v>5.6</v>
      </c>
      <c r="E1086" s="4">
        <f t="shared" si="2"/>
        <v>1</v>
      </c>
      <c r="F1086" s="15"/>
      <c r="G1086" s="4"/>
    </row>
    <row r="1087" ht="14.25" customHeight="1">
      <c r="A1087" s="8" t="s">
        <v>2299</v>
      </c>
      <c r="B1087" s="8">
        <v>7.0</v>
      </c>
      <c r="C1087" s="4" t="str">
        <f>IFERROR(__xludf.DUMMYFUNCTION("""COMPUTED_VALUE"""),"Jez Butterworth")</f>
        <v>Jez Butterworth</v>
      </c>
      <c r="D1087" s="31">
        <f t="shared" si="1"/>
        <v>6.1</v>
      </c>
      <c r="E1087" s="4">
        <f t="shared" si="2"/>
        <v>1</v>
      </c>
      <c r="F1087" s="15"/>
      <c r="G1087" s="4"/>
    </row>
    <row r="1088" ht="14.25" customHeight="1">
      <c r="A1088" s="8" t="s">
        <v>1920</v>
      </c>
      <c r="B1088" s="8">
        <v>7.0</v>
      </c>
      <c r="C1088" s="4" t="str">
        <f>IFERROR(__xludf.DUMMYFUNCTION("""COMPUTED_VALUE"""),"Olivier Assayas")</f>
        <v>Olivier Assayas</v>
      </c>
      <c r="D1088" s="31">
        <f t="shared" si="1"/>
        <v>7.1</v>
      </c>
      <c r="E1088" s="4">
        <f t="shared" si="2"/>
        <v>2</v>
      </c>
      <c r="F1088" s="15"/>
      <c r="G1088" s="4"/>
    </row>
    <row r="1089" ht="14.25" customHeight="1">
      <c r="A1089" s="8" t="s">
        <v>2425</v>
      </c>
      <c r="B1089" s="8">
        <v>5.9</v>
      </c>
      <c r="C1089" s="4" t="str">
        <f>IFERROR(__xludf.DUMMYFUNCTION("""COMPUTED_VALUE"""),"Patrice Leconte")</f>
        <v>Patrice Leconte</v>
      </c>
      <c r="D1089" s="31">
        <f t="shared" si="1"/>
        <v>7.3</v>
      </c>
      <c r="E1089" s="4">
        <f t="shared" si="2"/>
        <v>1</v>
      </c>
      <c r="F1089" s="15"/>
      <c r="G1089" s="4"/>
    </row>
    <row r="1090" ht="14.25" customHeight="1">
      <c r="A1090" s="8" t="s">
        <v>2427</v>
      </c>
      <c r="B1090" s="8">
        <v>5.4</v>
      </c>
      <c r="C1090" s="4" t="str">
        <f>IFERROR(__xludf.DUMMYFUNCTION("""COMPUTED_VALUE"""),"Paul Mazursky")</f>
        <v>Paul Mazursky</v>
      </c>
      <c r="D1090" s="31">
        <f t="shared" si="1"/>
        <v>5.9</v>
      </c>
      <c r="E1090" s="4">
        <f t="shared" si="2"/>
        <v>1</v>
      </c>
      <c r="F1090" s="15"/>
      <c r="G1090" s="4"/>
    </row>
    <row r="1091" ht="14.25" customHeight="1">
      <c r="A1091" s="8" t="s">
        <v>411</v>
      </c>
      <c r="B1091" s="8">
        <v>6.6</v>
      </c>
      <c r="C1091" s="4" t="str">
        <f>IFERROR(__xludf.DUMMYFUNCTION("""COMPUTED_VALUE"""),"Stephen Chbosky")</f>
        <v>Stephen Chbosky</v>
      </c>
      <c r="D1091" s="31">
        <f t="shared" si="1"/>
        <v>8</v>
      </c>
      <c r="E1091" s="4">
        <f t="shared" si="2"/>
        <v>1</v>
      </c>
      <c r="F1091" s="15"/>
      <c r="G1091" s="4"/>
    </row>
    <row r="1092" ht="14.25" customHeight="1">
      <c r="A1092" s="8" t="s">
        <v>2431</v>
      </c>
      <c r="B1092" s="8">
        <v>7.0</v>
      </c>
      <c r="C1092" s="4" t="str">
        <f>IFERROR(__xludf.DUMMYFUNCTION("""COMPUTED_VALUE"""),"Jon Hess")</f>
        <v>Jon Hess</v>
      </c>
      <c r="D1092" s="31">
        <f t="shared" si="1"/>
        <v>5.1</v>
      </c>
      <c r="E1092" s="4">
        <f t="shared" si="2"/>
        <v>1</v>
      </c>
      <c r="F1092" s="15"/>
      <c r="G1092" s="4"/>
    </row>
    <row r="1093" ht="14.25" customHeight="1">
      <c r="A1093" s="8" t="s">
        <v>677</v>
      </c>
      <c r="B1093" s="8">
        <v>6.5</v>
      </c>
      <c r="C1093" s="4" t="str">
        <f>IFERROR(__xludf.DUMMYFUNCTION("""COMPUTED_VALUE"""),"Joe Cornish")</f>
        <v>Joe Cornish</v>
      </c>
      <c r="D1093" s="31">
        <f t="shared" si="1"/>
        <v>6.6</v>
      </c>
      <c r="E1093" s="4">
        <f t="shared" si="2"/>
        <v>1</v>
      </c>
      <c r="F1093" s="15"/>
      <c r="G1093" s="4"/>
    </row>
    <row r="1094" ht="14.25" customHeight="1">
      <c r="A1094" s="8" t="s">
        <v>2125</v>
      </c>
      <c r="B1094" s="8">
        <v>6.3</v>
      </c>
      <c r="C1094" s="4" t="str">
        <f>IFERROR(__xludf.DUMMYFUNCTION("""COMPUTED_VALUE"""),"John H. Lee")</f>
        <v>John H. Lee</v>
      </c>
      <c r="D1094" s="31">
        <f t="shared" si="1"/>
        <v>6.8</v>
      </c>
      <c r="E1094" s="4">
        <f t="shared" si="2"/>
        <v>1</v>
      </c>
      <c r="F1094" s="15"/>
      <c r="G1094" s="4"/>
    </row>
    <row r="1095" ht="14.25" customHeight="1">
      <c r="A1095" s="8" t="s">
        <v>2436</v>
      </c>
      <c r="B1095" s="8">
        <v>6.5</v>
      </c>
      <c r="C1095" s="4" t="str">
        <f>IFERROR(__xludf.DUMMYFUNCTION("""COMPUTED_VALUE"""),"John Stainton")</f>
        <v>John Stainton</v>
      </c>
      <c r="D1095" s="31">
        <f t="shared" si="1"/>
        <v>5.4</v>
      </c>
      <c r="E1095" s="4">
        <f t="shared" si="2"/>
        <v>1</v>
      </c>
      <c r="F1095" s="15"/>
      <c r="G1095" s="4"/>
    </row>
    <row r="1096" ht="14.25" customHeight="1">
      <c r="A1096" s="8" t="s">
        <v>2438</v>
      </c>
      <c r="B1096" s="8">
        <v>6.5</v>
      </c>
      <c r="C1096" s="4" t="str">
        <f>IFERROR(__xludf.DUMMYFUNCTION("""COMPUTED_VALUE"""),"Stewart Hendler")</f>
        <v>Stewart Hendler</v>
      </c>
      <c r="D1096" s="31">
        <f t="shared" si="1"/>
        <v>5.1</v>
      </c>
      <c r="E1096" s="4">
        <f t="shared" si="2"/>
        <v>1</v>
      </c>
      <c r="F1096" s="15"/>
      <c r="G1096" s="4"/>
    </row>
    <row r="1097" ht="14.25" customHeight="1">
      <c r="A1097" s="8" t="s">
        <v>1514</v>
      </c>
      <c r="B1097" s="8">
        <v>5.8</v>
      </c>
      <c r="C1097" s="4" t="str">
        <f>IFERROR(__xludf.DUMMYFUNCTION("""COMPUTED_VALUE"""),"Mark Herman")</f>
        <v>Mark Herman</v>
      </c>
      <c r="D1097" s="31">
        <f t="shared" si="1"/>
        <v>7.8</v>
      </c>
      <c r="E1097" s="4">
        <f t="shared" si="2"/>
        <v>1</v>
      </c>
      <c r="F1097" s="15"/>
      <c r="G1097" s="4"/>
    </row>
    <row r="1098" ht="14.25" customHeight="1">
      <c r="A1098" s="8" t="s">
        <v>2444</v>
      </c>
      <c r="B1098" s="8">
        <v>6.6</v>
      </c>
      <c r="C1098" s="4" t="str">
        <f>IFERROR(__xludf.DUMMYFUNCTION("""COMPUTED_VALUE"""),"Abel Ferrara")</f>
        <v>Abel Ferrara</v>
      </c>
      <c r="D1098" s="31">
        <f t="shared" si="1"/>
        <v>6.6</v>
      </c>
      <c r="E1098" s="4">
        <f t="shared" si="2"/>
        <v>1</v>
      </c>
      <c r="F1098" s="15"/>
      <c r="G1098" s="4"/>
    </row>
    <row r="1099" ht="14.25" customHeight="1">
      <c r="A1099" s="8" t="s">
        <v>2447</v>
      </c>
      <c r="B1099" s="8">
        <v>5.4</v>
      </c>
      <c r="C1099" s="4" t="str">
        <f>IFERROR(__xludf.DUMMYFUNCTION("""COMPUTED_VALUE"""),"Brian Koppelman")</f>
        <v>Brian Koppelman</v>
      </c>
      <c r="D1099" s="31">
        <f t="shared" si="1"/>
        <v>6.4</v>
      </c>
      <c r="E1099" s="4">
        <f t="shared" si="2"/>
        <v>1</v>
      </c>
      <c r="F1099" s="15"/>
      <c r="G1099" s="4"/>
    </row>
    <row r="1100" ht="14.25" customHeight="1">
      <c r="A1100" s="8" t="s">
        <v>2449</v>
      </c>
      <c r="B1100" s="8">
        <v>6.1</v>
      </c>
      <c r="C1100" s="4" t="str">
        <f>IFERROR(__xludf.DUMMYFUNCTION("""COMPUTED_VALUE"""),"Ethan Maniquis")</f>
        <v>Ethan Maniquis</v>
      </c>
      <c r="D1100" s="31">
        <f t="shared" si="1"/>
        <v>6.7</v>
      </c>
      <c r="E1100" s="4">
        <f t="shared" si="2"/>
        <v>1</v>
      </c>
      <c r="F1100" s="15"/>
      <c r="G1100" s="4"/>
    </row>
    <row r="1101" ht="14.25" customHeight="1">
      <c r="A1101" s="8" t="s">
        <v>2451</v>
      </c>
      <c r="B1101" s="8">
        <v>4.0</v>
      </c>
      <c r="C1101" s="4" t="str">
        <f>IFERROR(__xludf.DUMMYFUNCTION("""COMPUTED_VALUE"""),"George Hickenlooper")</f>
        <v>George Hickenlooper</v>
      </c>
      <c r="D1101" s="31">
        <f t="shared" si="1"/>
        <v>6.3</v>
      </c>
      <c r="E1101" s="4">
        <f t="shared" si="2"/>
        <v>2</v>
      </c>
      <c r="F1101" s="15"/>
      <c r="G1101" s="4"/>
    </row>
    <row r="1102" ht="14.25" customHeight="1">
      <c r="A1102" s="8" t="s">
        <v>2152</v>
      </c>
      <c r="B1102" s="8">
        <v>7.6</v>
      </c>
      <c r="C1102" s="4" t="str">
        <f>IFERROR(__xludf.DUMMYFUNCTION("""COMPUTED_VALUE"""),"Je-kyu Kang")</f>
        <v>Je-kyu Kang</v>
      </c>
      <c r="D1102" s="31">
        <f t="shared" si="1"/>
        <v>8.1</v>
      </c>
      <c r="E1102" s="4">
        <f t="shared" si="2"/>
        <v>1</v>
      </c>
      <c r="F1102" s="15"/>
      <c r="G1102" s="4"/>
    </row>
    <row r="1103" ht="14.25" customHeight="1">
      <c r="A1103" s="8" t="s">
        <v>813</v>
      </c>
      <c r="B1103" s="8">
        <v>7.9</v>
      </c>
      <c r="C1103" s="4" t="str">
        <f>IFERROR(__xludf.DUMMYFUNCTION("""COMPUTED_VALUE"""),"William Dear")</f>
        <v>William Dear</v>
      </c>
      <c r="D1103" s="31">
        <f t="shared" si="1"/>
        <v>7</v>
      </c>
      <c r="E1103" s="4">
        <f t="shared" si="2"/>
        <v>1</v>
      </c>
      <c r="F1103" s="15"/>
      <c r="G1103" s="4"/>
    </row>
    <row r="1104" ht="14.25" customHeight="1">
      <c r="A1104" s="8" t="s">
        <v>2455</v>
      </c>
      <c r="B1104" s="8">
        <v>5.3</v>
      </c>
      <c r="C1104" s="4" t="str">
        <f>IFERROR(__xludf.DUMMYFUNCTION("""COMPUTED_VALUE"""),"StÃ©phane Aubier")</f>
        <v>StÃ©phane Aubier</v>
      </c>
      <c r="D1104" s="31">
        <f t="shared" si="1"/>
        <v>7.9</v>
      </c>
      <c r="E1104" s="4">
        <f t="shared" si="2"/>
        <v>1</v>
      </c>
      <c r="F1104" s="15"/>
      <c r="G1104" s="4"/>
    </row>
    <row r="1105" ht="14.25" customHeight="1">
      <c r="A1105" s="8" t="s">
        <v>2458</v>
      </c>
      <c r="B1105" s="8">
        <v>6.6</v>
      </c>
      <c r="C1105" s="4" t="str">
        <f>IFERROR(__xludf.DUMMYFUNCTION("""COMPUTED_VALUE"""),"John Badham")</f>
        <v>John Badham</v>
      </c>
      <c r="D1105" s="31">
        <f t="shared" si="1"/>
        <v>7.1</v>
      </c>
      <c r="E1105" s="4">
        <f t="shared" si="2"/>
        <v>1</v>
      </c>
      <c r="F1105" s="15"/>
      <c r="G1105" s="4"/>
    </row>
    <row r="1106" ht="14.25" customHeight="1">
      <c r="A1106" s="8" t="s">
        <v>2460</v>
      </c>
      <c r="B1106" s="8">
        <v>6.3</v>
      </c>
      <c r="C1106" s="4" t="str">
        <f>IFERROR(__xludf.DUMMYFUNCTION("""COMPUTED_VALUE"""),"Mike McCoy")</f>
        <v>Mike McCoy</v>
      </c>
      <c r="D1106" s="31">
        <f t="shared" si="1"/>
        <v>6.5</v>
      </c>
      <c r="E1106" s="4">
        <f t="shared" si="2"/>
        <v>1</v>
      </c>
      <c r="F1106" s="15"/>
      <c r="G1106" s="4"/>
    </row>
    <row r="1107" ht="14.25" customHeight="1">
      <c r="A1107" s="8" t="s">
        <v>1700</v>
      </c>
      <c r="B1107" s="8">
        <v>7.2</v>
      </c>
      <c r="C1107" s="4" t="str">
        <f>IFERROR(__xludf.DUMMYFUNCTION("""COMPUTED_VALUE"""),"Mike Judge")</f>
        <v>Mike Judge</v>
      </c>
      <c r="D1107" s="31">
        <f t="shared" si="1"/>
        <v>6.933333333</v>
      </c>
      <c r="E1107" s="4">
        <f t="shared" si="2"/>
        <v>3</v>
      </c>
      <c r="F1107" s="15"/>
      <c r="G1107" s="4"/>
    </row>
    <row r="1108" ht="14.25" customHeight="1">
      <c r="A1108" s="8" t="s">
        <v>1985</v>
      </c>
      <c r="B1108" s="8">
        <v>7.0</v>
      </c>
      <c r="C1108" s="4" t="str">
        <f>IFERROR(__xludf.DUMMYFUNCTION("""COMPUTED_VALUE"""),"Tamra Davis")</f>
        <v>Tamra Davis</v>
      </c>
      <c r="D1108" s="31">
        <f t="shared" si="1"/>
        <v>5</v>
      </c>
      <c r="E1108" s="4">
        <f t="shared" si="2"/>
        <v>2</v>
      </c>
      <c r="F1108" s="15"/>
      <c r="G1108" s="4"/>
    </row>
    <row r="1109" ht="14.25" customHeight="1">
      <c r="A1109" s="8" t="s">
        <v>2050</v>
      </c>
      <c r="B1109" s="8">
        <v>6.9</v>
      </c>
      <c r="C1109" s="4" t="str">
        <f>IFERROR(__xludf.DUMMYFUNCTION("""COMPUTED_VALUE"""),"Nima Nourizadeh")</f>
        <v>Nima Nourizadeh</v>
      </c>
      <c r="D1109" s="31">
        <f t="shared" si="1"/>
        <v>6.7</v>
      </c>
      <c r="E1109" s="4">
        <f t="shared" si="2"/>
        <v>1</v>
      </c>
      <c r="F1109" s="15"/>
      <c r="G1109" s="4"/>
    </row>
    <row r="1110" ht="14.25" customHeight="1">
      <c r="A1110" s="8" t="s">
        <v>2470</v>
      </c>
      <c r="B1110" s="8">
        <v>5.2</v>
      </c>
      <c r="C1110" s="4" t="str">
        <f>IFERROR(__xludf.DUMMYFUNCTION("""COMPUTED_VALUE"""),"John Erick Dowdle")</f>
        <v>John Erick Dowdle</v>
      </c>
      <c r="D1110" s="31">
        <f t="shared" si="1"/>
        <v>6.3</v>
      </c>
      <c r="E1110" s="4">
        <f t="shared" si="2"/>
        <v>4</v>
      </c>
      <c r="F1110" s="15"/>
      <c r="G1110" s="4"/>
    </row>
    <row r="1111" ht="14.25" customHeight="1">
      <c r="A1111" s="8" t="s">
        <v>387</v>
      </c>
      <c r="B1111" s="8">
        <v>8.1</v>
      </c>
      <c r="C1111" s="4" t="str">
        <f>IFERROR(__xludf.DUMMYFUNCTION("""COMPUTED_VALUE"""),"David Moreau")</f>
        <v>David Moreau</v>
      </c>
      <c r="D1111" s="31">
        <f t="shared" si="1"/>
        <v>5.4</v>
      </c>
      <c r="E1111" s="4">
        <f t="shared" si="2"/>
        <v>1</v>
      </c>
      <c r="F1111" s="15"/>
      <c r="G1111" s="4"/>
    </row>
    <row r="1112" ht="14.25" customHeight="1">
      <c r="A1112" s="8" t="s">
        <v>2474</v>
      </c>
      <c r="B1112" s="8">
        <v>6.6</v>
      </c>
      <c r="C1112" s="4" t="str">
        <f>IFERROR(__xludf.DUMMYFUNCTION("""COMPUTED_VALUE"""),"Christopher Erskin")</f>
        <v>Christopher Erskin</v>
      </c>
      <c r="D1112" s="31">
        <f t="shared" si="1"/>
        <v>4.3</v>
      </c>
      <c r="E1112" s="4">
        <f t="shared" si="2"/>
        <v>1</v>
      </c>
      <c r="F1112" s="15"/>
      <c r="G1112" s="4"/>
    </row>
    <row r="1113" ht="14.25" customHeight="1">
      <c r="A1113" s="8" t="s">
        <v>1598</v>
      </c>
      <c r="B1113" s="8">
        <v>6.2</v>
      </c>
      <c r="C1113" s="4" t="str">
        <f>IFERROR(__xludf.DUMMYFUNCTION("""COMPUTED_VALUE"""),"Brian Henson")</f>
        <v>Brian Henson</v>
      </c>
      <c r="D1113" s="31">
        <f t="shared" si="1"/>
        <v>7.7</v>
      </c>
      <c r="E1113" s="4">
        <f t="shared" si="2"/>
        <v>1</v>
      </c>
      <c r="F1113" s="15"/>
      <c r="G1113" s="4"/>
    </row>
    <row r="1114" ht="14.25" customHeight="1">
      <c r="A1114" s="8" t="s">
        <v>2479</v>
      </c>
      <c r="B1114" s="8">
        <v>7.2</v>
      </c>
      <c r="C1114" s="4" t="str">
        <f>IFERROR(__xludf.DUMMYFUNCTION("""COMPUTED_VALUE"""),"Dan Cutforth")</f>
        <v>Dan Cutforth</v>
      </c>
      <c r="D1114" s="31">
        <f t="shared" si="1"/>
        <v>5.9</v>
      </c>
      <c r="E1114" s="4">
        <f t="shared" si="2"/>
        <v>1</v>
      </c>
      <c r="F1114" s="15"/>
      <c r="G1114" s="4"/>
    </row>
    <row r="1115" ht="14.25" customHeight="1">
      <c r="A1115" s="8" t="s">
        <v>1695</v>
      </c>
      <c r="B1115" s="8">
        <v>7.3</v>
      </c>
      <c r="C1115" s="4" t="str">
        <f>IFERROR(__xludf.DUMMYFUNCTION("""COMPUTED_VALUE"""),"Josh Boone")</f>
        <v>Josh Boone</v>
      </c>
      <c r="D1115" s="31">
        <f t="shared" si="1"/>
        <v>7.8</v>
      </c>
      <c r="E1115" s="4">
        <f t="shared" si="2"/>
        <v>1</v>
      </c>
      <c r="F1115" s="15"/>
      <c r="G1115" s="4"/>
    </row>
    <row r="1116" ht="14.25" customHeight="1">
      <c r="A1116" s="8" t="s">
        <v>2484</v>
      </c>
      <c r="B1116" s="8">
        <v>6.7</v>
      </c>
      <c r="C1116" s="4" t="str">
        <f>IFERROR(__xludf.DUMMYFUNCTION("""COMPUTED_VALUE"""),"Jake Schreier")</f>
        <v>Jake Schreier</v>
      </c>
      <c r="D1116" s="31">
        <f t="shared" si="1"/>
        <v>6.75</v>
      </c>
      <c r="E1116" s="4">
        <f t="shared" si="2"/>
        <v>2</v>
      </c>
      <c r="F1116" s="15"/>
      <c r="G1116" s="4"/>
    </row>
    <row r="1117" ht="14.25" customHeight="1">
      <c r="A1117" s="8" t="s">
        <v>2486</v>
      </c>
      <c r="B1117" s="8">
        <v>6.4</v>
      </c>
      <c r="C1117" s="4" t="str">
        <f>IFERROR(__xludf.DUMMYFUNCTION("""COMPUTED_VALUE"""),"Ernest R. Dickerson")</f>
        <v>Ernest R. Dickerson</v>
      </c>
      <c r="D1117" s="31">
        <f t="shared" si="1"/>
        <v>6.7</v>
      </c>
      <c r="E1117" s="4">
        <f t="shared" si="2"/>
        <v>1</v>
      </c>
      <c r="F1117" s="15"/>
      <c r="G1117" s="4"/>
    </row>
    <row r="1118" ht="14.25" customHeight="1">
      <c r="A1118" s="8" t="s">
        <v>186</v>
      </c>
      <c r="B1118" s="8">
        <v>7.8</v>
      </c>
      <c r="C1118" s="4" t="str">
        <f>IFERROR(__xludf.DUMMYFUNCTION("""COMPUTED_VALUE"""),"Wallace Wolodarsky")</f>
        <v>Wallace Wolodarsky</v>
      </c>
      <c r="D1118" s="31">
        <f t="shared" si="1"/>
        <v>5.4</v>
      </c>
      <c r="E1118" s="4">
        <f t="shared" si="2"/>
        <v>1</v>
      </c>
      <c r="F1118" s="15"/>
      <c r="G1118" s="4"/>
    </row>
    <row r="1119" ht="14.25" customHeight="1">
      <c r="A1119" s="8" t="s">
        <v>830</v>
      </c>
      <c r="B1119" s="8">
        <v>6.4</v>
      </c>
      <c r="C1119" s="4" t="str">
        <f>IFERROR(__xludf.DUMMYFUNCTION("""COMPUTED_VALUE"""),"Nicholas Jarecki")</f>
        <v>Nicholas Jarecki</v>
      </c>
      <c r="D1119" s="31">
        <f t="shared" si="1"/>
        <v>6.6</v>
      </c>
      <c r="E1119" s="4">
        <f t="shared" si="2"/>
        <v>1</v>
      </c>
      <c r="F1119" s="15"/>
      <c r="G1119" s="4"/>
    </row>
    <row r="1120" ht="14.25" customHeight="1">
      <c r="A1120" s="8" t="s">
        <v>2491</v>
      </c>
      <c r="B1120" s="8">
        <v>4.1</v>
      </c>
      <c r="C1120" s="4" t="str">
        <f>IFERROR(__xludf.DUMMYFUNCTION("""COMPUTED_VALUE"""),"Dean Israelite")</f>
        <v>Dean Israelite</v>
      </c>
      <c r="D1120" s="31">
        <f t="shared" si="1"/>
        <v>6.4</v>
      </c>
      <c r="E1120" s="4">
        <f t="shared" si="2"/>
        <v>1</v>
      </c>
      <c r="F1120" s="15"/>
      <c r="G1120" s="4"/>
    </row>
    <row r="1121" ht="14.25" customHeight="1">
      <c r="A1121" s="8" t="s">
        <v>1980</v>
      </c>
      <c r="B1121" s="8">
        <v>4.1</v>
      </c>
      <c r="C1121" s="4" t="str">
        <f>IFERROR(__xludf.DUMMYFUNCTION("""COMPUTED_VALUE"""),"Darnell Martin")</f>
        <v>Darnell Martin</v>
      </c>
      <c r="D1121" s="31">
        <f t="shared" si="1"/>
        <v>7</v>
      </c>
      <c r="E1121" s="4">
        <f t="shared" si="2"/>
        <v>1</v>
      </c>
      <c r="F1121" s="15"/>
      <c r="G1121" s="4"/>
    </row>
    <row r="1122" ht="14.25" customHeight="1">
      <c r="A1122" s="8" t="s">
        <v>552</v>
      </c>
      <c r="B1122" s="8">
        <v>7.4</v>
      </c>
      <c r="C1122" s="4" t="str">
        <f>IFERROR(__xludf.DUMMYFUNCTION("""COMPUTED_VALUE"""),"Scott Alexander")</f>
        <v>Scott Alexander</v>
      </c>
      <c r="D1122" s="31">
        <f t="shared" si="1"/>
        <v>5.7</v>
      </c>
      <c r="E1122" s="4">
        <f t="shared" si="2"/>
        <v>1</v>
      </c>
      <c r="F1122" s="15"/>
      <c r="G1122" s="4"/>
    </row>
    <row r="1123" ht="14.25" customHeight="1">
      <c r="A1123" s="8" t="s">
        <v>345</v>
      </c>
      <c r="B1123" s="8">
        <v>5.8</v>
      </c>
      <c r="C1123" s="4" t="str">
        <f>IFERROR(__xludf.DUMMYFUNCTION("""COMPUTED_VALUE"""),"Stuart Gordon")</f>
        <v>Stuart Gordon</v>
      </c>
      <c r="D1123" s="31">
        <f t="shared" si="1"/>
        <v>6.1</v>
      </c>
      <c r="E1123" s="4">
        <f t="shared" si="2"/>
        <v>2</v>
      </c>
      <c r="F1123" s="15"/>
      <c r="G1123" s="4"/>
    </row>
    <row r="1124" ht="14.25" customHeight="1">
      <c r="A1124" s="8" t="s">
        <v>98</v>
      </c>
      <c r="B1124" s="8">
        <v>7.6</v>
      </c>
      <c r="C1124" s="4" t="str">
        <f>IFERROR(__xludf.DUMMYFUNCTION("""COMPUTED_VALUE"""),"Christopher Guest")</f>
        <v>Christopher Guest</v>
      </c>
      <c r="D1124" s="31">
        <f t="shared" si="1"/>
        <v>7.133333333</v>
      </c>
      <c r="E1124" s="4">
        <f t="shared" si="2"/>
        <v>3</v>
      </c>
      <c r="F1124" s="15"/>
      <c r="G1124" s="4"/>
    </row>
    <row r="1125" ht="14.25" customHeight="1">
      <c r="A1125" s="8" t="s">
        <v>2246</v>
      </c>
      <c r="B1125" s="8">
        <v>7.2</v>
      </c>
      <c r="C1125" s="4" t="str">
        <f>IFERROR(__xludf.DUMMYFUNCTION("""COMPUTED_VALUE"""),"Jane Campion")</f>
        <v>Jane Campion</v>
      </c>
      <c r="D1125" s="31">
        <f t="shared" si="1"/>
        <v>6.633333333</v>
      </c>
      <c r="E1125" s="4">
        <f t="shared" si="2"/>
        <v>3</v>
      </c>
      <c r="F1125" s="15"/>
      <c r="G1125" s="4"/>
    </row>
    <row r="1126" ht="14.25" customHeight="1">
      <c r="A1126" s="8" t="s">
        <v>145</v>
      </c>
      <c r="B1126" s="8">
        <v>7.8</v>
      </c>
      <c r="C1126" s="4" t="str">
        <f>IFERROR(__xludf.DUMMYFUNCTION("""COMPUTED_VALUE"""),"Fred Schepisi")</f>
        <v>Fred Schepisi</v>
      </c>
      <c r="D1126" s="31">
        <f t="shared" si="1"/>
        <v>7</v>
      </c>
      <c r="E1126" s="4">
        <f t="shared" si="2"/>
        <v>1</v>
      </c>
      <c r="F1126" s="15"/>
      <c r="G1126" s="4"/>
    </row>
    <row r="1127" ht="14.25" customHeight="1">
      <c r="A1127" s="8" t="s">
        <v>291</v>
      </c>
      <c r="B1127" s="8">
        <v>7.7</v>
      </c>
      <c r="C1127" s="4" t="str">
        <f>IFERROR(__xludf.DUMMYFUNCTION("""COMPUTED_VALUE"""),"Antonia Bird")</f>
        <v>Antonia Bird</v>
      </c>
      <c r="D1127" s="31">
        <f t="shared" si="1"/>
        <v>7.1</v>
      </c>
      <c r="E1127" s="4">
        <f t="shared" si="2"/>
        <v>1</v>
      </c>
      <c r="F1127" s="15"/>
      <c r="G1127" s="4"/>
    </row>
    <row r="1128" ht="14.25" customHeight="1">
      <c r="A1128" s="8" t="s">
        <v>2506</v>
      </c>
      <c r="B1128" s="8">
        <v>6.4</v>
      </c>
      <c r="C1128" s="4" t="str">
        <f>IFERROR(__xludf.DUMMYFUNCTION("""COMPUTED_VALUE"""),"Jon Poll")</f>
        <v>Jon Poll</v>
      </c>
      <c r="D1128" s="31">
        <f t="shared" si="1"/>
        <v>7</v>
      </c>
      <c r="E1128" s="4">
        <f t="shared" si="2"/>
        <v>1</v>
      </c>
      <c r="F1128" s="15"/>
      <c r="G1128" s="4"/>
    </row>
    <row r="1129" ht="14.25" customHeight="1">
      <c r="A1129" s="8" t="s">
        <v>2271</v>
      </c>
      <c r="B1129" s="8">
        <v>5.1</v>
      </c>
      <c r="C1129" s="4" t="str">
        <f>IFERROR(__xludf.DUMMYFUNCTION("""COMPUTED_VALUE"""),"Paolo Sorrentino")</f>
        <v>Paolo Sorrentino</v>
      </c>
      <c r="D1129" s="31">
        <f t="shared" si="1"/>
        <v>7.7</v>
      </c>
      <c r="E1129" s="4">
        <f t="shared" si="2"/>
        <v>1</v>
      </c>
      <c r="F1129" s="15"/>
      <c r="G1129" s="4"/>
    </row>
    <row r="1130" ht="14.25" customHeight="1">
      <c r="A1130" s="8" t="s">
        <v>2511</v>
      </c>
      <c r="B1130" s="8">
        <v>5.5</v>
      </c>
      <c r="C1130" s="4" t="str">
        <f>IFERROR(__xludf.DUMMYFUNCTION("""COMPUTED_VALUE"""),"Peter Care")</f>
        <v>Peter Care</v>
      </c>
      <c r="D1130" s="31">
        <f t="shared" si="1"/>
        <v>7.1</v>
      </c>
      <c r="E1130" s="4">
        <f t="shared" si="2"/>
        <v>1</v>
      </c>
      <c r="F1130" s="15"/>
      <c r="G1130" s="4"/>
    </row>
    <row r="1131" ht="14.25" customHeight="1">
      <c r="A1131" s="8" t="s">
        <v>186</v>
      </c>
      <c r="B1131" s="8">
        <v>7.4</v>
      </c>
      <c r="C1131" s="4" t="str">
        <f>IFERROR(__xludf.DUMMYFUNCTION("""COMPUTED_VALUE"""),"Chan-wook Park")</f>
        <v>Chan-wook Park</v>
      </c>
      <c r="D1131" s="31">
        <f t="shared" si="1"/>
        <v>7.633333333</v>
      </c>
      <c r="E1131" s="4">
        <f t="shared" si="2"/>
        <v>3</v>
      </c>
      <c r="F1131" s="15"/>
      <c r="G1131" s="4"/>
    </row>
    <row r="1132" ht="14.25" customHeight="1">
      <c r="A1132" s="8" t="s">
        <v>2517</v>
      </c>
      <c r="B1132" s="8">
        <v>6.0</v>
      </c>
      <c r="C1132" s="4" t="str">
        <f>IFERROR(__xludf.DUMMYFUNCTION("""COMPUTED_VALUE"""),"Ira Sachs")</f>
        <v>Ira Sachs</v>
      </c>
      <c r="D1132" s="31">
        <f t="shared" si="1"/>
        <v>6.3</v>
      </c>
      <c r="E1132" s="4">
        <f t="shared" si="2"/>
        <v>1</v>
      </c>
      <c r="F1132" s="15"/>
      <c r="G1132" s="4"/>
    </row>
    <row r="1133" ht="14.25" customHeight="1">
      <c r="A1133" s="8" t="s">
        <v>1957</v>
      </c>
      <c r="B1133" s="8">
        <v>7.5</v>
      </c>
      <c r="C1133" s="4" t="str">
        <f>IFERROR(__xludf.DUMMYFUNCTION("""COMPUTED_VALUE"""),"Carroll Ballard")</f>
        <v>Carroll Ballard</v>
      </c>
      <c r="D1133" s="31">
        <f t="shared" si="1"/>
        <v>7.3</v>
      </c>
      <c r="E1133" s="4">
        <f t="shared" si="2"/>
        <v>1</v>
      </c>
      <c r="F1133" s="15"/>
      <c r="G1133" s="4"/>
    </row>
    <row r="1134" ht="14.25" customHeight="1">
      <c r="A1134" s="8" t="s">
        <v>1497</v>
      </c>
      <c r="B1134" s="8">
        <v>7.0</v>
      </c>
      <c r="C1134" s="4" t="str">
        <f>IFERROR(__xludf.DUMMYFUNCTION("""COMPUTED_VALUE"""),"Takeshi Kitano")</f>
        <v>Takeshi Kitano</v>
      </c>
      <c r="D1134" s="31">
        <f t="shared" si="1"/>
        <v>7.2</v>
      </c>
      <c r="E1134" s="4">
        <f t="shared" si="2"/>
        <v>1</v>
      </c>
      <c r="F1134" s="15"/>
      <c r="G1134" s="4"/>
    </row>
    <row r="1135" ht="14.25" customHeight="1">
      <c r="A1135" s="8" t="s">
        <v>2050</v>
      </c>
      <c r="B1135" s="8">
        <v>7.5</v>
      </c>
      <c r="C1135" s="4" t="str">
        <f>IFERROR(__xludf.DUMMYFUNCTION("""COMPUTED_VALUE"""),"Marco Kreuzpaintner")</f>
        <v>Marco Kreuzpaintner</v>
      </c>
      <c r="D1135" s="31">
        <f t="shared" si="1"/>
        <v>7.45</v>
      </c>
      <c r="E1135" s="4">
        <f t="shared" si="2"/>
        <v>2</v>
      </c>
      <c r="F1135" s="15"/>
      <c r="G1135" s="4"/>
    </row>
    <row r="1136" ht="14.25" customHeight="1">
      <c r="A1136" s="8" t="s">
        <v>1095</v>
      </c>
      <c r="B1136" s="8">
        <v>7.3</v>
      </c>
      <c r="C1136" s="4" t="str">
        <f>IFERROR(__xludf.DUMMYFUNCTION("""COMPUTED_VALUE"""),"Lajos Koltai")</f>
        <v>Lajos Koltai</v>
      </c>
      <c r="D1136" s="31">
        <f t="shared" si="1"/>
        <v>7.1</v>
      </c>
      <c r="E1136" s="4">
        <f t="shared" si="2"/>
        <v>1</v>
      </c>
      <c r="F1136" s="15"/>
      <c r="G1136" s="4"/>
    </row>
    <row r="1137" ht="14.25" customHeight="1">
      <c r="A1137" s="8" t="s">
        <v>1428</v>
      </c>
      <c r="B1137" s="8">
        <v>5.7</v>
      </c>
      <c r="C1137" s="4" t="str">
        <f>IFERROR(__xludf.DUMMYFUNCTION("""COMPUTED_VALUE"""),"Alan Rudolph")</f>
        <v>Alan Rudolph</v>
      </c>
      <c r="D1137" s="31">
        <f t="shared" si="1"/>
        <v>4.6</v>
      </c>
      <c r="E1137" s="4">
        <f t="shared" si="2"/>
        <v>1</v>
      </c>
      <c r="F1137" s="15"/>
      <c r="G1137" s="4"/>
    </row>
    <row r="1138" ht="14.25" customHeight="1">
      <c r="A1138" s="8" t="s">
        <v>2053</v>
      </c>
      <c r="B1138" s="8">
        <v>7.3</v>
      </c>
      <c r="C1138" s="4" t="str">
        <f>IFERROR(__xludf.DUMMYFUNCTION("""COMPUTED_VALUE"""),"Chuan Lu")</f>
        <v>Chuan Lu</v>
      </c>
      <c r="D1138" s="31">
        <f t="shared" si="1"/>
        <v>7.7</v>
      </c>
      <c r="E1138" s="4">
        <f t="shared" si="2"/>
        <v>1</v>
      </c>
      <c r="F1138" s="15"/>
      <c r="G1138" s="4"/>
    </row>
    <row r="1139" ht="14.25" customHeight="1">
      <c r="A1139" s="8" t="s">
        <v>996</v>
      </c>
      <c r="B1139" s="8">
        <v>7.2</v>
      </c>
      <c r="C1139" s="4" t="str">
        <f>IFERROR(__xludf.DUMMYFUNCTION("""COMPUTED_VALUE"""),"Timothy Hines")</f>
        <v>Timothy Hines</v>
      </c>
      <c r="D1139" s="31">
        <f t="shared" si="1"/>
        <v>7.5</v>
      </c>
      <c r="E1139" s="4">
        <f t="shared" si="2"/>
        <v>1</v>
      </c>
      <c r="F1139" s="15"/>
      <c r="G1139" s="4"/>
    </row>
    <row r="1140" ht="14.25" customHeight="1">
      <c r="A1140" s="8" t="s">
        <v>563</v>
      </c>
      <c r="B1140" s="8">
        <v>5.9</v>
      </c>
      <c r="C1140" s="4" t="str">
        <f>IFERROR(__xludf.DUMMYFUNCTION("""COMPUTED_VALUE"""),"Akira Kurosawa")</f>
        <v>Akira Kurosawa</v>
      </c>
      <c r="D1140" s="31">
        <f t="shared" si="1"/>
        <v>8.1</v>
      </c>
      <c r="E1140" s="4">
        <f t="shared" si="2"/>
        <v>2</v>
      </c>
      <c r="F1140" s="15"/>
      <c r="G1140" s="4"/>
    </row>
    <row r="1141" ht="14.25" customHeight="1">
      <c r="A1141" s="8" t="s">
        <v>680</v>
      </c>
      <c r="B1141" s="8">
        <v>7.8</v>
      </c>
      <c r="C1141" s="4" t="str">
        <f>IFERROR(__xludf.DUMMYFUNCTION("""COMPUTED_VALUE"""),"Dan Mazer")</f>
        <v>Dan Mazer</v>
      </c>
      <c r="D1141" s="31">
        <f t="shared" si="1"/>
        <v>6</v>
      </c>
      <c r="E1141" s="4">
        <f t="shared" si="2"/>
        <v>1</v>
      </c>
      <c r="F1141" s="15"/>
      <c r="G1141" s="4"/>
    </row>
    <row r="1142" ht="14.25" customHeight="1">
      <c r="A1142" s="8" t="s">
        <v>1535</v>
      </c>
      <c r="B1142" s="8">
        <v>7.7</v>
      </c>
      <c r="C1142" s="4" t="str">
        <f>IFERROR(__xludf.DUMMYFUNCTION("""COMPUTED_VALUE"""),"R.J. Cutler")</f>
        <v>R.J. Cutler</v>
      </c>
      <c r="D1142" s="31">
        <f t="shared" si="1"/>
        <v>6.8</v>
      </c>
      <c r="E1142" s="4">
        <f t="shared" si="2"/>
        <v>1</v>
      </c>
      <c r="F1142" s="15"/>
      <c r="G1142" s="4"/>
    </row>
    <row r="1143" ht="14.25" customHeight="1">
      <c r="A1143" s="8" t="s">
        <v>1554</v>
      </c>
      <c r="B1143" s="8">
        <v>8.1</v>
      </c>
      <c r="C1143" s="4" t="str">
        <f>IFERROR(__xludf.DUMMYFUNCTION("""COMPUTED_VALUE"""),"David S. Ward")</f>
        <v>David S. Ward</v>
      </c>
      <c r="D1143" s="31">
        <f t="shared" si="1"/>
        <v>7.2</v>
      </c>
      <c r="E1143" s="4">
        <f t="shared" si="2"/>
        <v>1</v>
      </c>
      <c r="F1143" s="15"/>
      <c r="G1143" s="4"/>
    </row>
    <row r="1144" ht="14.25" customHeight="1">
      <c r="A1144" s="8" t="s">
        <v>1043</v>
      </c>
      <c r="B1144" s="8">
        <v>6.6</v>
      </c>
      <c r="C1144" s="4" t="str">
        <f>IFERROR(__xludf.DUMMYFUNCTION("""COMPUTED_VALUE"""),"Rob Pritts")</f>
        <v>Rob Pritts</v>
      </c>
      <c r="D1144" s="31">
        <f t="shared" si="1"/>
        <v>4.6</v>
      </c>
      <c r="E1144" s="4">
        <f t="shared" si="2"/>
        <v>1</v>
      </c>
      <c r="F1144" s="15"/>
      <c r="G1144" s="4"/>
    </row>
    <row r="1145" ht="14.25" customHeight="1">
      <c r="A1145" s="8" t="s">
        <v>2425</v>
      </c>
      <c r="B1145" s="8">
        <v>7.1</v>
      </c>
      <c r="C1145" s="4" t="str">
        <f>IFERROR(__xludf.DUMMYFUNCTION("""COMPUTED_VALUE"""),"John Crowley")</f>
        <v>John Crowley</v>
      </c>
      <c r="D1145" s="31">
        <f t="shared" si="1"/>
        <v>7.5</v>
      </c>
      <c r="E1145" s="4">
        <f t="shared" si="2"/>
        <v>1</v>
      </c>
      <c r="F1145" s="15"/>
      <c r="G1145" s="4"/>
    </row>
    <row r="1146" ht="14.25" customHeight="1">
      <c r="A1146" s="8" t="s">
        <v>1428</v>
      </c>
      <c r="B1146" s="8">
        <v>5.9</v>
      </c>
      <c r="C1146" s="4" t="str">
        <f>IFERROR(__xludf.DUMMYFUNCTION("""COMPUTED_VALUE"""),"Brendan Malloy")</f>
        <v>Brendan Malloy</v>
      </c>
      <c r="D1146" s="31">
        <f t="shared" si="1"/>
        <v>6.3</v>
      </c>
      <c r="E1146" s="4">
        <f t="shared" si="2"/>
        <v>1</v>
      </c>
      <c r="F1146" s="15"/>
      <c r="G1146" s="4"/>
    </row>
    <row r="1147" ht="14.25" customHeight="1">
      <c r="A1147" s="8" t="s">
        <v>324</v>
      </c>
      <c r="B1147" s="8">
        <v>8.0</v>
      </c>
      <c r="C1147" s="4" t="str">
        <f>IFERROR(__xludf.DUMMYFUNCTION("""COMPUTED_VALUE"""),"Dustin Hoffman")</f>
        <v>Dustin Hoffman</v>
      </c>
      <c r="D1147" s="31">
        <f t="shared" si="1"/>
        <v>6.8</v>
      </c>
      <c r="E1147" s="4">
        <f t="shared" si="2"/>
        <v>1</v>
      </c>
      <c r="F1147" s="15"/>
      <c r="G1147" s="4"/>
    </row>
    <row r="1148" ht="14.25" customHeight="1">
      <c r="A1148" s="8" t="s">
        <v>2542</v>
      </c>
      <c r="B1148" s="8">
        <v>4.6</v>
      </c>
      <c r="C1148" s="4" t="str">
        <f>IFERROR(__xludf.DUMMYFUNCTION("""COMPUTED_VALUE"""),"Gregory Poirier")</f>
        <v>Gregory Poirier</v>
      </c>
      <c r="D1148" s="31">
        <f t="shared" si="1"/>
        <v>5.3</v>
      </c>
      <c r="E1148" s="4">
        <f t="shared" si="2"/>
        <v>1</v>
      </c>
      <c r="F1148" s="15"/>
      <c r="G1148" s="4"/>
    </row>
    <row r="1149" ht="14.25" customHeight="1">
      <c r="A1149" s="8" t="s">
        <v>17</v>
      </c>
      <c r="B1149" s="8">
        <v>6.1</v>
      </c>
      <c r="C1149" s="4" t="str">
        <f>IFERROR(__xludf.DUMMYFUNCTION("""COMPUTED_VALUE"""),"Bill Paxton")</f>
        <v>Bill Paxton</v>
      </c>
      <c r="D1149" s="31">
        <f t="shared" si="1"/>
        <v>7.3</v>
      </c>
      <c r="E1149" s="4">
        <f t="shared" si="2"/>
        <v>1</v>
      </c>
      <c r="F1149" s="15"/>
      <c r="G1149" s="4"/>
    </row>
    <row r="1150" ht="14.25" customHeight="1">
      <c r="A1150" s="8" t="s">
        <v>2417</v>
      </c>
      <c r="B1150" s="8">
        <v>6.4</v>
      </c>
      <c r="C1150" s="4" t="str">
        <f>IFERROR(__xludf.DUMMYFUNCTION("""COMPUTED_VALUE"""),"Simon Curtis")</f>
        <v>Simon Curtis</v>
      </c>
      <c r="D1150" s="31">
        <f t="shared" si="1"/>
        <v>7.15</v>
      </c>
      <c r="E1150" s="4">
        <f t="shared" si="2"/>
        <v>2</v>
      </c>
      <c r="F1150" s="15"/>
      <c r="G1150" s="4"/>
    </row>
    <row r="1151" ht="14.25" customHeight="1">
      <c r="A1151" s="8" t="s">
        <v>2549</v>
      </c>
      <c r="B1151" s="8">
        <v>6.0</v>
      </c>
      <c r="C1151" s="4" t="str">
        <f>IFERROR(__xludf.DUMMYFUNCTION("""COMPUTED_VALUE"""),"Dewey Nicks")</f>
        <v>Dewey Nicks</v>
      </c>
      <c r="D1151" s="31">
        <f t="shared" si="1"/>
        <v>5.3</v>
      </c>
      <c r="E1151" s="4">
        <f t="shared" si="2"/>
        <v>1</v>
      </c>
      <c r="F1151" s="15"/>
      <c r="G1151" s="4"/>
    </row>
    <row r="1152" ht="14.25" customHeight="1">
      <c r="A1152" s="8" t="s">
        <v>2331</v>
      </c>
      <c r="B1152" s="8">
        <v>5.2</v>
      </c>
      <c r="C1152" s="4" t="str">
        <f>IFERROR(__xludf.DUMMYFUNCTION("""COMPUTED_VALUE"""),"Philip Saville")</f>
        <v>Philip Saville</v>
      </c>
      <c r="D1152" s="31">
        <f t="shared" si="1"/>
        <v>7.7</v>
      </c>
      <c r="E1152" s="4">
        <f t="shared" si="2"/>
        <v>1</v>
      </c>
      <c r="F1152" s="15"/>
      <c r="G1152" s="4"/>
    </row>
    <row r="1153" ht="14.25" customHeight="1">
      <c r="A1153" s="8" t="s">
        <v>168</v>
      </c>
      <c r="B1153" s="8">
        <v>7.6</v>
      </c>
      <c r="C1153" s="4" t="str">
        <f>IFERROR(__xludf.DUMMYFUNCTION("""COMPUTED_VALUE"""),"Tim Blake Nelson")</f>
        <v>Tim Blake Nelson</v>
      </c>
      <c r="D1153" s="31">
        <f t="shared" si="1"/>
        <v>6.2</v>
      </c>
      <c r="E1153" s="4">
        <f t="shared" si="2"/>
        <v>1</v>
      </c>
      <c r="F1153" s="15"/>
      <c r="G1153" s="4"/>
    </row>
    <row r="1154" ht="14.25" customHeight="1">
      <c r="A1154" s="8" t="s">
        <v>866</v>
      </c>
      <c r="B1154" s="8">
        <v>6.4</v>
      </c>
      <c r="C1154" s="4" t="str">
        <f>IFERROR(__xludf.DUMMYFUNCTION("""COMPUTED_VALUE"""),"William A. Graham")</f>
        <v>William A. Graham</v>
      </c>
      <c r="D1154" s="31">
        <f t="shared" si="1"/>
        <v>5.1</v>
      </c>
      <c r="E1154" s="4">
        <f t="shared" si="2"/>
        <v>1</v>
      </c>
      <c r="F1154" s="15"/>
      <c r="G1154" s="4"/>
    </row>
    <row r="1155" ht="14.25" customHeight="1">
      <c r="A1155" s="8" t="s">
        <v>698</v>
      </c>
      <c r="B1155" s="8">
        <v>6.1</v>
      </c>
      <c r="C1155" s="4" t="str">
        <f>IFERROR(__xludf.DUMMYFUNCTION("""COMPUTED_VALUE"""),"Agnieszka Holland")</f>
        <v>Agnieszka Holland</v>
      </c>
      <c r="D1155" s="31">
        <f t="shared" si="1"/>
        <v>6.8</v>
      </c>
      <c r="E1155" s="4">
        <f t="shared" si="2"/>
        <v>1</v>
      </c>
      <c r="F1155" s="15"/>
      <c r="G1155" s="4"/>
    </row>
    <row r="1156" ht="14.25" customHeight="1">
      <c r="A1156" s="8" t="s">
        <v>1167</v>
      </c>
      <c r="B1156" s="8">
        <v>6.1</v>
      </c>
      <c r="C1156" s="4" t="str">
        <f>IFERROR(__xludf.DUMMYFUNCTION("""COMPUTED_VALUE"""),"David Hackl")</f>
        <v>David Hackl</v>
      </c>
      <c r="D1156" s="31">
        <f t="shared" si="1"/>
        <v>5.8</v>
      </c>
      <c r="E1156" s="4">
        <f t="shared" si="2"/>
        <v>1</v>
      </c>
      <c r="F1156" s="15"/>
      <c r="G1156" s="4"/>
    </row>
    <row r="1157" ht="14.25" customHeight="1">
      <c r="A1157" s="8" t="s">
        <v>2560</v>
      </c>
      <c r="B1157" s="8">
        <v>5.2</v>
      </c>
      <c r="C1157" s="4" t="str">
        <f>IFERROR(__xludf.DUMMYFUNCTION("""COMPUTED_VALUE"""),"Ray Lawrence")</f>
        <v>Ray Lawrence</v>
      </c>
      <c r="D1157" s="31">
        <f t="shared" si="1"/>
        <v>6.4</v>
      </c>
      <c r="E1157" s="4">
        <f t="shared" si="2"/>
        <v>1</v>
      </c>
      <c r="F1157" s="15"/>
      <c r="G1157" s="4"/>
    </row>
    <row r="1158" ht="14.25" customHeight="1">
      <c r="A1158" s="8" t="s">
        <v>228</v>
      </c>
      <c r="B1158" s="8">
        <v>7.7</v>
      </c>
      <c r="C1158" s="4" t="str">
        <f>IFERROR(__xludf.DUMMYFUNCTION("""COMPUTED_VALUE"""),"Karan Johar")</f>
        <v>Karan Johar</v>
      </c>
      <c r="D1158" s="31">
        <f t="shared" si="1"/>
        <v>7</v>
      </c>
      <c r="E1158" s="4">
        <f t="shared" si="2"/>
        <v>2</v>
      </c>
      <c r="F1158" s="15"/>
      <c r="G1158" s="4"/>
    </row>
    <row r="1159" ht="14.25" customHeight="1">
      <c r="A1159" s="8" t="s">
        <v>2264</v>
      </c>
      <c r="B1159" s="8">
        <v>7.3</v>
      </c>
      <c r="C1159" s="4" t="str">
        <f>IFERROR(__xludf.DUMMYFUNCTION("""COMPUTED_VALUE"""),"Ruairi Robinson")</f>
        <v>Ruairi Robinson</v>
      </c>
      <c r="D1159" s="31">
        <f t="shared" si="1"/>
        <v>5.5</v>
      </c>
      <c r="E1159" s="4">
        <f t="shared" si="2"/>
        <v>1</v>
      </c>
      <c r="F1159" s="15"/>
      <c r="G1159" s="4"/>
    </row>
    <row r="1160" ht="14.25" customHeight="1">
      <c r="A1160" s="8" t="s">
        <v>2066</v>
      </c>
      <c r="B1160" s="8">
        <v>6.9</v>
      </c>
      <c r="C1160" s="4" t="str">
        <f>IFERROR(__xludf.DUMMYFUNCTION("""COMPUTED_VALUE"""),"Jaume BalaguerÃ³")</f>
        <v>Jaume BalaguerÃ³</v>
      </c>
      <c r="D1160" s="31">
        <f t="shared" si="1"/>
        <v>6</v>
      </c>
      <c r="E1160" s="4">
        <f t="shared" si="2"/>
        <v>2</v>
      </c>
      <c r="F1160" s="15"/>
      <c r="G1160" s="4"/>
    </row>
    <row r="1161" ht="14.25" customHeight="1">
      <c r="A1161" s="8" t="s">
        <v>25</v>
      </c>
      <c r="B1161" s="8">
        <v>8.5</v>
      </c>
      <c r="C1161" s="4" t="str">
        <f>IFERROR(__xludf.DUMMYFUNCTION("""COMPUTED_VALUE"""),"Jon Kasdan")</f>
        <v>Jon Kasdan</v>
      </c>
      <c r="D1161" s="31">
        <f t="shared" si="1"/>
        <v>6.5</v>
      </c>
      <c r="E1161" s="4">
        <f t="shared" si="2"/>
        <v>1</v>
      </c>
      <c r="F1161" s="15"/>
      <c r="G1161" s="4"/>
    </row>
    <row r="1162" ht="14.25" customHeight="1">
      <c r="A1162" s="8" t="s">
        <v>1834</v>
      </c>
      <c r="B1162" s="8">
        <v>6.3</v>
      </c>
      <c r="C1162" s="4" t="str">
        <f>IFERROR(__xludf.DUMMYFUNCTION("""COMPUTED_VALUE"""),"Floyd Mutrux")</f>
        <v>Floyd Mutrux</v>
      </c>
      <c r="D1162" s="31">
        <f t="shared" si="1"/>
        <v>6.4</v>
      </c>
      <c r="E1162" s="4">
        <f t="shared" si="2"/>
        <v>1</v>
      </c>
      <c r="F1162" s="15"/>
      <c r="G1162" s="4"/>
    </row>
    <row r="1163" ht="14.25" customHeight="1">
      <c r="A1163" s="8" t="s">
        <v>2569</v>
      </c>
      <c r="B1163" s="8">
        <v>5.9</v>
      </c>
      <c r="C1163" s="4" t="str">
        <f>IFERROR(__xludf.DUMMYFUNCTION("""COMPUTED_VALUE"""),"Dean Wright")</f>
        <v>Dean Wright</v>
      </c>
      <c r="D1163" s="31">
        <f t="shared" si="1"/>
        <v>6.6</v>
      </c>
      <c r="E1163" s="4">
        <f t="shared" si="2"/>
        <v>1</v>
      </c>
      <c r="F1163" s="15"/>
      <c r="G1163" s="4"/>
    </row>
    <row r="1164" ht="14.25" customHeight="1">
      <c r="A1164" s="8" t="s">
        <v>1322</v>
      </c>
      <c r="B1164" s="8">
        <v>7.8</v>
      </c>
      <c r="C1164" s="4" t="str">
        <f>IFERROR(__xludf.DUMMYFUNCTION("""COMPUTED_VALUE"""),"Darren Lynn Bousman")</f>
        <v>Darren Lynn Bousman</v>
      </c>
      <c r="D1164" s="31">
        <f t="shared" si="1"/>
        <v>6.35</v>
      </c>
      <c r="E1164" s="4">
        <f t="shared" si="2"/>
        <v>4</v>
      </c>
      <c r="F1164" s="15"/>
      <c r="G1164" s="4"/>
    </row>
    <row r="1165" ht="14.25" customHeight="1">
      <c r="A1165" s="8" t="s">
        <v>2444</v>
      </c>
      <c r="B1165" s="8">
        <v>6.7</v>
      </c>
      <c r="C1165" s="4" t="str">
        <f>IFERROR(__xludf.DUMMYFUNCTION("""COMPUTED_VALUE"""),"James DeMonaco")</f>
        <v>James DeMonaco</v>
      </c>
      <c r="D1165" s="31">
        <f t="shared" si="1"/>
        <v>6.1</v>
      </c>
      <c r="E1165" s="4">
        <f t="shared" si="2"/>
        <v>3</v>
      </c>
      <c r="F1165" s="15"/>
      <c r="G1165" s="4"/>
    </row>
    <row r="1166" ht="14.25" customHeight="1">
      <c r="A1166" s="8" t="s">
        <v>2576</v>
      </c>
      <c r="B1166" s="8">
        <v>6.4</v>
      </c>
      <c r="C1166" s="4" t="str">
        <f>IFERROR(__xludf.DUMMYFUNCTION("""COMPUTED_VALUE"""),"Carol Reed")</f>
        <v>Carol Reed</v>
      </c>
      <c r="D1166" s="31">
        <f t="shared" si="1"/>
        <v>7.5</v>
      </c>
      <c r="E1166" s="4">
        <f t="shared" si="2"/>
        <v>1</v>
      </c>
      <c r="F1166" s="15"/>
      <c r="G1166" s="4"/>
    </row>
    <row r="1167" ht="14.25" customHeight="1">
      <c r="A1167" s="8" t="s">
        <v>1117</v>
      </c>
      <c r="B1167" s="8">
        <v>5.9</v>
      </c>
      <c r="C1167" s="4" t="str">
        <f>IFERROR(__xludf.DUMMYFUNCTION("""COMPUTED_VALUE"""),"Chuck Sheetz")</f>
        <v>Chuck Sheetz</v>
      </c>
      <c r="D1167" s="31">
        <f t="shared" si="1"/>
        <v>6.5</v>
      </c>
      <c r="E1167" s="4">
        <f t="shared" si="2"/>
        <v>1</v>
      </c>
      <c r="F1167" s="15"/>
      <c r="G1167" s="4"/>
    </row>
    <row r="1168" ht="14.25" customHeight="1">
      <c r="A1168" s="8" t="s">
        <v>1797</v>
      </c>
      <c r="B1168" s="8">
        <v>6.6</v>
      </c>
      <c r="C1168" s="4" t="str">
        <f>IFERROR(__xludf.DUMMYFUNCTION("""COMPUTED_VALUE"""),"Marcus Raboy")</f>
        <v>Marcus Raboy</v>
      </c>
      <c r="D1168" s="31">
        <f t="shared" si="1"/>
        <v>5.8</v>
      </c>
      <c r="E1168" s="4">
        <f t="shared" si="2"/>
        <v>1</v>
      </c>
      <c r="F1168" s="15"/>
      <c r="G1168" s="4"/>
    </row>
    <row r="1169" ht="14.25" customHeight="1">
      <c r="A1169" s="8" t="s">
        <v>2582</v>
      </c>
      <c r="B1169" s="8">
        <v>6.8</v>
      </c>
      <c r="C1169" s="4" t="str">
        <f>IFERROR(__xludf.DUMMYFUNCTION("""COMPUTED_VALUE"""),"Leigh Whannell")</f>
        <v>Leigh Whannell</v>
      </c>
      <c r="D1169" s="31">
        <f t="shared" si="1"/>
        <v>6.1</v>
      </c>
      <c r="E1169" s="4">
        <f t="shared" si="2"/>
        <v>1</v>
      </c>
      <c r="F1169" s="15"/>
      <c r="G1169" s="4"/>
    </row>
    <row r="1170" ht="14.25" customHeight="1">
      <c r="A1170" s="8" t="s">
        <v>1794</v>
      </c>
      <c r="B1170" s="8">
        <v>6.5</v>
      </c>
      <c r="C1170" s="4" t="str">
        <f>IFERROR(__xludf.DUMMYFUNCTION("""COMPUTED_VALUE"""),"Michael Schultz")</f>
        <v>Michael Schultz</v>
      </c>
      <c r="D1170" s="31">
        <f t="shared" si="1"/>
        <v>6.9</v>
      </c>
      <c r="E1170" s="4">
        <f t="shared" si="2"/>
        <v>1</v>
      </c>
      <c r="F1170" s="15"/>
      <c r="G1170" s="4"/>
    </row>
    <row r="1171" ht="14.25" customHeight="1">
      <c r="A1171" s="8" t="s">
        <v>2586</v>
      </c>
      <c r="B1171" s="8">
        <v>6.6</v>
      </c>
      <c r="C1171" s="4" t="str">
        <f>IFERROR(__xludf.DUMMYFUNCTION("""COMPUTED_VALUE"""),"Peter Sollett")</f>
        <v>Peter Sollett</v>
      </c>
      <c r="D1171" s="31">
        <f t="shared" si="1"/>
        <v>6.8</v>
      </c>
      <c r="E1171" s="4">
        <f t="shared" si="2"/>
        <v>3</v>
      </c>
      <c r="F1171" s="15"/>
      <c r="G1171" s="4"/>
    </row>
    <row r="1172" ht="14.25" customHeight="1">
      <c r="A1172" s="8" t="s">
        <v>2588</v>
      </c>
      <c r="B1172" s="8">
        <v>5.8</v>
      </c>
      <c r="C1172" s="4" t="str">
        <f>IFERROR(__xludf.DUMMYFUNCTION("""COMPUTED_VALUE"""),"Bob Dolman")</f>
        <v>Bob Dolman</v>
      </c>
      <c r="D1172" s="31">
        <f t="shared" si="1"/>
        <v>5.6</v>
      </c>
      <c r="E1172" s="4">
        <f t="shared" si="2"/>
        <v>1</v>
      </c>
      <c r="F1172" s="15"/>
      <c r="G1172" s="4"/>
    </row>
    <row r="1173" ht="14.25" customHeight="1">
      <c r="A1173" s="8" t="s">
        <v>1506</v>
      </c>
      <c r="B1173" s="8">
        <v>6.9</v>
      </c>
      <c r="C1173" s="4" t="str">
        <f>IFERROR(__xludf.DUMMYFUNCTION("""COMPUTED_VALUE"""),"Rowdy Herrington")</f>
        <v>Rowdy Herrington</v>
      </c>
      <c r="D1173" s="31">
        <f t="shared" si="1"/>
        <v>6.5</v>
      </c>
      <c r="E1173" s="4">
        <f t="shared" si="2"/>
        <v>1</v>
      </c>
      <c r="F1173" s="15"/>
      <c r="G1173" s="4"/>
    </row>
    <row r="1174" ht="14.25" customHeight="1">
      <c r="A1174" s="8" t="s">
        <v>1957</v>
      </c>
      <c r="B1174" s="8">
        <v>7.1</v>
      </c>
      <c r="C1174" s="4" t="str">
        <f>IFERROR(__xludf.DUMMYFUNCTION("""COMPUTED_VALUE"""),"Greg Coolidge")</f>
        <v>Greg Coolidge</v>
      </c>
      <c r="D1174" s="31">
        <f t="shared" si="1"/>
        <v>5.5</v>
      </c>
      <c r="E1174" s="4">
        <f t="shared" si="2"/>
        <v>1</v>
      </c>
      <c r="F1174" s="15"/>
      <c r="G1174" s="4"/>
    </row>
    <row r="1175" ht="14.25" customHeight="1">
      <c r="A1175" s="8" t="s">
        <v>2348</v>
      </c>
      <c r="B1175" s="8">
        <v>5.8</v>
      </c>
      <c r="C1175" s="4" t="str">
        <f>IFERROR(__xludf.DUMMYFUNCTION("""COMPUTED_VALUE"""),"CiarÃ¡n Foy")</f>
        <v>CiarÃ¡n Foy</v>
      </c>
      <c r="D1175" s="31">
        <f t="shared" si="1"/>
        <v>5.2</v>
      </c>
      <c r="E1175" s="4">
        <f t="shared" si="2"/>
        <v>1</v>
      </c>
      <c r="F1175" s="15"/>
      <c r="G1175" s="4"/>
    </row>
    <row r="1176" ht="14.25" customHeight="1">
      <c r="A1176" s="8" t="s">
        <v>168</v>
      </c>
      <c r="B1176" s="8">
        <v>7.2</v>
      </c>
      <c r="C1176" s="4" t="str">
        <f>IFERROR(__xludf.DUMMYFUNCTION("""COMPUTED_VALUE"""),"Salim Akil")</f>
        <v>Salim Akil</v>
      </c>
      <c r="D1176" s="31">
        <f t="shared" si="1"/>
        <v>5.7</v>
      </c>
      <c r="E1176" s="4">
        <f t="shared" si="2"/>
        <v>2</v>
      </c>
      <c r="F1176" s="15"/>
      <c r="G1176" s="4"/>
    </row>
    <row r="1177" ht="14.25" customHeight="1">
      <c r="A1177" s="8" t="s">
        <v>545</v>
      </c>
      <c r="B1177" s="8">
        <v>6.0</v>
      </c>
      <c r="C1177" s="4" t="str">
        <f>IFERROR(__xludf.DUMMYFUNCTION("""COMPUTED_VALUE"""),"Olatunde Osunsanmi")</f>
        <v>Olatunde Osunsanmi</v>
      </c>
      <c r="D1177" s="31">
        <f t="shared" si="1"/>
        <v>5.9</v>
      </c>
      <c r="E1177" s="4">
        <f t="shared" si="2"/>
        <v>1</v>
      </c>
      <c r="F1177" s="15"/>
      <c r="G1177" s="4"/>
    </row>
    <row r="1178" ht="14.25" customHeight="1">
      <c r="A1178" s="8" t="s">
        <v>2600</v>
      </c>
      <c r="B1178" s="8">
        <v>4.7</v>
      </c>
      <c r="C1178" s="4" t="str">
        <f>IFERROR(__xludf.DUMMYFUNCTION("""COMPUTED_VALUE"""),"Leon Ichaso")</f>
        <v>Leon Ichaso</v>
      </c>
      <c r="D1178" s="31">
        <f t="shared" si="1"/>
        <v>5.9</v>
      </c>
      <c r="E1178" s="4">
        <f t="shared" si="2"/>
        <v>1</v>
      </c>
      <c r="F1178" s="15"/>
      <c r="G1178" s="4"/>
    </row>
    <row r="1179" ht="14.25" customHeight="1">
      <c r="A1179" s="8" t="s">
        <v>1727</v>
      </c>
      <c r="B1179" s="8">
        <v>5.2</v>
      </c>
      <c r="C1179" s="4" t="str">
        <f>IFERROR(__xludf.DUMMYFUNCTION("""COMPUTED_VALUE"""),"Patricia Rozema")</f>
        <v>Patricia Rozema</v>
      </c>
      <c r="D1179" s="31">
        <f t="shared" si="1"/>
        <v>6.7</v>
      </c>
      <c r="E1179" s="4">
        <f t="shared" si="2"/>
        <v>1</v>
      </c>
      <c r="F1179" s="15"/>
      <c r="G1179" s="4"/>
    </row>
    <row r="1180" ht="14.25" customHeight="1">
      <c r="A1180" s="8" t="s">
        <v>2605</v>
      </c>
      <c r="B1180" s="8">
        <v>5.5</v>
      </c>
      <c r="C1180" s="4" t="str">
        <f>IFERROR(__xludf.DUMMYFUNCTION("""COMPUTED_VALUE"""),"Rob Schmidt")</f>
        <v>Rob Schmidt</v>
      </c>
      <c r="D1180" s="31">
        <f t="shared" si="1"/>
        <v>6.1</v>
      </c>
      <c r="E1180" s="4">
        <f t="shared" si="2"/>
        <v>1</v>
      </c>
      <c r="F1180" s="15"/>
      <c r="G1180" s="4"/>
    </row>
    <row r="1181" ht="14.25" customHeight="1">
      <c r="A1181" s="8" t="s">
        <v>2607</v>
      </c>
      <c r="B1181" s="8">
        <v>7.0</v>
      </c>
      <c r="C1181" s="4" t="str">
        <f>IFERROR(__xludf.DUMMYFUNCTION("""COMPUTED_VALUE"""),"Robert Ben Garant")</f>
        <v>Robert Ben Garant</v>
      </c>
      <c r="D1181" s="31">
        <f t="shared" si="1"/>
        <v>5.9</v>
      </c>
      <c r="E1181" s="4">
        <f t="shared" si="2"/>
        <v>1</v>
      </c>
      <c r="F1181" s="15"/>
      <c r="G1181" s="4"/>
    </row>
    <row r="1182" ht="14.25" customHeight="1">
      <c r="A1182" s="8" t="s">
        <v>2484</v>
      </c>
      <c r="B1182" s="8">
        <v>5.8</v>
      </c>
      <c r="C1182" s="4" t="str">
        <f>IFERROR(__xludf.DUMMYFUNCTION("""COMPUTED_VALUE"""),"Morgan Spurlock")</f>
        <v>Morgan Spurlock</v>
      </c>
      <c r="D1182" s="31">
        <f t="shared" si="1"/>
        <v>6</v>
      </c>
      <c r="E1182" s="4">
        <f t="shared" si="2"/>
        <v>3</v>
      </c>
      <c r="F1182" s="15"/>
      <c r="G1182" s="4"/>
    </row>
    <row r="1183" ht="14.25" customHeight="1">
      <c r="A1183" s="8" t="s">
        <v>2511</v>
      </c>
      <c r="B1183" s="8">
        <v>6.2</v>
      </c>
      <c r="C1183" s="4" t="str">
        <f>IFERROR(__xludf.DUMMYFUNCTION("""COMPUTED_VALUE"""),"Tuck Tucker")</f>
        <v>Tuck Tucker</v>
      </c>
      <c r="D1183" s="31">
        <f t="shared" si="1"/>
        <v>5.9</v>
      </c>
      <c r="E1183" s="4">
        <f t="shared" si="2"/>
        <v>1</v>
      </c>
      <c r="F1183" s="15"/>
      <c r="G1183" s="4"/>
    </row>
    <row r="1184" ht="14.25" customHeight="1">
      <c r="A1184" s="8" t="s">
        <v>552</v>
      </c>
      <c r="B1184" s="8">
        <v>6.5</v>
      </c>
      <c r="C1184" s="4" t="str">
        <f>IFERROR(__xludf.DUMMYFUNCTION("""COMPUTED_VALUE"""),"Theodore Witcher")</f>
        <v>Theodore Witcher</v>
      </c>
      <c r="D1184" s="31">
        <f t="shared" si="1"/>
        <v>7.4</v>
      </c>
      <c r="E1184" s="4">
        <f t="shared" si="2"/>
        <v>1</v>
      </c>
      <c r="F1184" s="15"/>
      <c r="G1184" s="4"/>
    </row>
    <row r="1185" ht="14.25" customHeight="1">
      <c r="A1185" s="8" t="s">
        <v>324</v>
      </c>
      <c r="B1185" s="8">
        <v>7.2</v>
      </c>
      <c r="C1185" s="4" t="str">
        <f>IFERROR(__xludf.DUMMYFUNCTION("""COMPUTED_VALUE"""),"Joel Edgerton")</f>
        <v>Joel Edgerton</v>
      </c>
      <c r="D1185" s="31">
        <f t="shared" si="1"/>
        <v>7.1</v>
      </c>
      <c r="E1185" s="4">
        <f t="shared" si="2"/>
        <v>2</v>
      </c>
      <c r="F1185" s="15"/>
      <c r="G1185" s="4"/>
    </row>
    <row r="1186" ht="14.25" customHeight="1">
      <c r="A1186" s="8" t="s">
        <v>2617</v>
      </c>
      <c r="B1186" s="8">
        <v>5.1</v>
      </c>
      <c r="C1186" s="4" t="str">
        <f>IFERROR(__xludf.DUMMYFUNCTION("""COMPUTED_VALUE"""),"Jim Hanon")</f>
        <v>Jim Hanon</v>
      </c>
      <c r="D1186" s="31">
        <f t="shared" si="1"/>
        <v>7</v>
      </c>
      <c r="E1186" s="4">
        <f t="shared" si="2"/>
        <v>1</v>
      </c>
      <c r="F1186" s="15"/>
      <c r="G1186" s="4"/>
    </row>
    <row r="1187" ht="14.25" customHeight="1">
      <c r="A1187" s="8" t="s">
        <v>2620</v>
      </c>
      <c r="B1187" s="8">
        <v>4.7</v>
      </c>
      <c r="C1187" s="4" t="str">
        <f>IFERROR(__xludf.DUMMYFUNCTION("""COMPUTED_VALUE"""),"Michael Patrick Jann")</f>
        <v>Michael Patrick Jann</v>
      </c>
      <c r="D1187" s="31">
        <f t="shared" si="1"/>
        <v>6.5</v>
      </c>
      <c r="E1187" s="4">
        <f t="shared" si="2"/>
        <v>1</v>
      </c>
      <c r="F1187" s="15"/>
      <c r="G1187" s="4"/>
    </row>
    <row r="1188" ht="14.25" customHeight="1">
      <c r="A1188" s="8" t="s">
        <v>2111</v>
      </c>
      <c r="B1188" s="8">
        <v>5.9</v>
      </c>
      <c r="C1188" s="4" t="str">
        <f>IFERROR(__xludf.DUMMYFUNCTION("""COMPUTED_VALUE"""),"Jorma Taccone")</f>
        <v>Jorma Taccone</v>
      </c>
      <c r="D1188" s="31">
        <f t="shared" si="1"/>
        <v>5.5</v>
      </c>
      <c r="E1188" s="4">
        <f t="shared" si="2"/>
        <v>1</v>
      </c>
      <c r="F1188" s="15"/>
      <c r="G1188" s="4"/>
    </row>
    <row r="1189" ht="14.25" customHeight="1">
      <c r="A1189" s="8" t="s">
        <v>2625</v>
      </c>
      <c r="B1189" s="8">
        <v>5.8</v>
      </c>
      <c r="C1189" s="4" t="str">
        <f>IFERROR(__xludf.DUMMYFUNCTION("""COMPUTED_VALUE"""),"Jeff Lowell")</f>
        <v>Jeff Lowell</v>
      </c>
      <c r="D1189" s="31">
        <f t="shared" si="1"/>
        <v>5.2</v>
      </c>
      <c r="E1189" s="4">
        <f t="shared" si="2"/>
        <v>1</v>
      </c>
      <c r="F1189" s="15"/>
      <c r="G1189" s="4"/>
    </row>
    <row r="1190" ht="14.25" customHeight="1">
      <c r="A1190" s="8" t="s">
        <v>1072</v>
      </c>
      <c r="B1190" s="8">
        <v>7.2</v>
      </c>
      <c r="C1190" s="4" t="str">
        <f>IFERROR(__xludf.DUMMYFUNCTION("""COMPUTED_VALUE"""),"Lorene Scafaria")</f>
        <v>Lorene Scafaria</v>
      </c>
      <c r="D1190" s="31">
        <f t="shared" si="1"/>
        <v>6.7</v>
      </c>
      <c r="E1190" s="4">
        <f t="shared" si="2"/>
        <v>1</v>
      </c>
      <c r="F1190" s="15"/>
      <c r="G1190" s="4"/>
    </row>
    <row r="1191" ht="14.25" customHeight="1">
      <c r="A1191" s="8" t="s">
        <v>1428</v>
      </c>
      <c r="B1191" s="8">
        <v>6.2</v>
      </c>
      <c r="C1191" s="4" t="str">
        <f>IFERROR(__xludf.DUMMYFUNCTION("""COMPUTED_VALUE"""),"Tony Kaye")</f>
        <v>Tony Kaye</v>
      </c>
      <c r="D1191" s="31">
        <f t="shared" si="1"/>
        <v>8.6</v>
      </c>
      <c r="E1191" s="4">
        <f t="shared" si="2"/>
        <v>1</v>
      </c>
      <c r="F1191" s="15"/>
      <c r="G1191" s="4"/>
    </row>
    <row r="1192" ht="14.25" customHeight="1">
      <c r="A1192" s="8" t="s">
        <v>1147</v>
      </c>
      <c r="B1192" s="8">
        <v>5.7</v>
      </c>
      <c r="C1192" s="4" t="str">
        <f>IFERROR(__xludf.DUMMYFUNCTION("""COMPUTED_VALUE"""),"Marcus Dunstan")</f>
        <v>Marcus Dunstan</v>
      </c>
      <c r="D1192" s="31">
        <f t="shared" si="1"/>
        <v>6.1</v>
      </c>
      <c r="E1192" s="4">
        <f t="shared" si="2"/>
        <v>1</v>
      </c>
      <c r="F1192" s="15"/>
      <c r="G1192" s="4"/>
    </row>
    <row r="1193" ht="14.25" customHeight="1">
      <c r="A1193" s="8" t="s">
        <v>1053</v>
      </c>
      <c r="B1193" s="8">
        <v>6.1</v>
      </c>
      <c r="C1193" s="4" t="str">
        <f>IFERROR(__xludf.DUMMYFUNCTION("""COMPUTED_VALUE"""),"Timothy BjÃ¶rklund")</f>
        <v>Timothy BjÃ¶rklund</v>
      </c>
      <c r="D1193" s="31">
        <f t="shared" si="1"/>
        <v>5.8</v>
      </c>
      <c r="E1193" s="4">
        <f t="shared" si="2"/>
        <v>1</v>
      </c>
      <c r="F1193" s="15"/>
      <c r="G1193" s="4"/>
    </row>
    <row r="1194" ht="14.25" customHeight="1">
      <c r="A1194" s="8" t="s">
        <v>2322</v>
      </c>
      <c r="B1194" s="8">
        <v>6.0</v>
      </c>
      <c r="C1194" s="4" t="str">
        <f>IFERROR(__xludf.DUMMYFUNCTION("""COMPUTED_VALUE"""),"FranÃ§ois Girard")</f>
        <v>FranÃ§ois Girard</v>
      </c>
      <c r="D1194" s="31">
        <f t="shared" si="1"/>
        <v>7.7</v>
      </c>
      <c r="E1194" s="4">
        <f t="shared" si="2"/>
        <v>1</v>
      </c>
      <c r="F1194" s="15"/>
      <c r="G1194" s="4"/>
    </row>
    <row r="1195" ht="14.25" customHeight="1">
      <c r="A1195" s="8" t="s">
        <v>2635</v>
      </c>
      <c r="B1195" s="8">
        <v>6.9</v>
      </c>
      <c r="C1195" s="4" t="str">
        <f>IFERROR(__xludf.DUMMYFUNCTION("""COMPUTED_VALUE"""),"Scott Kalvert")</f>
        <v>Scott Kalvert</v>
      </c>
      <c r="D1195" s="31">
        <f t="shared" si="1"/>
        <v>5.6</v>
      </c>
      <c r="E1195" s="4">
        <f t="shared" si="2"/>
        <v>1</v>
      </c>
      <c r="F1195" s="15"/>
      <c r="G1195" s="4"/>
    </row>
    <row r="1196" ht="14.25" customHeight="1">
      <c r="A1196" s="8" t="s">
        <v>2299</v>
      </c>
      <c r="B1196" s="8">
        <v>6.5</v>
      </c>
      <c r="C1196" s="4" t="str">
        <f>IFERROR(__xludf.DUMMYFUNCTION("""COMPUTED_VALUE"""),"Jason Bateman")</f>
        <v>Jason Bateman</v>
      </c>
      <c r="D1196" s="31">
        <f t="shared" si="1"/>
        <v>6.7</v>
      </c>
      <c r="E1196" s="4">
        <f t="shared" si="2"/>
        <v>1</v>
      </c>
      <c r="F1196" s="15"/>
      <c r="G1196" s="4"/>
    </row>
    <row r="1197" ht="14.25" customHeight="1">
      <c r="A1197" s="8" t="s">
        <v>2179</v>
      </c>
      <c r="B1197" s="8">
        <v>5.0</v>
      </c>
      <c r="C1197" s="4" t="str">
        <f>IFERROR(__xludf.DUMMYFUNCTION("""COMPUTED_VALUE"""),"Eric Bross")</f>
        <v>Eric Bross</v>
      </c>
      <c r="D1197" s="31">
        <f t="shared" si="1"/>
        <v>4.1</v>
      </c>
      <c r="E1197" s="4">
        <f t="shared" si="2"/>
        <v>1</v>
      </c>
      <c r="F1197" s="15"/>
      <c r="G1197" s="4"/>
    </row>
    <row r="1198" ht="14.25" customHeight="1">
      <c r="A1198" s="8" t="s">
        <v>2643</v>
      </c>
      <c r="B1198" s="8">
        <v>5.7</v>
      </c>
      <c r="C1198" s="4" t="str">
        <f>IFERROR(__xludf.DUMMYFUNCTION("""COMPUTED_VALUE"""),"Dan Fogelman")</f>
        <v>Dan Fogelman</v>
      </c>
      <c r="D1198" s="31">
        <f t="shared" si="1"/>
        <v>7.1</v>
      </c>
      <c r="E1198" s="4">
        <f t="shared" si="2"/>
        <v>1</v>
      </c>
      <c r="F1198" s="15"/>
      <c r="G1198" s="4"/>
    </row>
    <row r="1199" ht="14.25" customHeight="1">
      <c r="A1199" s="8" t="s">
        <v>524</v>
      </c>
      <c r="B1199" s="8">
        <v>7.0</v>
      </c>
      <c r="C1199" s="4" t="str">
        <f>IFERROR(__xludf.DUMMYFUNCTION("""COMPUTED_VALUE"""),"Jay Duplass")</f>
        <v>Jay Duplass</v>
      </c>
      <c r="D1199" s="31">
        <f t="shared" si="1"/>
        <v>6.466666667</v>
      </c>
      <c r="E1199" s="4">
        <f t="shared" si="2"/>
        <v>3</v>
      </c>
      <c r="F1199" s="15"/>
      <c r="G1199" s="4"/>
    </row>
    <row r="1200" ht="14.25" customHeight="1">
      <c r="A1200" s="8" t="s">
        <v>730</v>
      </c>
      <c r="B1200" s="8">
        <v>5.1</v>
      </c>
      <c r="C1200" s="4" t="str">
        <f>IFERROR(__xludf.DUMMYFUNCTION("""COMPUTED_VALUE"""),"Luca Guadagnino")</f>
        <v>Luca Guadagnino</v>
      </c>
      <c r="D1200" s="31">
        <f t="shared" si="1"/>
        <v>7</v>
      </c>
      <c r="E1200" s="4">
        <f t="shared" si="2"/>
        <v>1</v>
      </c>
      <c r="F1200" s="15"/>
      <c r="G1200" s="4"/>
    </row>
    <row r="1201" ht="14.25" customHeight="1">
      <c r="A1201" s="8" t="s">
        <v>1861</v>
      </c>
      <c r="B1201" s="8">
        <v>5.3</v>
      </c>
      <c r="C1201" s="4" t="str">
        <f>IFERROR(__xludf.DUMMYFUNCTION("""COMPUTED_VALUE"""),"John Putch")</f>
        <v>John Putch</v>
      </c>
      <c r="D1201" s="31">
        <f t="shared" si="1"/>
        <v>5.5</v>
      </c>
      <c r="E1201" s="4">
        <f t="shared" si="2"/>
        <v>1</v>
      </c>
      <c r="F1201" s="15"/>
      <c r="G1201" s="4"/>
    </row>
    <row r="1202" ht="14.25" customHeight="1">
      <c r="A1202" s="8" t="s">
        <v>1904</v>
      </c>
      <c r="B1202" s="8">
        <v>4.4</v>
      </c>
      <c r="C1202" s="4" t="str">
        <f>IFERROR(__xludf.DUMMYFUNCTION("""COMPUTED_VALUE"""),"Peter Medak")</f>
        <v>Peter Medak</v>
      </c>
      <c r="D1202" s="31">
        <f t="shared" si="1"/>
        <v>6.6</v>
      </c>
      <c r="E1202" s="4">
        <f t="shared" si="2"/>
        <v>1</v>
      </c>
      <c r="F1202" s="15"/>
      <c r="G1202" s="4"/>
    </row>
    <row r="1203" ht="14.25" customHeight="1">
      <c r="A1203" s="8" t="s">
        <v>758</v>
      </c>
      <c r="B1203" s="8">
        <v>4.7</v>
      </c>
      <c r="C1203" s="4" t="str">
        <f>IFERROR(__xludf.DUMMYFUNCTION("""COMPUTED_VALUE"""),"Terence Davies")</f>
        <v>Terence Davies</v>
      </c>
      <c r="D1203" s="31">
        <f t="shared" si="1"/>
        <v>7.1</v>
      </c>
      <c r="E1203" s="4">
        <f t="shared" si="2"/>
        <v>1</v>
      </c>
      <c r="F1203" s="15"/>
      <c r="G1203" s="4"/>
    </row>
    <row r="1204" ht="14.25" customHeight="1">
      <c r="A1204" s="8" t="s">
        <v>2653</v>
      </c>
      <c r="B1204" s="8">
        <v>6.7</v>
      </c>
      <c r="C1204" s="4" t="str">
        <f>IFERROR(__xludf.DUMMYFUNCTION("""COMPUTED_VALUE"""),"Harley Cokeliss")</f>
        <v>Harley Cokeliss</v>
      </c>
      <c r="D1204" s="31">
        <f t="shared" si="1"/>
        <v>5.6</v>
      </c>
      <c r="E1204" s="4">
        <f t="shared" si="2"/>
        <v>1</v>
      </c>
      <c r="F1204" s="15"/>
      <c r="G1204" s="4"/>
    </row>
    <row r="1205" ht="14.25" customHeight="1">
      <c r="A1205" s="8" t="s">
        <v>2655</v>
      </c>
      <c r="B1205" s="8">
        <v>6.7</v>
      </c>
      <c r="C1205" s="4" t="str">
        <f>IFERROR(__xludf.DUMMYFUNCTION("""COMPUTED_VALUE"""),"Tom Brady")</f>
        <v>Tom Brady</v>
      </c>
      <c r="D1205" s="31">
        <f t="shared" si="1"/>
        <v>3.3</v>
      </c>
      <c r="E1205" s="4">
        <f t="shared" si="2"/>
        <v>1</v>
      </c>
      <c r="F1205" s="15"/>
      <c r="G1205" s="4"/>
    </row>
    <row r="1206" ht="14.25" customHeight="1">
      <c r="A1206" s="8" t="s">
        <v>1127</v>
      </c>
      <c r="B1206" s="8">
        <v>5.7</v>
      </c>
      <c r="C1206" s="4" t="str">
        <f>IFERROR(__xludf.DUMMYFUNCTION("""COMPUTED_VALUE"""),"Jason Zada")</f>
        <v>Jason Zada</v>
      </c>
      <c r="D1206" s="31">
        <f t="shared" si="1"/>
        <v>4.8</v>
      </c>
      <c r="E1206" s="4">
        <f t="shared" si="2"/>
        <v>1</v>
      </c>
      <c r="F1206" s="15"/>
      <c r="G1206" s="4"/>
    </row>
    <row r="1207" ht="14.25" customHeight="1">
      <c r="A1207" s="8" t="s">
        <v>208</v>
      </c>
      <c r="B1207" s="8">
        <v>7.4</v>
      </c>
      <c r="C1207" s="4" t="str">
        <f>IFERROR(__xludf.DUMMYFUNCTION("""COMPUTED_VALUE"""),"Franklin J. Schaffner")</f>
        <v>Franklin J. Schaffner</v>
      </c>
      <c r="D1207" s="31">
        <f t="shared" si="1"/>
        <v>5.2</v>
      </c>
      <c r="E1207" s="4">
        <f t="shared" si="2"/>
        <v>1</v>
      </c>
      <c r="F1207" s="15"/>
      <c r="G1207" s="4"/>
    </row>
    <row r="1208" ht="14.25" customHeight="1">
      <c r="A1208" s="8" t="s">
        <v>2246</v>
      </c>
      <c r="B1208" s="8">
        <v>6.1</v>
      </c>
      <c r="C1208" s="4" t="str">
        <f>IFERROR(__xludf.DUMMYFUNCTION("""COMPUTED_VALUE"""),"Noah Baumbach")</f>
        <v>Noah Baumbach</v>
      </c>
      <c r="D1208" s="31">
        <f t="shared" si="1"/>
        <v>6.85</v>
      </c>
      <c r="E1208" s="4">
        <f t="shared" si="2"/>
        <v>2</v>
      </c>
      <c r="F1208" s="15"/>
      <c r="G1208" s="4"/>
    </row>
    <row r="1209" ht="14.25" customHeight="1">
      <c r="A1209" s="8" t="s">
        <v>2234</v>
      </c>
      <c r="B1209" s="8">
        <v>6.4</v>
      </c>
      <c r="C1209" s="4" t="str">
        <f>IFERROR(__xludf.DUMMYFUNCTION("""COMPUTED_VALUE"""),"Eric Blakeney")</f>
        <v>Eric Blakeney</v>
      </c>
      <c r="D1209" s="31">
        <f t="shared" si="1"/>
        <v>5.7</v>
      </c>
      <c r="E1209" s="4">
        <f t="shared" si="2"/>
        <v>1</v>
      </c>
      <c r="F1209" s="15"/>
      <c r="G1209" s="4"/>
    </row>
    <row r="1210" ht="14.25" customHeight="1">
      <c r="A1210" s="8" t="s">
        <v>2664</v>
      </c>
      <c r="B1210" s="8">
        <v>6.2</v>
      </c>
      <c r="C1210" s="4" t="str">
        <f>IFERROR(__xludf.DUMMYFUNCTION("""COMPUTED_VALUE"""),"Derrick Borte")</f>
        <v>Derrick Borte</v>
      </c>
      <c r="D1210" s="31">
        <f t="shared" si="1"/>
        <v>6.5</v>
      </c>
      <c r="E1210" s="4">
        <f t="shared" si="2"/>
        <v>1</v>
      </c>
      <c r="F1210" s="15"/>
      <c r="G1210" s="4"/>
    </row>
    <row r="1211" ht="14.25" customHeight="1">
      <c r="A1211" s="8" t="s">
        <v>1437</v>
      </c>
      <c r="B1211" s="8">
        <v>6.2</v>
      </c>
      <c r="C1211" s="4" t="str">
        <f>IFERROR(__xludf.DUMMYFUNCTION("""COMPUTED_VALUE"""),"Richard Kwietniowski")</f>
        <v>Richard Kwietniowski</v>
      </c>
      <c r="D1211" s="31">
        <f t="shared" si="1"/>
        <v>7.2</v>
      </c>
      <c r="E1211" s="4">
        <f t="shared" si="2"/>
        <v>1</v>
      </c>
      <c r="F1211" s="15"/>
      <c r="G1211" s="4"/>
    </row>
    <row r="1212" ht="14.25" customHeight="1">
      <c r="A1212" s="8" t="s">
        <v>2668</v>
      </c>
      <c r="B1212" s="8">
        <v>5.9</v>
      </c>
      <c r="C1212" s="4" t="str">
        <f>IFERROR(__xludf.DUMMYFUNCTION("""COMPUTED_VALUE"""),"Bob Odenkirk")</f>
        <v>Bob Odenkirk</v>
      </c>
      <c r="D1212" s="31">
        <f t="shared" si="1"/>
        <v>5.3</v>
      </c>
      <c r="E1212" s="4">
        <f t="shared" si="2"/>
        <v>1</v>
      </c>
      <c r="F1212" s="15"/>
      <c r="G1212" s="4"/>
    </row>
    <row r="1213" ht="14.25" customHeight="1">
      <c r="A1213" s="8" t="s">
        <v>2671</v>
      </c>
      <c r="B1213" s="8">
        <v>4.0</v>
      </c>
      <c r="C1213" s="4" t="str">
        <f>IFERROR(__xludf.DUMMYFUNCTION("""COMPUTED_VALUE"""),"Joshua Seftel")</f>
        <v>Joshua Seftel</v>
      </c>
      <c r="D1213" s="31">
        <f t="shared" si="1"/>
        <v>5.7</v>
      </c>
      <c r="E1213" s="4">
        <f t="shared" si="2"/>
        <v>1</v>
      </c>
      <c r="F1213" s="15"/>
      <c r="G1213" s="4"/>
    </row>
    <row r="1214" ht="14.25" customHeight="1">
      <c r="A1214" s="8" t="s">
        <v>1747</v>
      </c>
      <c r="B1214" s="8">
        <v>6.2</v>
      </c>
      <c r="C1214" s="4" t="str">
        <f>IFERROR(__xludf.DUMMYFUNCTION("""COMPUTED_VALUE"""),"Vincent Gallo")</f>
        <v>Vincent Gallo</v>
      </c>
      <c r="D1214" s="31">
        <f t="shared" si="1"/>
        <v>6.25</v>
      </c>
      <c r="E1214" s="4">
        <f t="shared" si="2"/>
        <v>2</v>
      </c>
      <c r="F1214" s="15"/>
      <c r="G1214" s="4"/>
    </row>
    <row r="1215" ht="14.25" customHeight="1">
      <c r="A1215" s="8" t="s">
        <v>542</v>
      </c>
      <c r="B1215" s="8">
        <v>4.6</v>
      </c>
      <c r="C1215" s="4" t="str">
        <f>IFERROR(__xludf.DUMMYFUNCTION("""COMPUTED_VALUE"""),"Claude Chabrol")</f>
        <v>Claude Chabrol</v>
      </c>
      <c r="D1215" s="31">
        <f t="shared" si="1"/>
        <v>6.6</v>
      </c>
      <c r="E1215" s="4">
        <f t="shared" si="2"/>
        <v>1</v>
      </c>
      <c r="F1215" s="15"/>
      <c r="G1215" s="4"/>
    </row>
    <row r="1216" ht="14.25" customHeight="1">
      <c r="A1216" s="8" t="s">
        <v>2677</v>
      </c>
      <c r="B1216" s="8">
        <v>6.4</v>
      </c>
      <c r="C1216" s="4" t="str">
        <f>IFERROR(__xludf.DUMMYFUNCTION("""COMPUTED_VALUE"""),"Jon Stewart")</f>
        <v>Jon Stewart</v>
      </c>
      <c r="D1216" s="31">
        <f t="shared" si="1"/>
        <v>6.6</v>
      </c>
      <c r="E1216" s="4">
        <f t="shared" si="2"/>
        <v>1</v>
      </c>
      <c r="F1216" s="15"/>
      <c r="G1216" s="4"/>
    </row>
    <row r="1217" ht="14.25" customHeight="1">
      <c r="A1217" s="8" t="s">
        <v>2145</v>
      </c>
      <c r="B1217" s="8">
        <v>5.9</v>
      </c>
      <c r="C1217" s="4" t="str">
        <f>IFERROR(__xludf.DUMMYFUNCTION("""COMPUTED_VALUE"""),"Dan Harris")</f>
        <v>Dan Harris</v>
      </c>
      <c r="D1217" s="31">
        <f t="shared" si="1"/>
        <v>7.3</v>
      </c>
      <c r="E1217" s="4">
        <f t="shared" si="2"/>
        <v>1</v>
      </c>
      <c r="F1217" s="15"/>
      <c r="G1217" s="4"/>
    </row>
    <row r="1218" ht="14.25" customHeight="1">
      <c r="A1218" s="8" t="s">
        <v>2680</v>
      </c>
      <c r="B1218" s="8">
        <v>5.1</v>
      </c>
      <c r="C1218" s="4" t="str">
        <f>IFERROR(__xludf.DUMMYFUNCTION("""COMPUTED_VALUE"""),"Mel Smith")</f>
        <v>Mel Smith</v>
      </c>
      <c r="D1218" s="31">
        <f t="shared" si="1"/>
        <v>6.2</v>
      </c>
      <c r="E1218" s="4">
        <f t="shared" si="2"/>
        <v>1</v>
      </c>
      <c r="F1218" s="15"/>
      <c r="G1218" s="4"/>
    </row>
    <row r="1219" ht="14.25" customHeight="1">
      <c r="A1219" s="8" t="s">
        <v>2682</v>
      </c>
      <c r="B1219" s="8">
        <v>7.6</v>
      </c>
      <c r="C1219" s="4" t="str">
        <f>IFERROR(__xludf.DUMMYFUNCTION("""COMPUTED_VALUE"""),"Christopher Smith")</f>
        <v>Christopher Smith</v>
      </c>
      <c r="D1219" s="31">
        <f t="shared" si="1"/>
        <v>6.6</v>
      </c>
      <c r="E1219" s="4">
        <f t="shared" si="2"/>
        <v>1</v>
      </c>
      <c r="F1219" s="15"/>
      <c r="G1219" s="4"/>
    </row>
    <row r="1220" ht="14.25" customHeight="1">
      <c r="A1220" s="8" t="s">
        <v>2684</v>
      </c>
      <c r="B1220" s="8">
        <v>4.2</v>
      </c>
      <c r="C1220" s="4" t="str">
        <f>IFERROR(__xludf.DUMMYFUNCTION("""COMPUTED_VALUE"""),"Alan Metter")</f>
        <v>Alan Metter</v>
      </c>
      <c r="D1220" s="31">
        <f t="shared" si="1"/>
        <v>3.3</v>
      </c>
      <c r="E1220" s="4">
        <f t="shared" si="2"/>
        <v>1</v>
      </c>
      <c r="F1220" s="15"/>
      <c r="G1220" s="4"/>
    </row>
    <row r="1221" ht="14.25" customHeight="1">
      <c r="A1221" s="8" t="s">
        <v>2161</v>
      </c>
      <c r="B1221" s="8">
        <v>7.8</v>
      </c>
      <c r="C1221" s="4" t="str">
        <f>IFERROR(__xludf.DUMMYFUNCTION("""COMPUTED_VALUE"""),"Rafa Lara")</f>
        <v>Rafa Lara</v>
      </c>
      <c r="D1221" s="31">
        <f t="shared" si="1"/>
        <v>6.2</v>
      </c>
      <c r="E1221" s="4">
        <f t="shared" si="2"/>
        <v>1</v>
      </c>
      <c r="F1221" s="15"/>
      <c r="G1221" s="4"/>
    </row>
    <row r="1222" ht="14.25" customHeight="1">
      <c r="A1222" s="8" t="s">
        <v>1809</v>
      </c>
      <c r="B1222" s="8">
        <v>5.8</v>
      </c>
      <c r="C1222" s="4" t="str">
        <f>IFERROR(__xludf.DUMMYFUNCTION("""COMPUTED_VALUE"""),"Arthur Hiller")</f>
        <v>Arthur Hiller</v>
      </c>
      <c r="D1222" s="31">
        <f t="shared" si="1"/>
        <v>3.5</v>
      </c>
      <c r="E1222" s="4">
        <f t="shared" si="2"/>
        <v>1</v>
      </c>
      <c r="F1222" s="15"/>
      <c r="G1222" s="4"/>
    </row>
    <row r="1223" ht="14.25" customHeight="1">
      <c r="A1223" s="8" t="s">
        <v>2158</v>
      </c>
      <c r="B1223" s="8">
        <v>5.9</v>
      </c>
      <c r="C1223" s="4" t="str">
        <f>IFERROR(__xludf.DUMMYFUNCTION("""COMPUTED_VALUE"""),"Michael Meredith")</f>
        <v>Michael Meredith</v>
      </c>
      <c r="D1223" s="31">
        <f t="shared" si="1"/>
        <v>5.5</v>
      </c>
      <c r="E1223" s="4">
        <f t="shared" si="2"/>
        <v>1</v>
      </c>
      <c r="F1223" s="15"/>
      <c r="G1223" s="4"/>
    </row>
    <row r="1224" ht="14.25" customHeight="1">
      <c r="A1224" s="8" t="s">
        <v>1700</v>
      </c>
      <c r="B1224" s="8">
        <v>8.4</v>
      </c>
      <c r="C1224" s="4" t="str">
        <f>IFERROR(__xludf.DUMMYFUNCTION("""COMPUTED_VALUE"""),"Julio DePietro")</f>
        <v>Julio DePietro</v>
      </c>
      <c r="D1224" s="31">
        <f t="shared" si="1"/>
        <v>5.9</v>
      </c>
      <c r="E1224" s="4">
        <f t="shared" si="2"/>
        <v>1</v>
      </c>
      <c r="F1224" s="15"/>
      <c r="G1224" s="4"/>
    </row>
    <row r="1225" ht="14.25" customHeight="1">
      <c r="A1225" s="8" t="s">
        <v>2695</v>
      </c>
      <c r="B1225" s="8">
        <v>4.8</v>
      </c>
      <c r="C1225" s="4" t="str">
        <f>IFERROR(__xludf.DUMMYFUNCTION("""COMPUTED_VALUE"""),"Katherine Dieckmann")</f>
        <v>Katherine Dieckmann</v>
      </c>
      <c r="D1225" s="31">
        <f t="shared" si="1"/>
        <v>4.7</v>
      </c>
      <c r="E1225" s="4">
        <f t="shared" si="2"/>
        <v>1</v>
      </c>
      <c r="F1225" s="15"/>
      <c r="G1225" s="4"/>
    </row>
    <row r="1226" ht="14.25" customHeight="1">
      <c r="A1226" s="8" t="s">
        <v>2699</v>
      </c>
      <c r="B1226" s="8">
        <v>6.2</v>
      </c>
      <c r="C1226" s="4" t="str">
        <f>IFERROR(__xludf.DUMMYFUNCTION("""COMPUTED_VALUE"""),"Scott Marshall")</f>
        <v>Scott Marshall</v>
      </c>
      <c r="D1226" s="31">
        <f t="shared" si="1"/>
        <v>3.9</v>
      </c>
      <c r="E1226" s="4">
        <f t="shared" si="2"/>
        <v>1</v>
      </c>
      <c r="F1226" s="15"/>
      <c r="G1226" s="4"/>
    </row>
    <row r="1227" ht="14.25" customHeight="1">
      <c r="A1227" s="8" t="s">
        <v>2506</v>
      </c>
      <c r="B1227" s="8">
        <v>6.5</v>
      </c>
      <c r="C1227" s="4" t="str">
        <f>IFERROR(__xludf.DUMMYFUNCTION("""COMPUTED_VALUE"""),"Ãlex de la Iglesia")</f>
        <v>Ã_x0081_lex de la Iglesia</v>
      </c>
      <c r="D1227" s="31">
        <f t="shared" si="1"/>
        <v>6.1</v>
      </c>
      <c r="E1227" s="4">
        <f t="shared" si="2"/>
        <v>1</v>
      </c>
      <c r="F1227" s="15"/>
      <c r="G1227" s="4"/>
    </row>
    <row r="1228" ht="14.25" customHeight="1">
      <c r="A1228" s="8" t="s">
        <v>2704</v>
      </c>
      <c r="B1228" s="8">
        <v>6.3</v>
      </c>
      <c r="C1228" s="4" t="str">
        <f>IFERROR(__xludf.DUMMYFUNCTION("""COMPUTED_VALUE"""),"Michael Clancy")</f>
        <v>Michael Clancy</v>
      </c>
      <c r="D1228" s="31">
        <f t="shared" si="1"/>
        <v>6.7</v>
      </c>
      <c r="E1228" s="4">
        <f t="shared" si="2"/>
        <v>1</v>
      </c>
      <c r="F1228" s="15"/>
      <c r="G1228" s="4"/>
    </row>
    <row r="1229" ht="14.25" customHeight="1">
      <c r="A1229" s="8" t="s">
        <v>2706</v>
      </c>
      <c r="B1229" s="8">
        <v>3.3</v>
      </c>
      <c r="C1229" s="4" t="str">
        <f>IFERROR(__xludf.DUMMYFUNCTION("""COMPUTED_VALUE"""),"Benedikt Erlingsson")</f>
        <v>Benedikt Erlingsson</v>
      </c>
      <c r="D1229" s="31">
        <f t="shared" si="1"/>
        <v>6.9</v>
      </c>
      <c r="E1229" s="4">
        <f t="shared" si="2"/>
        <v>1</v>
      </c>
      <c r="F1229" s="15"/>
      <c r="G1229" s="4"/>
    </row>
    <row r="1230" ht="14.25" customHeight="1">
      <c r="A1230" s="8" t="s">
        <v>724</v>
      </c>
      <c r="B1230" s="8">
        <v>5.9</v>
      </c>
      <c r="C1230" s="4" t="str">
        <f>IFERROR(__xludf.DUMMYFUNCTION("""COMPUTED_VALUE"""),"Andy Garcia")</f>
        <v>Andy Garcia</v>
      </c>
      <c r="D1230" s="31">
        <f t="shared" si="1"/>
        <v>6.7</v>
      </c>
      <c r="E1230" s="4">
        <f t="shared" si="2"/>
        <v>1</v>
      </c>
      <c r="F1230" s="15"/>
      <c r="G1230" s="4"/>
    </row>
    <row r="1231" ht="14.25" customHeight="1">
      <c r="A1231" s="8" t="s">
        <v>2198</v>
      </c>
      <c r="B1231" s="8">
        <v>5.8</v>
      </c>
      <c r="C1231" s="4" t="str">
        <f>IFERROR(__xludf.DUMMYFUNCTION("""COMPUTED_VALUE"""),"Gary Sherman")</f>
        <v>Gary Sherman</v>
      </c>
      <c r="D1231" s="31">
        <f t="shared" si="1"/>
        <v>4.5</v>
      </c>
      <c r="E1231" s="4">
        <f t="shared" si="2"/>
        <v>1</v>
      </c>
      <c r="F1231" s="15"/>
      <c r="G1231" s="4"/>
    </row>
    <row r="1232" ht="14.25" customHeight="1">
      <c r="A1232" s="8" t="s">
        <v>2712</v>
      </c>
      <c r="B1232" s="8">
        <v>4.7</v>
      </c>
      <c r="C1232" s="4" t="str">
        <f>IFERROR(__xludf.DUMMYFUNCTION("""COMPUTED_VALUE"""),"Stanley Kramer")</f>
        <v>Stanley Kramer</v>
      </c>
      <c r="D1232" s="31">
        <f t="shared" si="1"/>
        <v>7.6</v>
      </c>
      <c r="E1232" s="4">
        <f t="shared" si="2"/>
        <v>1</v>
      </c>
      <c r="F1232" s="15"/>
      <c r="G1232" s="4"/>
    </row>
    <row r="1233" ht="14.25" customHeight="1">
      <c r="A1233" s="8" t="s">
        <v>2715</v>
      </c>
      <c r="B1233" s="8">
        <v>4.1</v>
      </c>
      <c r="C1233" s="4" t="str">
        <f>IFERROR(__xludf.DUMMYFUNCTION("""COMPUTED_VALUE"""),"Anurag Basu")</f>
        <v>Anurag Basu</v>
      </c>
      <c r="D1233" s="31">
        <f t="shared" si="1"/>
        <v>6</v>
      </c>
      <c r="E1233" s="4">
        <f t="shared" si="2"/>
        <v>1</v>
      </c>
      <c r="F1233" s="15"/>
      <c r="G1233" s="4"/>
    </row>
    <row r="1234" ht="14.25" customHeight="1">
      <c r="A1234" s="8" t="s">
        <v>2717</v>
      </c>
      <c r="B1234" s="8">
        <v>6.8</v>
      </c>
      <c r="C1234" s="4" t="str">
        <f>IFERROR(__xludf.DUMMYFUNCTION("""COMPUTED_VALUE"""),"Yash Chopra")</f>
        <v>Yash Chopra</v>
      </c>
      <c r="D1234" s="31">
        <f t="shared" si="1"/>
        <v>7.4</v>
      </c>
      <c r="E1234" s="4">
        <f t="shared" si="2"/>
        <v>2</v>
      </c>
      <c r="F1234" s="15"/>
      <c r="G1234" s="4"/>
    </row>
    <row r="1235" ht="14.25" customHeight="1">
      <c r="A1235" s="8" t="s">
        <v>2081</v>
      </c>
      <c r="B1235" s="8">
        <v>6.2</v>
      </c>
      <c r="C1235" s="4" t="str">
        <f>IFERROR(__xludf.DUMMYFUNCTION("""COMPUTED_VALUE"""),"Floria Sigismondi")</f>
        <v>Floria Sigismondi</v>
      </c>
      <c r="D1235" s="31">
        <f t="shared" si="1"/>
        <v>6.6</v>
      </c>
      <c r="E1235" s="4">
        <f t="shared" si="2"/>
        <v>1</v>
      </c>
      <c r="F1235" s="15"/>
      <c r="G1235" s="4"/>
    </row>
    <row r="1236" ht="14.25" customHeight="1">
      <c r="A1236" s="8" t="s">
        <v>2643</v>
      </c>
      <c r="B1236" s="8">
        <v>4.5</v>
      </c>
      <c r="C1236" s="4" t="str">
        <f>IFERROR(__xludf.DUMMYFUNCTION("""COMPUTED_VALUE"""),"Terence Young")</f>
        <v>Terence Young</v>
      </c>
      <c r="D1236" s="31">
        <f t="shared" si="1"/>
        <v>7.266666667</v>
      </c>
      <c r="E1236" s="4">
        <f t="shared" si="2"/>
        <v>3</v>
      </c>
      <c r="F1236" s="15"/>
      <c r="G1236" s="4"/>
    </row>
    <row r="1237" ht="14.25" customHeight="1">
      <c r="A1237" s="8" t="s">
        <v>2722</v>
      </c>
      <c r="B1237" s="8">
        <v>5.8</v>
      </c>
      <c r="C1237" s="4" t="str">
        <f>IFERROR(__xludf.DUMMYFUNCTION("""COMPUTED_VALUE"""),"Michael Moore")</f>
        <v>Michael Moore</v>
      </c>
      <c r="D1237" s="31">
        <f t="shared" si="1"/>
        <v>7.75</v>
      </c>
      <c r="E1237" s="4">
        <f t="shared" si="2"/>
        <v>4</v>
      </c>
      <c r="F1237" s="15"/>
      <c r="G1237" s="4"/>
    </row>
    <row r="1238" ht="14.25" customHeight="1">
      <c r="A1238" s="8" t="s">
        <v>2132</v>
      </c>
      <c r="B1238" s="8">
        <v>7.3</v>
      </c>
      <c r="C1238" s="4" t="str">
        <f>IFERROR(__xludf.DUMMYFUNCTION("""COMPUTED_VALUE"""),"Kris Isacsson")</f>
        <v>Kris Isacsson</v>
      </c>
      <c r="D1238" s="31">
        <f t="shared" si="1"/>
        <v>4.9</v>
      </c>
      <c r="E1238" s="4">
        <f t="shared" si="2"/>
        <v>1</v>
      </c>
      <c r="F1238" s="15"/>
      <c r="G1238" s="4"/>
    </row>
    <row r="1239" ht="14.25" customHeight="1">
      <c r="A1239" s="8" t="s">
        <v>1665</v>
      </c>
      <c r="B1239" s="8">
        <v>5.9</v>
      </c>
      <c r="C1239" s="4" t="str">
        <f>IFERROR(__xludf.DUMMYFUNCTION("""COMPUTED_VALUE"""),"Ben Younger")</f>
        <v>Ben Younger</v>
      </c>
      <c r="D1239" s="31">
        <f t="shared" si="1"/>
        <v>7</v>
      </c>
      <c r="E1239" s="4">
        <f t="shared" si="2"/>
        <v>1</v>
      </c>
      <c r="F1239" s="15"/>
      <c r="G1239" s="4"/>
    </row>
    <row r="1240" ht="14.25" customHeight="1">
      <c r="A1240" s="8" t="s">
        <v>2729</v>
      </c>
      <c r="B1240" s="8">
        <v>4.4</v>
      </c>
      <c r="C1240" s="4" t="str">
        <f>IFERROR(__xludf.DUMMYFUNCTION("""COMPUTED_VALUE"""),"Hart Bochner")</f>
        <v>Hart Bochner</v>
      </c>
      <c r="D1240" s="31">
        <f t="shared" si="1"/>
        <v>6.5</v>
      </c>
      <c r="E1240" s="4">
        <f t="shared" si="2"/>
        <v>1</v>
      </c>
      <c r="F1240" s="15"/>
      <c r="G1240" s="4"/>
    </row>
    <row r="1241" ht="14.25" customHeight="1">
      <c r="A1241" s="8" t="s">
        <v>2007</v>
      </c>
      <c r="B1241" s="8">
        <v>5.8</v>
      </c>
      <c r="C1241" s="4" t="str">
        <f>IFERROR(__xludf.DUMMYFUNCTION("""COMPUTED_VALUE"""),"Chatrichalerm Yukol")</f>
        <v>Chatrichalerm Yukol</v>
      </c>
      <c r="D1241" s="31">
        <f t="shared" si="1"/>
        <v>6.6</v>
      </c>
      <c r="E1241" s="4">
        <f t="shared" si="2"/>
        <v>1</v>
      </c>
      <c r="F1241" s="15"/>
      <c r="G1241" s="4"/>
    </row>
    <row r="1242" ht="14.25" customHeight="1">
      <c r="A1242" s="8" t="s">
        <v>2733</v>
      </c>
      <c r="B1242" s="8">
        <v>5.1</v>
      </c>
      <c r="C1242" s="4" t="str">
        <f>IFERROR(__xludf.DUMMYFUNCTION("""COMPUTED_VALUE"""),"Dario Argento")</f>
        <v>Dario Argento</v>
      </c>
      <c r="D1242" s="31">
        <f t="shared" si="1"/>
        <v>6.1</v>
      </c>
      <c r="E1242" s="4">
        <f t="shared" si="2"/>
        <v>1</v>
      </c>
      <c r="F1242" s="15"/>
      <c r="G1242" s="4"/>
    </row>
    <row r="1243" ht="14.25" customHeight="1">
      <c r="A1243" s="8" t="s">
        <v>1093</v>
      </c>
      <c r="B1243" s="8">
        <v>6.9</v>
      </c>
      <c r="C1243" s="4" t="str">
        <f>IFERROR(__xludf.DUMMYFUNCTION("""COMPUTED_VALUE"""),"Marc Forby")</f>
        <v>Marc Forby</v>
      </c>
      <c r="D1243" s="31">
        <f t="shared" si="1"/>
        <v>6.2</v>
      </c>
      <c r="E1243" s="4">
        <f t="shared" si="2"/>
        <v>1</v>
      </c>
      <c r="F1243" s="15"/>
      <c r="G1243" s="4"/>
    </row>
    <row r="1244" ht="14.25" customHeight="1">
      <c r="A1244" s="8" t="s">
        <v>1794</v>
      </c>
      <c r="B1244" s="8">
        <v>6.2</v>
      </c>
      <c r="C1244" s="4" t="str">
        <f>IFERROR(__xludf.DUMMYFUNCTION("""COMPUTED_VALUE"""),"Ole Christian Madsen")</f>
        <v>Ole Christian Madsen</v>
      </c>
      <c r="D1244" s="31">
        <f t="shared" si="1"/>
        <v>7.3</v>
      </c>
      <c r="E1244" s="4">
        <f t="shared" si="2"/>
        <v>1</v>
      </c>
      <c r="F1244" s="15"/>
      <c r="G1244" s="4"/>
    </row>
    <row r="1245" ht="14.25" customHeight="1">
      <c r="A1245" s="8" t="s">
        <v>2739</v>
      </c>
      <c r="B1245" s="8">
        <v>6.9</v>
      </c>
      <c r="C1245" s="4" t="str">
        <f>IFERROR(__xludf.DUMMYFUNCTION("""COMPUTED_VALUE"""),"Meiert Avis")</f>
        <v>Meiert Avis</v>
      </c>
      <c r="D1245" s="31">
        <f t="shared" si="1"/>
        <v>4.2</v>
      </c>
      <c r="E1245" s="4">
        <f t="shared" si="2"/>
        <v>1</v>
      </c>
      <c r="F1245" s="15"/>
      <c r="G1245" s="4"/>
    </row>
    <row r="1246" ht="14.25" customHeight="1">
      <c r="A1246" s="8" t="s">
        <v>1736</v>
      </c>
      <c r="B1246" s="8">
        <v>7.3</v>
      </c>
      <c r="C1246" s="4" t="str">
        <f>IFERROR(__xludf.DUMMYFUNCTION("""COMPUTED_VALUE"""),"Peter Faiman")</f>
        <v>Peter Faiman</v>
      </c>
      <c r="D1246" s="31">
        <f t="shared" si="1"/>
        <v>6.5</v>
      </c>
      <c r="E1246" s="4">
        <f t="shared" si="2"/>
        <v>1</v>
      </c>
      <c r="F1246" s="15"/>
      <c r="G1246" s="4"/>
    </row>
    <row r="1247" ht="14.25" customHeight="1">
      <c r="A1247" s="8" t="s">
        <v>2745</v>
      </c>
      <c r="B1247" s="8">
        <v>7.1</v>
      </c>
      <c r="C1247" s="4" t="str">
        <f>IFERROR(__xludf.DUMMYFUNCTION("""COMPUTED_VALUE"""),"Joby Harold")</f>
        <v>Joby Harold</v>
      </c>
      <c r="D1247" s="31">
        <f t="shared" si="1"/>
        <v>6.5</v>
      </c>
      <c r="E1247" s="4">
        <f t="shared" si="2"/>
        <v>1</v>
      </c>
      <c r="F1247" s="15"/>
      <c r="G1247" s="4"/>
    </row>
    <row r="1248" ht="14.25" customHeight="1">
      <c r="A1248" s="8" t="s">
        <v>852</v>
      </c>
      <c r="B1248" s="8">
        <v>6.0</v>
      </c>
      <c r="C1248" s="4" t="str">
        <f>IFERROR(__xludf.DUMMYFUNCTION("""COMPUTED_VALUE"""),"Ekachai Uekrongtham")</f>
        <v>Ekachai Uekrongtham</v>
      </c>
      <c r="D1248" s="31">
        <f t="shared" si="1"/>
        <v>5.7</v>
      </c>
      <c r="E1248" s="4">
        <f t="shared" si="2"/>
        <v>1</v>
      </c>
      <c r="F1248" s="15"/>
      <c r="G1248" s="4"/>
    </row>
    <row r="1249" ht="14.25" customHeight="1">
      <c r="A1249" s="8" t="s">
        <v>2750</v>
      </c>
      <c r="B1249" s="8">
        <v>7.0</v>
      </c>
      <c r="C1249" s="4" t="str">
        <f>IFERROR(__xludf.DUMMYFUNCTION("""COMPUTED_VALUE"""),"Mark Rydell")</f>
        <v>Mark Rydell</v>
      </c>
      <c r="D1249" s="31">
        <f t="shared" si="1"/>
        <v>6.9</v>
      </c>
      <c r="E1249" s="4">
        <f t="shared" si="2"/>
        <v>1</v>
      </c>
      <c r="F1249" s="15"/>
      <c r="G1249" s="4"/>
    </row>
    <row r="1250" ht="14.25" customHeight="1">
      <c r="A1250" s="8" t="s">
        <v>439</v>
      </c>
      <c r="B1250" s="8">
        <v>7.6</v>
      </c>
      <c r="C1250" s="4" t="str">
        <f>IFERROR(__xludf.DUMMYFUNCTION("""COMPUTED_VALUE"""),"David E. Talbert")</f>
        <v>David E. Talbert</v>
      </c>
      <c r="D1250" s="31">
        <f t="shared" si="1"/>
        <v>5</v>
      </c>
      <c r="E1250" s="4">
        <f t="shared" si="2"/>
        <v>1</v>
      </c>
      <c r="F1250" s="15"/>
      <c r="G1250" s="4"/>
    </row>
    <row r="1251" ht="14.25" customHeight="1">
      <c r="A1251" s="8" t="s">
        <v>2754</v>
      </c>
      <c r="B1251" s="8">
        <v>8.4</v>
      </c>
      <c r="C1251" s="4" t="str">
        <f>IFERROR(__xludf.DUMMYFUNCTION("""COMPUTED_VALUE"""),"Ari Sandel")</f>
        <v>Ari Sandel</v>
      </c>
      <c r="D1251" s="31">
        <f t="shared" si="1"/>
        <v>6.5</v>
      </c>
      <c r="E1251" s="4">
        <f t="shared" si="2"/>
        <v>1</v>
      </c>
      <c r="F1251" s="15"/>
      <c r="G1251" s="4"/>
    </row>
    <row r="1252" ht="14.25" customHeight="1">
      <c r="A1252" s="8" t="s">
        <v>526</v>
      </c>
      <c r="B1252" s="8">
        <v>7.1</v>
      </c>
      <c r="C1252" s="4" t="str">
        <f>IFERROR(__xludf.DUMMYFUNCTION("""COMPUTED_VALUE"""),"Vondie Curtis-Hall")</f>
        <v>Vondie Curtis-Hall</v>
      </c>
      <c r="D1252" s="31">
        <f t="shared" si="1"/>
        <v>2.1</v>
      </c>
      <c r="E1252" s="4">
        <f t="shared" si="2"/>
        <v>1</v>
      </c>
      <c r="F1252" s="15"/>
      <c r="G1252" s="4"/>
    </row>
    <row r="1253" ht="14.25" customHeight="1">
      <c r="A1253" s="8" t="s">
        <v>214</v>
      </c>
      <c r="B1253" s="8">
        <v>6.7</v>
      </c>
      <c r="C1253" s="4" t="str">
        <f>IFERROR(__xludf.DUMMYFUNCTION("""COMPUTED_VALUE"""),"John Sayles")</f>
        <v>John Sayles</v>
      </c>
      <c r="D1253" s="31">
        <f t="shared" si="1"/>
        <v>6.85</v>
      </c>
      <c r="E1253" s="4">
        <f t="shared" si="2"/>
        <v>4</v>
      </c>
      <c r="F1253" s="15"/>
      <c r="G1253" s="4"/>
    </row>
    <row r="1254" ht="14.25" customHeight="1">
      <c r="A1254" s="8" t="s">
        <v>111</v>
      </c>
      <c r="B1254" s="8">
        <v>7.0</v>
      </c>
      <c r="C1254" s="4" t="str">
        <f>IFERROR(__xludf.DUMMYFUNCTION("""COMPUTED_VALUE"""),"Dan Gilroy")</f>
        <v>Dan Gilroy</v>
      </c>
      <c r="D1254" s="31">
        <f t="shared" si="1"/>
        <v>7.9</v>
      </c>
      <c r="E1254" s="4">
        <f t="shared" si="2"/>
        <v>1</v>
      </c>
      <c r="F1254" s="15"/>
      <c r="G1254" s="4"/>
    </row>
    <row r="1255" ht="14.25" customHeight="1">
      <c r="A1255" s="8" t="s">
        <v>41</v>
      </c>
      <c r="B1255" s="8">
        <v>8.0</v>
      </c>
      <c r="C1255" s="4" t="str">
        <f>IFERROR(__xludf.DUMMYFUNCTION("""COMPUTED_VALUE"""),"Jonathan Dayton")</f>
        <v>Jonathan Dayton</v>
      </c>
      <c r="D1255" s="31">
        <f t="shared" si="1"/>
        <v>7.9</v>
      </c>
      <c r="E1255" s="4">
        <f t="shared" si="2"/>
        <v>1</v>
      </c>
      <c r="F1255" s="15"/>
      <c r="G1255" s="4"/>
    </row>
    <row r="1256" ht="14.25" customHeight="1">
      <c r="A1256" s="8" t="s">
        <v>1898</v>
      </c>
      <c r="B1256" s="8">
        <v>5.3</v>
      </c>
      <c r="C1256" s="4" t="str">
        <f>IFERROR(__xludf.DUMMYFUNCTION("""COMPUTED_VALUE"""),"Chris Stokes")</f>
        <v>Chris Stokes</v>
      </c>
      <c r="D1256" s="31">
        <f t="shared" si="1"/>
        <v>3.5</v>
      </c>
      <c r="E1256" s="4">
        <f t="shared" si="2"/>
        <v>1</v>
      </c>
      <c r="F1256" s="15"/>
      <c r="G1256" s="4"/>
    </row>
    <row r="1257" ht="14.25" customHeight="1">
      <c r="A1257" s="8" t="s">
        <v>1962</v>
      </c>
      <c r="B1257" s="8">
        <v>4.9</v>
      </c>
      <c r="C1257" s="4" t="str">
        <f>IFERROR(__xludf.DUMMYFUNCTION("""COMPUTED_VALUE"""),"Don Siegel")</f>
        <v>Don Siegel</v>
      </c>
      <c r="D1257" s="31">
        <f t="shared" si="1"/>
        <v>7.6</v>
      </c>
      <c r="E1257" s="4">
        <f t="shared" si="2"/>
        <v>1</v>
      </c>
      <c r="F1257" s="15"/>
      <c r="G1257" s="4"/>
    </row>
    <row r="1258" ht="14.25" customHeight="1">
      <c r="A1258" s="8" t="s">
        <v>1036</v>
      </c>
      <c r="B1258" s="8">
        <v>6.4</v>
      </c>
      <c r="C1258" s="4" t="str">
        <f>IFERROR(__xludf.DUMMYFUNCTION("""COMPUTED_VALUE"""),"Martin Lawrence")</f>
        <v>Martin Lawrence</v>
      </c>
      <c r="D1258" s="31">
        <f t="shared" si="1"/>
        <v>5.6</v>
      </c>
      <c r="E1258" s="4">
        <f t="shared" si="2"/>
        <v>1</v>
      </c>
      <c r="F1258" s="15"/>
      <c r="G1258" s="4"/>
    </row>
    <row r="1259" ht="14.25" customHeight="1">
      <c r="A1259" s="8" t="s">
        <v>559</v>
      </c>
      <c r="B1259" s="8">
        <v>7.4</v>
      </c>
      <c r="C1259" s="4" t="str">
        <f>IFERROR(__xludf.DUMMYFUNCTION("""COMPUTED_VALUE"""),"Masayuki Ochiai")</f>
        <v>Masayuki Ochiai</v>
      </c>
      <c r="D1259" s="31">
        <f t="shared" si="1"/>
        <v>5.2</v>
      </c>
      <c r="E1259" s="4">
        <f t="shared" si="2"/>
        <v>1</v>
      </c>
      <c r="F1259" s="15"/>
      <c r="G1259" s="4"/>
    </row>
    <row r="1260" ht="14.25" customHeight="1">
      <c r="A1260" s="8" t="s">
        <v>1281</v>
      </c>
      <c r="B1260" s="8">
        <v>6.1</v>
      </c>
      <c r="C1260" s="4" t="str">
        <f>IFERROR(__xludf.DUMMYFUNCTION("""COMPUTED_VALUE"""),"Tom Gormican")</f>
        <v>Tom Gormican</v>
      </c>
      <c r="D1260" s="31">
        <f t="shared" si="1"/>
        <v>6.1</v>
      </c>
      <c r="E1260" s="4">
        <f t="shared" si="2"/>
        <v>1</v>
      </c>
      <c r="F1260" s="15"/>
      <c r="G1260" s="4"/>
    </row>
    <row r="1261" ht="14.25" customHeight="1">
      <c r="A1261" s="8" t="s">
        <v>1265</v>
      </c>
      <c r="B1261" s="8">
        <v>6.5</v>
      </c>
      <c r="C1261" s="4" t="str">
        <f>IFERROR(__xludf.DUMMYFUNCTION("""COMPUTED_VALUE"""),"Peter R. Hunt")</f>
        <v>Peter R. Hunt</v>
      </c>
      <c r="D1261" s="31">
        <f t="shared" si="1"/>
        <v>6.8</v>
      </c>
      <c r="E1261" s="4">
        <f t="shared" si="2"/>
        <v>1</v>
      </c>
      <c r="F1261" s="15"/>
      <c r="G1261" s="4"/>
    </row>
    <row r="1262" ht="14.25" customHeight="1">
      <c r="A1262" s="8" t="s">
        <v>2775</v>
      </c>
      <c r="B1262" s="8">
        <v>5.7</v>
      </c>
      <c r="C1262" s="4" t="str">
        <f>IFERROR(__xludf.DUMMYFUNCTION("""COMPUTED_VALUE"""),"Jonas Elmer")</f>
        <v>Jonas Elmer</v>
      </c>
      <c r="D1262" s="31">
        <f t="shared" si="1"/>
        <v>5.6</v>
      </c>
      <c r="E1262" s="4">
        <f t="shared" si="2"/>
        <v>1</v>
      </c>
      <c r="F1262" s="15"/>
      <c r="G1262" s="4"/>
    </row>
    <row r="1263" ht="14.25" customHeight="1">
      <c r="A1263" s="8" t="s">
        <v>1980</v>
      </c>
      <c r="B1263" s="8">
        <v>5.1</v>
      </c>
      <c r="C1263" s="4" t="str">
        <f>IFERROR(__xludf.DUMMYFUNCTION("""COMPUTED_VALUE"""),"Mary Harron")</f>
        <v>Mary Harron</v>
      </c>
      <c r="D1263" s="31">
        <f t="shared" si="1"/>
        <v>7.6</v>
      </c>
      <c r="E1263" s="4">
        <f t="shared" si="2"/>
        <v>1</v>
      </c>
      <c r="F1263" s="15"/>
      <c r="G1263" s="4"/>
    </row>
    <row r="1264" ht="14.25" customHeight="1">
      <c r="A1264" s="8" t="s">
        <v>2779</v>
      </c>
      <c r="B1264" s="8">
        <v>6.6</v>
      </c>
      <c r="C1264" s="4" t="str">
        <f>IFERROR(__xludf.DUMMYFUNCTION("""COMPUTED_VALUE"""),"Troy Duffy")</f>
        <v>Troy Duffy</v>
      </c>
      <c r="D1264" s="31">
        <f t="shared" si="1"/>
        <v>6.3</v>
      </c>
      <c r="E1264" s="4">
        <f t="shared" si="2"/>
        <v>1</v>
      </c>
      <c r="F1264" s="15"/>
      <c r="G1264" s="4"/>
    </row>
    <row r="1265" ht="14.25" customHeight="1">
      <c r="A1265" s="8" t="s">
        <v>2781</v>
      </c>
      <c r="B1265" s="8">
        <v>6.5</v>
      </c>
      <c r="C1265" s="4" t="str">
        <f>IFERROR(__xludf.DUMMYFUNCTION("""COMPUTED_VALUE"""),"Nicole Holofcener")</f>
        <v>Nicole Holofcener</v>
      </c>
      <c r="D1265" s="31">
        <f t="shared" si="1"/>
        <v>6.675</v>
      </c>
      <c r="E1265" s="4">
        <f t="shared" si="2"/>
        <v>4</v>
      </c>
      <c r="F1265" s="15"/>
      <c r="G1265" s="4"/>
    </row>
    <row r="1266" ht="14.25" customHeight="1">
      <c r="A1266" s="8" t="s">
        <v>297</v>
      </c>
      <c r="B1266" s="8">
        <v>6.9</v>
      </c>
      <c r="C1266" s="4" t="str">
        <f>IFERROR(__xludf.DUMMYFUNCTION("""COMPUTED_VALUE"""),"Fina Torres")</f>
        <v>Fina Torres</v>
      </c>
      <c r="D1266" s="31">
        <f t="shared" si="1"/>
        <v>5.3</v>
      </c>
      <c r="E1266" s="4">
        <f t="shared" si="2"/>
        <v>1</v>
      </c>
      <c r="F1266" s="15"/>
      <c r="G1266" s="4"/>
    </row>
    <row r="1267" ht="14.25" customHeight="1">
      <c r="A1267" s="8" t="s">
        <v>2786</v>
      </c>
      <c r="B1267" s="8">
        <v>7.6</v>
      </c>
      <c r="C1267" s="4" t="str">
        <f>IFERROR(__xludf.DUMMYFUNCTION("""COMPUTED_VALUE"""),"Duke Johnson")</f>
        <v>Duke Johnson</v>
      </c>
      <c r="D1267" s="31">
        <f t="shared" si="1"/>
        <v>7.3</v>
      </c>
      <c r="E1267" s="4">
        <f t="shared" si="2"/>
        <v>1</v>
      </c>
      <c r="F1267" s="15"/>
      <c r="G1267" s="4"/>
    </row>
    <row r="1268" ht="14.25" customHeight="1">
      <c r="A1268" s="8" t="s">
        <v>316</v>
      </c>
      <c r="B1268" s="8">
        <v>5.6</v>
      </c>
      <c r="C1268" s="4" t="str">
        <f>IFERROR(__xludf.DUMMYFUNCTION("""COMPUTED_VALUE"""),"FranÃ§ois Ozon")</f>
        <v>FranÃ§ois Ozon</v>
      </c>
      <c r="D1268" s="31">
        <f t="shared" si="1"/>
        <v>7.1</v>
      </c>
      <c r="E1268" s="4">
        <f t="shared" si="2"/>
        <v>1</v>
      </c>
      <c r="F1268" s="15"/>
      <c r="G1268" s="4"/>
    </row>
    <row r="1269" ht="14.25" customHeight="1">
      <c r="A1269" s="8" t="s">
        <v>2789</v>
      </c>
      <c r="B1269" s="8">
        <v>6.2</v>
      </c>
      <c r="C1269" s="4" t="str">
        <f>IFERROR(__xludf.DUMMYFUNCTION("""COMPUTED_VALUE"""),"Anna Boden")</f>
        <v>Anna Boden</v>
      </c>
      <c r="D1269" s="31">
        <f t="shared" si="1"/>
        <v>7.2</v>
      </c>
      <c r="E1269" s="4">
        <f t="shared" si="2"/>
        <v>1</v>
      </c>
      <c r="F1269" s="15"/>
      <c r="G1269" s="4"/>
    </row>
    <row r="1270" ht="14.25" customHeight="1">
      <c r="A1270" s="8" t="s">
        <v>2068</v>
      </c>
      <c r="B1270" s="8">
        <v>4.4</v>
      </c>
      <c r="C1270" s="4" t="str">
        <f>IFERROR(__xludf.DUMMYFUNCTION("""COMPUTED_VALUE"""),"Steve James")</f>
        <v>Steve James</v>
      </c>
      <c r="D1270" s="31">
        <f t="shared" si="1"/>
        <v>7.55</v>
      </c>
      <c r="E1270" s="4">
        <f t="shared" si="2"/>
        <v>2</v>
      </c>
      <c r="F1270" s="15"/>
      <c r="G1270" s="4"/>
    </row>
    <row r="1271" ht="14.25" customHeight="1">
      <c r="A1271" s="8" t="s">
        <v>2794</v>
      </c>
      <c r="B1271" s="8">
        <v>5.6</v>
      </c>
      <c r="C1271" s="4" t="str">
        <f>IFERROR(__xludf.DUMMYFUNCTION("""COMPUTED_VALUE"""),"Tomm Moore")</f>
        <v>Tomm Moore</v>
      </c>
      <c r="D1271" s="31">
        <f t="shared" si="1"/>
        <v>7.7</v>
      </c>
      <c r="E1271" s="4">
        <f t="shared" si="2"/>
        <v>1</v>
      </c>
      <c r="F1271" s="15"/>
      <c r="G1271" s="4"/>
    </row>
    <row r="1272" ht="14.25" customHeight="1">
      <c r="A1272" s="8" t="s">
        <v>1712</v>
      </c>
      <c r="B1272" s="8">
        <v>5.5</v>
      </c>
      <c r="C1272" s="4" t="str">
        <f>IFERROR(__xludf.DUMMYFUNCTION("""COMPUTED_VALUE"""),"John Carney")</f>
        <v>John Carney</v>
      </c>
      <c r="D1272" s="31">
        <f t="shared" si="1"/>
        <v>7.65</v>
      </c>
      <c r="E1272" s="4">
        <f t="shared" si="2"/>
        <v>2</v>
      </c>
      <c r="F1272" s="15"/>
      <c r="G1272" s="4"/>
    </row>
    <row r="1273" ht="14.25" customHeight="1">
      <c r="A1273" s="8" t="s">
        <v>1550</v>
      </c>
      <c r="B1273" s="8">
        <v>6.7</v>
      </c>
      <c r="C1273" s="4" t="str">
        <f>IFERROR(__xludf.DUMMYFUNCTION("""COMPUTED_VALUE"""),"David Jacobson")</f>
        <v>David Jacobson</v>
      </c>
      <c r="D1273" s="31">
        <f t="shared" si="1"/>
        <v>6.5</v>
      </c>
      <c r="E1273" s="4">
        <f t="shared" si="2"/>
        <v>1</v>
      </c>
      <c r="F1273" s="15"/>
      <c r="G1273" s="4"/>
    </row>
    <row r="1274" ht="14.25" customHeight="1">
      <c r="A1274" s="8" t="s">
        <v>316</v>
      </c>
      <c r="B1274" s="8">
        <v>6.1</v>
      </c>
      <c r="C1274" s="4" t="str">
        <f>IFERROR(__xludf.DUMMYFUNCTION("""COMPUTED_VALUE"""),"Michael Corrente")</f>
        <v>Michael Corrente</v>
      </c>
      <c r="D1274" s="31">
        <f t="shared" si="1"/>
        <v>6.4</v>
      </c>
      <c r="E1274" s="4">
        <f t="shared" si="2"/>
        <v>2</v>
      </c>
      <c r="F1274" s="15"/>
      <c r="G1274" s="4"/>
    </row>
    <row r="1275" ht="14.25" customHeight="1">
      <c r="A1275" s="8" t="s">
        <v>1809</v>
      </c>
      <c r="B1275" s="8">
        <v>6.2</v>
      </c>
      <c r="C1275" s="4" t="str">
        <f>IFERROR(__xludf.DUMMYFUNCTION("""COMPUTED_VALUE"""),"Keith Gordon")</f>
        <v>Keith Gordon</v>
      </c>
      <c r="D1275" s="31">
        <f t="shared" si="1"/>
        <v>5.6</v>
      </c>
      <c r="E1275" s="4">
        <f t="shared" si="2"/>
        <v>1</v>
      </c>
      <c r="F1275" s="15"/>
      <c r="G1275" s="4"/>
    </row>
    <row r="1276" ht="14.25" customHeight="1">
      <c r="A1276" s="8" t="s">
        <v>2802</v>
      </c>
      <c r="B1276" s="8">
        <v>7.3</v>
      </c>
      <c r="C1276" s="4" t="str">
        <f>IFERROR(__xludf.DUMMYFUNCTION("""COMPUTED_VALUE"""),"Andrew Currie")</f>
        <v>Andrew Currie</v>
      </c>
      <c r="D1276" s="31">
        <f t="shared" si="1"/>
        <v>6.8</v>
      </c>
      <c r="E1276" s="4">
        <f t="shared" si="2"/>
        <v>1</v>
      </c>
      <c r="F1276" s="15"/>
      <c r="G1276" s="4"/>
    </row>
    <row r="1277" ht="14.25" customHeight="1">
      <c r="A1277" s="8" t="s">
        <v>80</v>
      </c>
      <c r="B1277" s="8">
        <v>6.6</v>
      </c>
      <c r="C1277" s="4" t="str">
        <f>IFERROR(__xludf.DUMMYFUNCTION("""COMPUTED_VALUE"""),"Andrew Wilson")</f>
        <v>Andrew Wilson</v>
      </c>
      <c r="D1277" s="31">
        <f t="shared" si="1"/>
        <v>5.5</v>
      </c>
      <c r="E1277" s="4">
        <f t="shared" si="2"/>
        <v>1</v>
      </c>
      <c r="F1277" s="15"/>
      <c r="G1277" s="4"/>
    </row>
    <row r="1278" ht="14.25" customHeight="1">
      <c r="A1278" s="8" t="s">
        <v>2158</v>
      </c>
      <c r="B1278" s="8">
        <v>8.2</v>
      </c>
      <c r="C1278" s="4" t="str">
        <f>IFERROR(__xludf.DUMMYFUNCTION("""COMPUTED_VALUE"""),"Marc SchÃ¶lermann")</f>
        <v>Marc SchÃ¶lermann</v>
      </c>
      <c r="D1278" s="31">
        <f t="shared" si="1"/>
        <v>6</v>
      </c>
      <c r="E1278" s="4">
        <f t="shared" si="2"/>
        <v>1</v>
      </c>
      <c r="F1278" s="15"/>
      <c r="G1278" s="4"/>
    </row>
    <row r="1279" ht="14.25" customHeight="1">
      <c r="A1279" s="8" t="s">
        <v>583</v>
      </c>
      <c r="B1279" s="8">
        <v>6.4</v>
      </c>
      <c r="C1279" s="4" t="str">
        <f>IFERROR(__xludf.DUMMYFUNCTION("""COMPUTED_VALUE"""),"Robert Moresco")</f>
        <v>Robert Moresco</v>
      </c>
      <c r="D1279" s="31">
        <f t="shared" si="1"/>
        <v>6.4</v>
      </c>
      <c r="E1279" s="4">
        <f t="shared" si="2"/>
        <v>1</v>
      </c>
      <c r="F1279" s="15"/>
      <c r="G1279" s="4"/>
    </row>
    <row r="1280" ht="14.25" customHeight="1">
      <c r="A1280" s="8" t="s">
        <v>2811</v>
      </c>
      <c r="B1280" s="8">
        <v>6.4</v>
      </c>
      <c r="C1280" s="4" t="str">
        <f>IFERROR(__xludf.DUMMYFUNCTION("""COMPUTED_VALUE"""),"Thomas Vinterberg")</f>
        <v>Thomas Vinterberg</v>
      </c>
      <c r="D1280" s="31">
        <f t="shared" si="1"/>
        <v>7.666666667</v>
      </c>
      <c r="E1280" s="4">
        <f t="shared" si="2"/>
        <v>3</v>
      </c>
      <c r="F1280" s="15"/>
      <c r="G1280" s="4"/>
    </row>
    <row r="1281" ht="14.25" customHeight="1">
      <c r="A1281" s="8" t="s">
        <v>2814</v>
      </c>
      <c r="B1281" s="8">
        <v>5.2</v>
      </c>
      <c r="C1281" s="4" t="str">
        <f>IFERROR(__xludf.DUMMYFUNCTION("""COMPUTED_VALUE"""),"Claudia Llosa")</f>
        <v>Claudia Llosa</v>
      </c>
      <c r="D1281" s="31">
        <f t="shared" si="1"/>
        <v>5.3</v>
      </c>
      <c r="E1281" s="4">
        <f t="shared" si="2"/>
        <v>1</v>
      </c>
      <c r="F1281" s="15"/>
      <c r="G1281" s="4"/>
    </row>
    <row r="1282" ht="14.25" customHeight="1">
      <c r="A1282" s="8" t="s">
        <v>1271</v>
      </c>
      <c r="B1282" s="8">
        <v>6.5</v>
      </c>
      <c r="C1282" s="4" t="str">
        <f>IFERROR(__xludf.DUMMYFUNCTION("""COMPUTED_VALUE"""),"Ol Parker")</f>
        <v>Ol Parker</v>
      </c>
      <c r="D1282" s="31">
        <f t="shared" si="1"/>
        <v>6.9</v>
      </c>
      <c r="E1282" s="4">
        <f t="shared" si="2"/>
        <v>1</v>
      </c>
      <c r="F1282" s="15"/>
      <c r="G1282" s="4"/>
    </row>
    <row r="1283" ht="14.25" customHeight="1">
      <c r="A1283" s="8" t="s">
        <v>2820</v>
      </c>
      <c r="B1283" s="8">
        <v>7.1</v>
      </c>
      <c r="C1283" s="4" t="str">
        <f>IFERROR(__xludf.DUMMYFUNCTION("""COMPUTED_VALUE"""),"David Webb Peoples")</f>
        <v>David Webb Peoples</v>
      </c>
      <c r="D1283" s="31">
        <f t="shared" si="1"/>
        <v>6.5</v>
      </c>
      <c r="E1283" s="4">
        <f t="shared" si="2"/>
        <v>1</v>
      </c>
      <c r="F1283" s="15"/>
      <c r="G1283" s="4"/>
    </row>
    <row r="1284" ht="14.25" customHeight="1">
      <c r="A1284" s="8" t="s">
        <v>2081</v>
      </c>
      <c r="B1284" s="8">
        <v>7.3</v>
      </c>
      <c r="C1284" s="4" t="str">
        <f>IFERROR(__xludf.DUMMYFUNCTION("""COMPUTED_VALUE"""),"Stanley Tong")</f>
        <v>Stanley Tong</v>
      </c>
      <c r="D1284" s="31">
        <f t="shared" si="1"/>
        <v>6.7</v>
      </c>
      <c r="E1284" s="4">
        <f t="shared" si="2"/>
        <v>1</v>
      </c>
      <c r="F1284" s="15"/>
      <c r="G1284" s="4"/>
    </row>
    <row r="1285" ht="14.25" customHeight="1">
      <c r="A1285" s="8" t="s">
        <v>2824</v>
      </c>
      <c r="B1285" s="8">
        <v>5.2</v>
      </c>
      <c r="C1285" s="4" t="str">
        <f>IFERROR(__xludf.DUMMYFUNCTION("""COMPUTED_VALUE"""),"Eli Roth")</f>
        <v>Eli Roth</v>
      </c>
      <c r="D1285" s="31">
        <f t="shared" si="1"/>
        <v>5.566666667</v>
      </c>
      <c r="E1285" s="4">
        <f t="shared" si="2"/>
        <v>3</v>
      </c>
      <c r="F1285" s="15"/>
      <c r="G1285" s="4"/>
    </row>
    <row r="1286" ht="14.25" customHeight="1">
      <c r="A1286" s="8" t="s">
        <v>2826</v>
      </c>
      <c r="B1286" s="8">
        <v>7.7</v>
      </c>
      <c r="C1286" s="4" t="str">
        <f>IFERROR(__xludf.DUMMYFUNCTION("""COMPUTED_VALUE"""),"Tony Richardson")</f>
        <v>Tony Richardson</v>
      </c>
      <c r="D1286" s="31">
        <f t="shared" si="1"/>
        <v>6</v>
      </c>
      <c r="E1286" s="4">
        <f t="shared" si="2"/>
        <v>1</v>
      </c>
      <c r="F1286" s="15"/>
      <c r="G1286" s="4"/>
    </row>
    <row r="1287" ht="14.25" customHeight="1">
      <c r="A1287" s="8" t="s">
        <v>2388</v>
      </c>
      <c r="B1287" s="8">
        <v>7.6</v>
      </c>
      <c r="C1287" s="4" t="str">
        <f>IFERROR(__xludf.DUMMYFUNCTION("""COMPUTED_VALUE"""),"Paul Gross")</f>
        <v>Paul Gross</v>
      </c>
      <c r="D1287" s="31">
        <f t="shared" si="1"/>
        <v>6</v>
      </c>
      <c r="E1287" s="4">
        <f t="shared" si="2"/>
        <v>1</v>
      </c>
      <c r="F1287" s="15"/>
      <c r="G1287" s="4"/>
    </row>
    <row r="1288" ht="14.25" customHeight="1">
      <c r="A1288" s="8" t="s">
        <v>2829</v>
      </c>
      <c r="B1288" s="8">
        <v>5.7</v>
      </c>
      <c r="C1288" s="4" t="str">
        <f>IFERROR(__xludf.DUMMYFUNCTION("""COMPUTED_VALUE"""),"Charles Robert Carner")</f>
        <v>Charles Robert Carner</v>
      </c>
      <c r="D1288" s="31">
        <f t="shared" si="1"/>
        <v>3.1</v>
      </c>
      <c r="E1288" s="4">
        <f t="shared" si="2"/>
        <v>1</v>
      </c>
      <c r="F1288" s="15"/>
      <c r="G1288" s="4"/>
    </row>
    <row r="1289" ht="14.25" customHeight="1">
      <c r="A1289" s="8" t="s">
        <v>2831</v>
      </c>
      <c r="B1289" s="8">
        <v>7.0</v>
      </c>
      <c r="C1289" s="4" t="str">
        <f>IFERROR(__xludf.DUMMYFUNCTION("""COMPUTED_VALUE"""),"Russell Holt")</f>
        <v>Russell Holt</v>
      </c>
      <c r="D1289" s="31">
        <f t="shared" si="1"/>
        <v>6.9</v>
      </c>
      <c r="E1289" s="4">
        <f t="shared" si="2"/>
        <v>1</v>
      </c>
      <c r="F1289" s="15"/>
      <c r="G1289" s="4"/>
    </row>
    <row r="1290" ht="14.25" customHeight="1">
      <c r="A1290" s="8" t="s">
        <v>2833</v>
      </c>
      <c r="B1290" s="8">
        <v>6.0</v>
      </c>
      <c r="C1290" s="4" t="str">
        <f>IFERROR(__xludf.DUMMYFUNCTION("""COMPUTED_VALUE"""),"Claude Miller")</f>
        <v>Claude Miller</v>
      </c>
      <c r="D1290" s="31">
        <f t="shared" si="1"/>
        <v>6.9</v>
      </c>
      <c r="E1290" s="4">
        <f t="shared" si="2"/>
        <v>1</v>
      </c>
      <c r="F1290" s="15"/>
      <c r="G1290" s="4"/>
    </row>
    <row r="1291" ht="14.25" customHeight="1">
      <c r="A1291" s="8" t="s">
        <v>361</v>
      </c>
      <c r="B1291" s="8">
        <v>8.1</v>
      </c>
      <c r="C1291" s="4" t="str">
        <f>IFERROR(__xludf.DUMMYFUNCTION("""COMPUTED_VALUE"""),"Rodrigo GarcÃ­a")</f>
        <v>Rodrigo GarcÃ­a</v>
      </c>
      <c r="D1291" s="31">
        <f t="shared" si="1"/>
        <v>6.95</v>
      </c>
      <c r="E1291" s="4">
        <f t="shared" si="2"/>
        <v>2</v>
      </c>
      <c r="F1291" s="15"/>
      <c r="G1291" s="4"/>
    </row>
    <row r="1292" ht="14.25" customHeight="1">
      <c r="A1292" s="8" t="s">
        <v>2820</v>
      </c>
      <c r="B1292" s="8">
        <v>8.0</v>
      </c>
      <c r="C1292" s="4" t="str">
        <f>IFERROR(__xludf.DUMMYFUNCTION("""COMPUTED_VALUE"""),"Siddharth Anand")</f>
        <v>Siddharth Anand</v>
      </c>
      <c r="D1292" s="31">
        <f t="shared" si="1"/>
        <v>5.4</v>
      </c>
      <c r="E1292" s="4">
        <f t="shared" si="2"/>
        <v>1</v>
      </c>
      <c r="F1292" s="15"/>
      <c r="G1292" s="4"/>
    </row>
    <row r="1293" ht="14.25" customHeight="1">
      <c r="A1293" s="8" t="s">
        <v>2839</v>
      </c>
      <c r="B1293" s="8">
        <v>5.6</v>
      </c>
      <c r="C1293" s="4" t="str">
        <f>IFERROR(__xludf.DUMMYFUNCTION("""COMPUTED_VALUE"""),"Vincent Paronnaud")</f>
        <v>Vincent Paronnaud</v>
      </c>
      <c r="D1293" s="31">
        <f t="shared" si="1"/>
        <v>8</v>
      </c>
      <c r="E1293" s="4">
        <f t="shared" si="2"/>
        <v>1</v>
      </c>
      <c r="F1293" s="15"/>
      <c r="G1293" s="4"/>
    </row>
    <row r="1294" ht="14.25" customHeight="1">
      <c r="A1294" s="8" t="s">
        <v>2841</v>
      </c>
      <c r="B1294" s="8">
        <v>6.1</v>
      </c>
      <c r="C1294" s="4" t="str">
        <f>IFERROR(__xludf.DUMMYFUNCTION("""COMPUTED_VALUE"""),"Daniel Barber")</f>
        <v>Daniel Barber</v>
      </c>
      <c r="D1294" s="31">
        <f t="shared" si="1"/>
        <v>7.2</v>
      </c>
      <c r="E1294" s="4">
        <f t="shared" si="2"/>
        <v>1</v>
      </c>
      <c r="F1294" s="15"/>
      <c r="G1294" s="4"/>
    </row>
    <row r="1295" ht="14.25" customHeight="1">
      <c r="A1295" s="8" t="s">
        <v>2843</v>
      </c>
      <c r="B1295" s="8">
        <v>6.9</v>
      </c>
      <c r="C1295" s="4" t="str">
        <f>IFERROR(__xludf.DUMMYFUNCTION("""COMPUTED_VALUE"""),"Robert Marcarelli")</f>
        <v>Robert Marcarelli</v>
      </c>
      <c r="D1295" s="31">
        <f t="shared" si="1"/>
        <v>3.5</v>
      </c>
      <c r="E1295" s="4">
        <f t="shared" si="2"/>
        <v>1</v>
      </c>
      <c r="F1295" s="15"/>
      <c r="G1295" s="4"/>
    </row>
    <row r="1296" ht="14.25" customHeight="1">
      <c r="A1296" s="8" t="s">
        <v>2447</v>
      </c>
      <c r="B1296" s="8">
        <v>5.2</v>
      </c>
      <c r="C1296" s="4" t="str">
        <f>IFERROR(__xludf.DUMMYFUNCTION("""COMPUTED_VALUE"""),"Guy Hamilton")</f>
        <v>Guy Hamilton</v>
      </c>
      <c r="D1296" s="31">
        <f t="shared" si="1"/>
        <v>7.025</v>
      </c>
      <c r="E1296" s="4">
        <f t="shared" si="2"/>
        <v>4</v>
      </c>
      <c r="F1296" s="15"/>
      <c r="G1296" s="4"/>
    </row>
    <row r="1297" ht="14.25" customHeight="1">
      <c r="A1297" s="8" t="s">
        <v>2549</v>
      </c>
      <c r="B1297" s="8">
        <v>7.0</v>
      </c>
      <c r="C1297" s="4" t="str">
        <f>IFERROR(__xludf.DUMMYFUNCTION("""COMPUTED_VALUE"""),"Michael Anderson")</f>
        <v>Michael Anderson</v>
      </c>
      <c r="D1297" s="31">
        <f t="shared" si="1"/>
        <v>6.8</v>
      </c>
      <c r="E1297" s="4">
        <f t="shared" si="2"/>
        <v>1</v>
      </c>
      <c r="F1297" s="15"/>
      <c r="G1297" s="4"/>
    </row>
    <row r="1298" ht="14.25" customHeight="1">
      <c r="A1298" s="8" t="s">
        <v>1100</v>
      </c>
      <c r="B1298" s="8">
        <v>6.3</v>
      </c>
      <c r="C1298" s="4" t="str">
        <f>IFERROR(__xludf.DUMMYFUNCTION("""COMPUTED_VALUE"""),"Matt Bettinelli-Olpin")</f>
        <v>Matt Bettinelli-Olpin</v>
      </c>
      <c r="D1298" s="31">
        <f t="shared" si="1"/>
        <v>4</v>
      </c>
      <c r="E1298" s="4">
        <f t="shared" si="2"/>
        <v>1</v>
      </c>
      <c r="F1298" s="15"/>
      <c r="G1298" s="4"/>
    </row>
    <row r="1299" ht="14.25" customHeight="1">
      <c r="A1299" s="8" t="s">
        <v>2042</v>
      </c>
      <c r="B1299" s="8">
        <v>7.0</v>
      </c>
      <c r="C1299" s="4" t="str">
        <f>IFERROR(__xludf.DUMMYFUNCTION("""COMPUTED_VALUE"""),"Aaron Schneider")</f>
        <v>Aaron Schneider</v>
      </c>
      <c r="D1299" s="31">
        <f t="shared" si="1"/>
        <v>7.1</v>
      </c>
      <c r="E1299" s="4">
        <f t="shared" si="2"/>
        <v>1</v>
      </c>
      <c r="F1299" s="15"/>
      <c r="G1299" s="4"/>
    </row>
    <row r="1300" ht="14.25" customHeight="1">
      <c r="A1300" s="8" t="s">
        <v>277</v>
      </c>
      <c r="B1300" s="8">
        <v>6.9</v>
      </c>
      <c r="C1300" s="4" t="str">
        <f>IFERROR(__xludf.DUMMYFUNCTION("""COMPUTED_VALUE"""),"Tom Ford")</f>
        <v>Tom Ford</v>
      </c>
      <c r="D1300" s="31">
        <f t="shared" si="1"/>
        <v>7.6</v>
      </c>
      <c r="E1300" s="4">
        <f t="shared" si="2"/>
        <v>1</v>
      </c>
      <c r="F1300" s="15"/>
      <c r="G1300" s="4"/>
    </row>
    <row r="1301" ht="14.25" customHeight="1">
      <c r="A1301" s="8" t="s">
        <v>2853</v>
      </c>
      <c r="B1301" s="8">
        <v>6.2</v>
      </c>
      <c r="C1301" s="4" t="str">
        <f>IFERROR(__xludf.DUMMYFUNCTION("""COMPUTED_VALUE"""),"Gurinder Chadha")</f>
        <v>Gurinder Chadha</v>
      </c>
      <c r="D1301" s="31">
        <f t="shared" si="1"/>
        <v>6.45</v>
      </c>
      <c r="E1301" s="4">
        <f t="shared" si="2"/>
        <v>2</v>
      </c>
      <c r="F1301" s="15"/>
      <c r="G1301" s="4"/>
    </row>
    <row r="1302" ht="14.25" customHeight="1">
      <c r="A1302" s="8" t="s">
        <v>2856</v>
      </c>
      <c r="B1302" s="8">
        <v>6.4</v>
      </c>
      <c r="C1302" s="4" t="str">
        <f>IFERROR(__xludf.DUMMYFUNCTION("""COMPUTED_VALUE"""),"Tony Maylam")</f>
        <v>Tony Maylam</v>
      </c>
      <c r="D1302" s="31">
        <f t="shared" si="1"/>
        <v>6.2</v>
      </c>
      <c r="E1302" s="4">
        <f t="shared" si="2"/>
        <v>1</v>
      </c>
      <c r="F1302" s="15"/>
      <c r="G1302" s="4"/>
    </row>
    <row r="1303" ht="14.25" customHeight="1">
      <c r="A1303" s="8" t="s">
        <v>2843</v>
      </c>
      <c r="B1303" s="8">
        <v>6.4</v>
      </c>
      <c r="C1303" s="4" t="str">
        <f>IFERROR(__xludf.DUMMYFUNCTION("""COMPUTED_VALUE"""),"Mitch Davis")</f>
        <v>Mitch Davis</v>
      </c>
      <c r="D1303" s="31">
        <f t="shared" si="1"/>
        <v>6.5</v>
      </c>
      <c r="E1303" s="4">
        <f t="shared" si="2"/>
        <v>1</v>
      </c>
      <c r="F1303" s="15"/>
      <c r="G1303" s="4"/>
    </row>
    <row r="1304" ht="14.25" customHeight="1">
      <c r="A1304" s="8" t="s">
        <v>1904</v>
      </c>
      <c r="B1304" s="8">
        <v>5.7</v>
      </c>
      <c r="C1304" s="4" t="str">
        <f>IFERROR(__xludf.DUMMYFUNCTION("""COMPUTED_VALUE"""),"Kevin Brodie")</f>
        <v>Kevin Brodie</v>
      </c>
      <c r="D1304" s="31">
        <f t="shared" si="1"/>
        <v>6.3</v>
      </c>
      <c r="E1304" s="4">
        <f t="shared" si="2"/>
        <v>1</v>
      </c>
      <c r="F1304" s="15"/>
      <c r="G1304" s="4"/>
    </row>
    <row r="1305" ht="14.25" customHeight="1">
      <c r="A1305" s="8" t="s">
        <v>1258</v>
      </c>
      <c r="B1305" s="8">
        <v>6.1</v>
      </c>
      <c r="C1305" s="4" t="str">
        <f>IFERROR(__xludf.DUMMYFUNCTION("""COMPUTED_VALUE"""),"Paul Schrader")</f>
        <v>Paul Schrader</v>
      </c>
      <c r="D1305" s="31">
        <f t="shared" si="1"/>
        <v>5.766666667</v>
      </c>
      <c r="E1305" s="4">
        <f t="shared" si="2"/>
        <v>3</v>
      </c>
      <c r="F1305" s="15"/>
      <c r="G1305" s="4"/>
    </row>
    <row r="1306" ht="14.25" customHeight="1">
      <c r="A1306" s="8" t="s">
        <v>1364</v>
      </c>
      <c r="B1306" s="8">
        <v>5.4</v>
      </c>
      <c r="C1306" s="4" t="str">
        <f>IFERROR(__xludf.DUMMYFUNCTION("""COMPUTED_VALUE"""),"Lynne Ramsay")</f>
        <v>Lynne Ramsay</v>
      </c>
      <c r="D1306" s="31">
        <f t="shared" si="1"/>
        <v>7.5</v>
      </c>
      <c r="E1306" s="4">
        <f t="shared" si="2"/>
        <v>1</v>
      </c>
      <c r="F1306" s="15"/>
      <c r="G1306" s="4"/>
    </row>
    <row r="1307" ht="14.25" customHeight="1">
      <c r="A1307" s="8" t="s">
        <v>1580</v>
      </c>
      <c r="B1307" s="8">
        <v>6.7</v>
      </c>
      <c r="C1307" s="4" t="str">
        <f>IFERROR(__xludf.DUMMYFUNCTION("""COMPUTED_VALUE"""),"Tim Chambers")</f>
        <v>Tim Chambers</v>
      </c>
      <c r="D1307" s="31">
        <f t="shared" si="1"/>
        <v>6.5</v>
      </c>
      <c r="E1307" s="4">
        <f t="shared" si="2"/>
        <v>1</v>
      </c>
      <c r="F1307" s="15"/>
      <c r="G1307" s="4"/>
    </row>
    <row r="1308" ht="14.25" customHeight="1">
      <c r="A1308" s="8" t="s">
        <v>2866</v>
      </c>
      <c r="B1308" s="8">
        <v>6.8</v>
      </c>
      <c r="C1308" s="4" t="str">
        <f>IFERROR(__xludf.DUMMYFUNCTION("""COMPUTED_VALUE"""),"Dick Richards")</f>
        <v>Dick Richards</v>
      </c>
      <c r="D1308" s="31">
        <f t="shared" si="1"/>
        <v>6.3</v>
      </c>
      <c r="E1308" s="4">
        <f t="shared" si="2"/>
        <v>1</v>
      </c>
      <c r="F1308" s="15"/>
      <c r="G1308" s="4"/>
    </row>
    <row r="1309" ht="14.25" customHeight="1">
      <c r="A1309" s="8" t="s">
        <v>1440</v>
      </c>
      <c r="B1309" s="8">
        <v>6.0</v>
      </c>
      <c r="C1309" s="4" t="str">
        <f>IFERROR(__xludf.DUMMYFUNCTION("""COMPUTED_VALUE"""),"Alex Zamm")</f>
        <v>Alex Zamm</v>
      </c>
      <c r="D1309" s="31">
        <f t="shared" si="1"/>
        <v>2.3</v>
      </c>
      <c r="E1309" s="4">
        <f t="shared" si="2"/>
        <v>1</v>
      </c>
      <c r="F1309" s="15"/>
      <c r="G1309" s="4"/>
    </row>
    <row r="1310" ht="14.25" customHeight="1">
      <c r="A1310" s="8" t="s">
        <v>2152</v>
      </c>
      <c r="B1310" s="8">
        <v>7.8</v>
      </c>
      <c r="C1310" s="4" t="str">
        <f>IFERROR(__xludf.DUMMYFUNCTION("""COMPUTED_VALUE"""),"Spencer Susser")</f>
        <v>Spencer Susser</v>
      </c>
      <c r="D1310" s="31">
        <f t="shared" si="1"/>
        <v>7.1</v>
      </c>
      <c r="E1310" s="4">
        <f t="shared" si="2"/>
        <v>1</v>
      </c>
      <c r="F1310" s="15"/>
      <c r="G1310" s="4"/>
    </row>
    <row r="1311" ht="14.25" customHeight="1">
      <c r="A1311" s="8" t="s">
        <v>2139</v>
      </c>
      <c r="B1311" s="8">
        <v>5.3</v>
      </c>
      <c r="C1311" s="4" t="str">
        <f>IFERROR(__xludf.DUMMYFUNCTION("""COMPUTED_VALUE"""),"Thaddeus O'Sullivan")</f>
        <v>Thaddeus O'Sullivan</v>
      </c>
      <c r="D1311" s="31">
        <f t="shared" si="1"/>
        <v>6.7</v>
      </c>
      <c r="E1311" s="4">
        <f t="shared" si="2"/>
        <v>1</v>
      </c>
      <c r="F1311" s="15"/>
      <c r="G1311" s="4"/>
    </row>
    <row r="1312" ht="14.25" customHeight="1">
      <c r="A1312" s="8" t="s">
        <v>609</v>
      </c>
      <c r="B1312" s="8">
        <v>4.5</v>
      </c>
      <c r="C1312" s="4" t="str">
        <f>IFERROR(__xludf.DUMMYFUNCTION("""COMPUTED_VALUE"""),"Shari Springer Berman")</f>
        <v>Shari Springer Berman</v>
      </c>
      <c r="D1312" s="31">
        <f t="shared" si="1"/>
        <v>5.9</v>
      </c>
      <c r="E1312" s="4">
        <f t="shared" si="2"/>
        <v>1</v>
      </c>
      <c r="F1312" s="15"/>
      <c r="G1312" s="4"/>
    </row>
    <row r="1313" ht="14.25" customHeight="1">
      <c r="A1313" s="8" t="s">
        <v>2877</v>
      </c>
      <c r="B1313" s="8">
        <v>5.4</v>
      </c>
      <c r="C1313" s="4" t="str">
        <f>IFERROR(__xludf.DUMMYFUNCTION("""COMPUTED_VALUE"""),"Stephen Milburn Anderson")</f>
        <v>Stephen Milburn Anderson</v>
      </c>
      <c r="D1313" s="31">
        <f t="shared" si="1"/>
        <v>6</v>
      </c>
      <c r="E1313" s="4">
        <f t="shared" si="2"/>
        <v>1</v>
      </c>
      <c r="F1313" s="15"/>
      <c r="G1313" s="4"/>
    </row>
    <row r="1314" ht="14.25" customHeight="1">
      <c r="A1314" s="8" t="s">
        <v>1065</v>
      </c>
      <c r="B1314" s="8">
        <v>7.8</v>
      </c>
      <c r="C1314" s="4" t="str">
        <f>IFERROR(__xludf.DUMMYFUNCTION("""COMPUTED_VALUE"""),"Richard E. Grant")</f>
        <v>Richard E. Grant</v>
      </c>
      <c r="D1314" s="31">
        <f t="shared" si="1"/>
        <v>6.9</v>
      </c>
      <c r="E1314" s="4">
        <f t="shared" si="2"/>
        <v>1</v>
      </c>
      <c r="F1314" s="15"/>
      <c r="G1314" s="4"/>
    </row>
    <row r="1315" ht="14.25" customHeight="1">
      <c r="A1315" s="8" t="s">
        <v>2880</v>
      </c>
      <c r="B1315" s="8">
        <v>7.2</v>
      </c>
      <c r="C1315" s="4" t="str">
        <f>IFERROR(__xludf.DUMMYFUNCTION("""COMPUTED_VALUE"""),"Max FÃ¤rberbÃ¶ck")</f>
        <v>Max FÃ¤rberbÃ¶ck</v>
      </c>
      <c r="D1315" s="31">
        <f t="shared" si="1"/>
        <v>7.3</v>
      </c>
      <c r="E1315" s="4">
        <f t="shared" si="2"/>
        <v>1</v>
      </c>
      <c r="F1315" s="15"/>
      <c r="G1315" s="4"/>
    </row>
    <row r="1316" ht="14.25" customHeight="1">
      <c r="A1316" s="8" t="s">
        <v>827</v>
      </c>
      <c r="B1316" s="8">
        <v>6.6</v>
      </c>
      <c r="C1316" s="4" t="str">
        <f>IFERROR(__xludf.DUMMYFUNCTION("""COMPUTED_VALUE"""),"Arie Posin")</f>
        <v>Arie Posin</v>
      </c>
      <c r="D1316" s="31">
        <f t="shared" si="1"/>
        <v>7</v>
      </c>
      <c r="E1316" s="4">
        <f t="shared" si="2"/>
        <v>1</v>
      </c>
      <c r="F1316" s="15"/>
      <c r="G1316" s="4"/>
    </row>
    <row r="1317" ht="14.25" customHeight="1">
      <c r="A1317" s="8" t="s">
        <v>111</v>
      </c>
      <c r="B1317" s="8">
        <v>7.6</v>
      </c>
      <c r="C1317" s="4" t="str">
        <f>IFERROR(__xludf.DUMMYFUNCTION("""COMPUTED_VALUE"""),"Damian Nieman")</f>
        <v>Damian Nieman</v>
      </c>
      <c r="D1317" s="31">
        <f t="shared" si="1"/>
        <v>6.4</v>
      </c>
      <c r="E1317" s="4">
        <f t="shared" si="2"/>
        <v>1</v>
      </c>
      <c r="F1317" s="15"/>
      <c r="G1317" s="4"/>
    </row>
    <row r="1318" ht="14.25" customHeight="1">
      <c r="A1318" s="8" t="s">
        <v>2187</v>
      </c>
      <c r="B1318" s="8">
        <v>5.9</v>
      </c>
      <c r="C1318" s="4" t="str">
        <f>IFERROR(__xludf.DUMMYFUNCTION("""COMPUTED_VALUE"""),"Mark Tonderai")</f>
        <v>Mark Tonderai</v>
      </c>
      <c r="D1318" s="31">
        <f t="shared" si="1"/>
        <v>5.6</v>
      </c>
      <c r="E1318" s="4">
        <f t="shared" si="2"/>
        <v>1</v>
      </c>
      <c r="F1318" s="15"/>
      <c r="G1318" s="4"/>
    </row>
    <row r="1319" ht="14.25" customHeight="1">
      <c r="A1319" s="8" t="s">
        <v>446</v>
      </c>
      <c r="B1319" s="8">
        <v>6.7</v>
      </c>
      <c r="C1319" s="4" t="str">
        <f>IFERROR(__xludf.DUMMYFUNCTION("""COMPUTED_VALUE"""),"Rachel Perkins")</f>
        <v>Rachel Perkins</v>
      </c>
      <c r="D1319" s="31">
        <f t="shared" si="1"/>
        <v>6.3</v>
      </c>
      <c r="E1319" s="4">
        <f t="shared" si="2"/>
        <v>1</v>
      </c>
      <c r="F1319" s="15"/>
      <c r="G1319" s="4"/>
    </row>
    <row r="1320" ht="14.25" customHeight="1">
      <c r="A1320" s="8" t="s">
        <v>868</v>
      </c>
      <c r="B1320" s="8">
        <v>7.7</v>
      </c>
      <c r="C1320" s="4" t="str">
        <f>IFERROR(__xludf.DUMMYFUNCTION("""COMPUTED_VALUE"""),"Luis Valdez")</f>
        <v>Luis Valdez</v>
      </c>
      <c r="D1320" s="31">
        <f t="shared" si="1"/>
        <v>6.8</v>
      </c>
      <c r="E1320" s="4">
        <f t="shared" si="2"/>
        <v>1</v>
      </c>
      <c r="F1320" s="15"/>
      <c r="G1320" s="4"/>
    </row>
    <row r="1321" ht="14.25" customHeight="1">
      <c r="A1321" s="8" t="s">
        <v>1980</v>
      </c>
      <c r="B1321" s="8">
        <v>5.4</v>
      </c>
      <c r="C1321" s="4" t="str">
        <f>IFERROR(__xludf.DUMMYFUNCTION("""COMPUTED_VALUE"""),"Louis Morneau")</f>
        <v>Louis Morneau</v>
      </c>
      <c r="D1321" s="31">
        <f t="shared" si="1"/>
        <v>3.6</v>
      </c>
      <c r="E1321" s="4">
        <f t="shared" si="2"/>
        <v>1</v>
      </c>
      <c r="F1321" s="15"/>
      <c r="G1321" s="4"/>
    </row>
    <row r="1322" ht="14.25" customHeight="1">
      <c r="A1322" s="8" t="s">
        <v>1083</v>
      </c>
      <c r="B1322" s="8">
        <v>6.9</v>
      </c>
      <c r="C1322" s="4" t="str">
        <f>IFERROR(__xludf.DUMMYFUNCTION("""COMPUTED_VALUE"""),"Caroline Link")</f>
        <v>Caroline Link</v>
      </c>
      <c r="D1322" s="31">
        <f t="shared" si="1"/>
        <v>7.7</v>
      </c>
      <c r="E1322" s="4">
        <f t="shared" si="2"/>
        <v>1</v>
      </c>
      <c r="F1322" s="15"/>
      <c r="G1322" s="4"/>
    </row>
    <row r="1323" ht="14.25" customHeight="1">
      <c r="A1323" s="8" t="s">
        <v>2831</v>
      </c>
      <c r="B1323" s="8">
        <v>7.7</v>
      </c>
      <c r="C1323" s="4" t="str">
        <f>IFERROR(__xludf.DUMMYFUNCTION("""COMPUTED_VALUE"""),"Sterling Van Wagenen")</f>
        <v>Sterling Van Wagenen</v>
      </c>
      <c r="D1323" s="31">
        <f t="shared" si="1"/>
        <v>6.6</v>
      </c>
      <c r="E1323" s="4">
        <f t="shared" si="2"/>
        <v>1</v>
      </c>
      <c r="F1323" s="15"/>
      <c r="G1323" s="4"/>
    </row>
    <row r="1324" ht="14.25" customHeight="1">
      <c r="A1324" s="8" t="s">
        <v>1598</v>
      </c>
      <c r="B1324" s="8">
        <v>6.8</v>
      </c>
      <c r="C1324" s="4" t="str">
        <f>IFERROR(__xludf.DUMMYFUNCTION("""COMPUTED_VALUE"""),"Zal Batmanglij")</f>
        <v>Zal Batmanglij</v>
      </c>
      <c r="D1324" s="31">
        <f t="shared" si="1"/>
        <v>6.9</v>
      </c>
      <c r="E1324" s="4">
        <f t="shared" si="2"/>
        <v>1</v>
      </c>
      <c r="F1324" s="15"/>
      <c r="G1324" s="4"/>
    </row>
    <row r="1325" ht="14.25" customHeight="1">
      <c r="A1325" s="8" t="s">
        <v>2897</v>
      </c>
      <c r="B1325" s="8">
        <v>6.4</v>
      </c>
      <c r="C1325" s="4" t="str">
        <f>IFERROR(__xludf.DUMMYFUNCTION("""COMPUTED_VALUE"""),"Hans Petter Moland")</f>
        <v>Hans Petter Moland</v>
      </c>
      <c r="D1325" s="31">
        <f t="shared" si="1"/>
        <v>7.3</v>
      </c>
      <c r="E1325" s="4">
        <f t="shared" si="2"/>
        <v>1</v>
      </c>
      <c r="F1325" s="15"/>
      <c r="G1325" s="4"/>
    </row>
    <row r="1326" ht="14.25" customHeight="1">
      <c r="A1326" s="8" t="s">
        <v>1083</v>
      </c>
      <c r="B1326" s="8">
        <v>5.7</v>
      </c>
      <c r="C1326" s="4" t="str">
        <f>IFERROR(__xludf.DUMMYFUNCTION("""COMPUTED_VALUE"""),"Oren Moverman")</f>
        <v>Oren Moverman</v>
      </c>
      <c r="D1326" s="31">
        <f t="shared" si="1"/>
        <v>7.2</v>
      </c>
      <c r="E1326" s="4">
        <f t="shared" si="2"/>
        <v>1</v>
      </c>
      <c r="F1326" s="15"/>
      <c r="G1326" s="4"/>
    </row>
    <row r="1327" ht="14.25" customHeight="1">
      <c r="A1327" s="8" t="s">
        <v>208</v>
      </c>
      <c r="B1327" s="8">
        <v>7.3</v>
      </c>
      <c r="C1327" s="4" t="str">
        <f>IFERROR(__xludf.DUMMYFUNCTION("""COMPUTED_VALUE"""),"Wolfgang Becker")</f>
        <v>Wolfgang Becker</v>
      </c>
      <c r="D1327" s="31">
        <f t="shared" si="1"/>
        <v>7.7</v>
      </c>
      <c r="E1327" s="4">
        <f t="shared" si="2"/>
        <v>1</v>
      </c>
      <c r="F1327" s="15"/>
      <c r="G1327" s="4"/>
    </row>
    <row r="1328" ht="14.25" customHeight="1">
      <c r="A1328" s="8" t="s">
        <v>1265</v>
      </c>
      <c r="B1328" s="8">
        <v>6.8</v>
      </c>
      <c r="C1328" s="4" t="str">
        <f>IFERROR(__xludf.DUMMYFUNCTION("""COMPUTED_VALUE"""),"George Roy Hill")</f>
        <v>George Roy Hill</v>
      </c>
      <c r="D1328" s="31">
        <f t="shared" si="1"/>
        <v>8.2</v>
      </c>
      <c r="E1328" s="4">
        <f t="shared" si="2"/>
        <v>2</v>
      </c>
      <c r="F1328" s="15"/>
      <c r="G1328" s="4"/>
    </row>
    <row r="1329" ht="14.25" customHeight="1">
      <c r="A1329" s="8" t="s">
        <v>1314</v>
      </c>
      <c r="B1329" s="8">
        <v>6.3</v>
      </c>
      <c r="C1329" s="4" t="str">
        <f>IFERROR(__xludf.DUMMYFUNCTION("""COMPUTED_VALUE"""),"Robert Stevenson")</f>
        <v>Robert Stevenson</v>
      </c>
      <c r="D1329" s="31">
        <f t="shared" si="1"/>
        <v>7.8</v>
      </c>
      <c r="E1329" s="4">
        <f t="shared" si="2"/>
        <v>1</v>
      </c>
      <c r="F1329" s="15"/>
      <c r="G1329" s="4"/>
    </row>
    <row r="1330" ht="14.25" customHeight="1">
      <c r="A1330" s="8" t="s">
        <v>2904</v>
      </c>
      <c r="B1330" s="8">
        <v>5.9</v>
      </c>
      <c r="C1330" s="4" t="str">
        <f>IFERROR(__xludf.DUMMYFUNCTION("""COMPUTED_VALUE"""),"Jerome Robbins")</f>
        <v>Jerome Robbins</v>
      </c>
      <c r="D1330" s="31">
        <f t="shared" si="1"/>
        <v>7.6</v>
      </c>
      <c r="E1330" s="4">
        <f t="shared" si="2"/>
        <v>1</v>
      </c>
      <c r="F1330" s="15"/>
      <c r="G1330" s="4"/>
    </row>
    <row r="1331" ht="14.25" customHeight="1">
      <c r="A1331" s="8" t="s">
        <v>1095</v>
      </c>
      <c r="B1331" s="8">
        <v>7.4</v>
      </c>
      <c r="C1331" s="4" t="str">
        <f>IFERROR(__xludf.DUMMYFUNCTION("""COMPUTED_VALUE"""),"Gary Hardwick")</f>
        <v>Gary Hardwick</v>
      </c>
      <c r="D1331" s="31">
        <f t="shared" si="1"/>
        <v>6.3</v>
      </c>
      <c r="E1331" s="4">
        <f t="shared" si="2"/>
        <v>1</v>
      </c>
      <c r="F1331" s="15"/>
      <c r="G1331" s="4"/>
    </row>
    <row r="1332" ht="14.25" customHeight="1">
      <c r="A1332" s="8" t="s">
        <v>1985</v>
      </c>
      <c r="B1332" s="8">
        <v>8.3</v>
      </c>
      <c r="C1332" s="4" t="str">
        <f>IFERROR(__xludf.DUMMYFUNCTION("""COMPUTED_VALUE"""),"King Vidor")</f>
        <v>King Vidor</v>
      </c>
      <c r="D1332" s="31">
        <f t="shared" si="1"/>
        <v>6.9</v>
      </c>
      <c r="E1332" s="4">
        <f t="shared" si="2"/>
        <v>1</v>
      </c>
      <c r="F1332" s="15"/>
      <c r="G1332" s="4"/>
    </row>
    <row r="1333" ht="14.25" customHeight="1">
      <c r="A1333" s="8" t="s">
        <v>255</v>
      </c>
      <c r="B1333" s="8">
        <v>6.2</v>
      </c>
      <c r="C1333" s="4" t="str">
        <f>IFERROR(__xludf.DUMMYFUNCTION("""COMPUTED_VALUE"""),"Fred Savage")</f>
        <v>Fred Savage</v>
      </c>
      <c r="D1333" s="31">
        <f t="shared" si="1"/>
        <v>2.9</v>
      </c>
      <c r="E1333" s="4">
        <f t="shared" si="2"/>
        <v>1</v>
      </c>
      <c r="F1333" s="15"/>
      <c r="G1333" s="4"/>
    </row>
    <row r="1334" ht="14.25" customHeight="1">
      <c r="A1334" s="8" t="s">
        <v>820</v>
      </c>
      <c r="B1334" s="8">
        <v>6.3</v>
      </c>
      <c r="C1334" s="4" t="str">
        <f>IFERROR(__xludf.DUMMYFUNCTION("""COMPUTED_VALUE"""),"Rusty Cundieff")</f>
        <v>Rusty Cundieff</v>
      </c>
      <c r="D1334" s="31">
        <f t="shared" si="1"/>
        <v>6.1</v>
      </c>
      <c r="E1334" s="4">
        <f t="shared" si="2"/>
        <v>1</v>
      </c>
      <c r="F1334" s="15"/>
      <c r="G1334" s="4"/>
    </row>
    <row r="1335" ht="14.25" customHeight="1">
      <c r="A1335" s="8" t="s">
        <v>620</v>
      </c>
      <c r="B1335" s="8">
        <v>5.8</v>
      </c>
      <c r="C1335" s="4" t="str">
        <f>IFERROR(__xludf.DUMMYFUNCTION("""COMPUTED_VALUE"""),"Kevin Macdonald")</f>
        <v>Kevin Macdonald</v>
      </c>
      <c r="D1335" s="31">
        <f t="shared" si="1"/>
        <v>7.7</v>
      </c>
      <c r="E1335" s="4">
        <f t="shared" si="2"/>
        <v>1</v>
      </c>
      <c r="F1335" s="15"/>
      <c r="G1335" s="4"/>
    </row>
    <row r="1336" ht="14.25" customHeight="1">
      <c r="A1336" s="8" t="s">
        <v>2511</v>
      </c>
      <c r="B1336" s="8">
        <v>7.5</v>
      </c>
      <c r="C1336" s="4" t="str">
        <f>IFERROR(__xludf.DUMMYFUNCTION("""COMPUTED_VALUE"""),"Dominique Othenin-Girard")</f>
        <v>Dominique Othenin-Girard</v>
      </c>
      <c r="D1336" s="31">
        <f t="shared" si="1"/>
        <v>5.2</v>
      </c>
      <c r="E1336" s="4">
        <f t="shared" si="2"/>
        <v>1</v>
      </c>
      <c r="F1336" s="15"/>
      <c r="G1336" s="4"/>
    </row>
    <row r="1337" ht="14.25" customHeight="1">
      <c r="A1337" s="8" t="s">
        <v>1026</v>
      </c>
      <c r="B1337" s="8">
        <v>6.3</v>
      </c>
      <c r="C1337" s="4" t="str">
        <f>IFERROR(__xludf.DUMMYFUNCTION("""COMPUTED_VALUE"""),"Jean-Jacques Mantello")</f>
        <v>Jean-Jacques Mantello</v>
      </c>
      <c r="D1337" s="31">
        <f t="shared" si="1"/>
        <v>6.5</v>
      </c>
      <c r="E1337" s="4">
        <f t="shared" si="2"/>
        <v>1</v>
      </c>
      <c r="F1337" s="15"/>
      <c r="G1337" s="4"/>
    </row>
    <row r="1338" ht="14.25" customHeight="1">
      <c r="A1338" s="8" t="s">
        <v>1373</v>
      </c>
      <c r="B1338" s="8">
        <v>6.4</v>
      </c>
      <c r="C1338" s="4" t="str">
        <f>IFERROR(__xludf.DUMMYFUNCTION("""COMPUTED_VALUE"""),"Ed Harris")</f>
        <v>Ed Harris</v>
      </c>
      <c r="D1338" s="31">
        <f t="shared" si="1"/>
        <v>7</v>
      </c>
      <c r="E1338" s="4">
        <f t="shared" si="2"/>
        <v>1</v>
      </c>
      <c r="F1338" s="15"/>
      <c r="G1338" s="4"/>
    </row>
    <row r="1339" ht="14.25" customHeight="1">
      <c r="A1339" s="8" t="s">
        <v>1373</v>
      </c>
      <c r="B1339" s="8">
        <v>7.2</v>
      </c>
      <c r="C1339" s="4" t="str">
        <f>IFERROR(__xludf.DUMMYFUNCTION("""COMPUTED_VALUE"""),"Risa Bramon Garcia")</f>
        <v>Risa Bramon Garcia</v>
      </c>
      <c r="D1339" s="31">
        <f t="shared" si="1"/>
        <v>5.9</v>
      </c>
      <c r="E1339" s="4">
        <f t="shared" si="2"/>
        <v>1</v>
      </c>
      <c r="F1339" s="15"/>
      <c r="G1339" s="4"/>
    </row>
    <row r="1340" ht="14.25" customHeight="1">
      <c r="A1340" s="8" t="s">
        <v>2922</v>
      </c>
      <c r="B1340" s="8">
        <v>6.3</v>
      </c>
      <c r="C1340" s="4" t="str">
        <f>IFERROR(__xludf.DUMMYFUNCTION("""COMPUTED_VALUE"""),"Brian Klugman")</f>
        <v>Brian Klugman</v>
      </c>
      <c r="D1340" s="31">
        <f t="shared" si="1"/>
        <v>7.1</v>
      </c>
      <c r="E1340" s="4">
        <f t="shared" si="2"/>
        <v>1</v>
      </c>
      <c r="F1340" s="15"/>
      <c r="G1340" s="4"/>
    </row>
    <row r="1341" ht="14.25" customHeight="1">
      <c r="A1341" s="8" t="s">
        <v>2924</v>
      </c>
      <c r="B1341" s="8">
        <v>6.9</v>
      </c>
      <c r="C1341" s="4" t="str">
        <f>IFERROR(__xludf.DUMMYFUNCTION("""COMPUTED_VALUE"""),"Matt Piedmont")</f>
        <v>Matt Piedmont</v>
      </c>
      <c r="D1341" s="31">
        <f t="shared" si="1"/>
        <v>5.5</v>
      </c>
      <c r="E1341" s="4">
        <f t="shared" si="2"/>
        <v>1</v>
      </c>
      <c r="F1341" s="15"/>
      <c r="G1341" s="4"/>
    </row>
    <row r="1342" ht="14.25" customHeight="1">
      <c r="A1342" s="8" t="s">
        <v>1519</v>
      </c>
      <c r="B1342" s="8">
        <v>6.6</v>
      </c>
      <c r="C1342" s="4" t="str">
        <f>IFERROR(__xludf.DUMMYFUNCTION("""COMPUTED_VALUE"""),"Raymond De Felitta")</f>
        <v>Raymond De Felitta</v>
      </c>
      <c r="D1342" s="31">
        <f t="shared" si="1"/>
        <v>7.4</v>
      </c>
      <c r="E1342" s="4">
        <f t="shared" si="2"/>
        <v>1</v>
      </c>
      <c r="F1342" s="15"/>
      <c r="G1342" s="4"/>
    </row>
    <row r="1343" ht="14.25" customHeight="1">
      <c r="A1343" s="8" t="s">
        <v>2927</v>
      </c>
      <c r="B1343" s="8">
        <v>6.0</v>
      </c>
      <c r="C1343" s="4" t="str">
        <f>IFERROR(__xludf.DUMMYFUNCTION("""COMPUTED_VALUE"""),"John Michael McDonagh")</f>
        <v>John Michael McDonagh</v>
      </c>
      <c r="D1343" s="31">
        <f t="shared" si="1"/>
        <v>7.3</v>
      </c>
      <c r="E1343" s="4">
        <f t="shared" si="2"/>
        <v>1</v>
      </c>
      <c r="F1343" s="15"/>
      <c r="G1343" s="4"/>
    </row>
    <row r="1344" ht="14.25" customHeight="1">
      <c r="A1344" s="8" t="s">
        <v>868</v>
      </c>
      <c r="B1344" s="8">
        <v>7.5</v>
      </c>
      <c r="C1344" s="4" t="str">
        <f>IFERROR(__xludf.DUMMYFUNCTION("""COMPUTED_VALUE"""),"Deb Hagan")</f>
        <v>Deb Hagan</v>
      </c>
      <c r="D1344" s="31">
        <f t="shared" si="1"/>
        <v>4.6</v>
      </c>
      <c r="E1344" s="4">
        <f t="shared" si="2"/>
        <v>1</v>
      </c>
      <c r="F1344" s="15"/>
      <c r="G1344" s="4"/>
    </row>
    <row r="1345" ht="14.25" customHeight="1">
      <c r="A1345" s="8" t="s">
        <v>2048</v>
      </c>
      <c r="B1345" s="8">
        <v>7.7</v>
      </c>
      <c r="C1345" s="4" t="str">
        <f>IFERROR(__xludf.DUMMYFUNCTION("""COMPUTED_VALUE"""),"Zach Cregger")</f>
        <v>Zach Cregger</v>
      </c>
      <c r="D1345" s="31">
        <f t="shared" si="1"/>
        <v>5.1</v>
      </c>
      <c r="E1345" s="4">
        <f t="shared" si="2"/>
        <v>1</v>
      </c>
      <c r="F1345" s="15"/>
      <c r="G1345" s="4"/>
    </row>
    <row r="1346" ht="14.25" customHeight="1">
      <c r="A1346" s="8" t="s">
        <v>1314</v>
      </c>
      <c r="B1346" s="8">
        <v>6.2</v>
      </c>
      <c r="C1346" s="4" t="str">
        <f>IFERROR(__xludf.DUMMYFUNCTION("""COMPUTED_VALUE"""),"Zach Braff")</f>
        <v>Zach Braff</v>
      </c>
      <c r="D1346" s="31">
        <f t="shared" si="1"/>
        <v>7.15</v>
      </c>
      <c r="E1346" s="4">
        <f t="shared" si="2"/>
        <v>2</v>
      </c>
      <c r="F1346" s="15"/>
      <c r="G1346" s="4"/>
    </row>
    <row r="1347" ht="14.25" customHeight="1">
      <c r="A1347" s="8" t="s">
        <v>916</v>
      </c>
      <c r="B1347" s="8">
        <v>5.4</v>
      </c>
      <c r="C1347" s="4" t="str">
        <f>IFERROR(__xludf.DUMMYFUNCTION("""COMPUTED_VALUE"""),"Mark Tarlov")</f>
        <v>Mark Tarlov</v>
      </c>
      <c r="D1347" s="31">
        <f t="shared" si="1"/>
        <v>5.3</v>
      </c>
      <c r="E1347" s="4">
        <f t="shared" si="2"/>
        <v>1</v>
      </c>
      <c r="F1347" s="15"/>
      <c r="G1347" s="4"/>
    </row>
    <row r="1348" ht="14.25" customHeight="1">
      <c r="A1348" s="8" t="s">
        <v>2935</v>
      </c>
      <c r="B1348" s="8">
        <v>6.6</v>
      </c>
      <c r="C1348" s="4" t="str">
        <f>IFERROR(__xludf.DUMMYFUNCTION("""COMPUTED_VALUE"""),"John Cameron Mitchell")</f>
        <v>John Cameron Mitchell</v>
      </c>
      <c r="D1348" s="31">
        <f t="shared" si="1"/>
        <v>7.1</v>
      </c>
      <c r="E1348" s="4">
        <f t="shared" si="2"/>
        <v>3</v>
      </c>
      <c r="F1348" s="15"/>
      <c r="G1348" s="4"/>
    </row>
    <row r="1349" ht="14.25" customHeight="1">
      <c r="A1349" s="8" t="s">
        <v>2506</v>
      </c>
      <c r="B1349" s="8">
        <v>5.3</v>
      </c>
      <c r="C1349" s="4" t="str">
        <f>IFERROR(__xludf.DUMMYFUNCTION("""COMPUTED_VALUE"""),"Billy Ray")</f>
        <v>Billy Ray</v>
      </c>
      <c r="D1349" s="31">
        <f t="shared" si="1"/>
        <v>7.2</v>
      </c>
      <c r="E1349" s="4">
        <f t="shared" si="2"/>
        <v>1</v>
      </c>
      <c r="F1349" s="15"/>
      <c r="G1349" s="4"/>
    </row>
    <row r="1350" ht="14.25" customHeight="1">
      <c r="A1350" s="8" t="s">
        <v>922</v>
      </c>
      <c r="B1350" s="8">
        <v>5.6</v>
      </c>
      <c r="C1350" s="4" t="str">
        <f>IFERROR(__xludf.DUMMYFUNCTION("""COMPUTED_VALUE"""),"David Atkins")</f>
        <v>David Atkins</v>
      </c>
      <c r="D1350" s="31">
        <f t="shared" si="1"/>
        <v>5.8</v>
      </c>
      <c r="E1350" s="4">
        <f t="shared" si="2"/>
        <v>1</v>
      </c>
      <c r="F1350" s="15"/>
      <c r="G1350" s="4"/>
    </row>
    <row r="1351" ht="14.25" customHeight="1">
      <c r="A1351" s="8" t="s">
        <v>2940</v>
      </c>
      <c r="B1351" s="8">
        <v>5.9</v>
      </c>
      <c r="C1351" s="4" t="str">
        <f>IFERROR(__xludf.DUMMYFUNCTION("""COMPUTED_VALUE"""),"Sylvio Tabet")</f>
        <v>Sylvio Tabet</v>
      </c>
      <c r="D1351" s="31">
        <f t="shared" si="1"/>
        <v>3.8</v>
      </c>
      <c r="E1351" s="4">
        <f t="shared" si="2"/>
        <v>1</v>
      </c>
      <c r="F1351" s="15"/>
      <c r="G1351" s="4"/>
    </row>
    <row r="1352" ht="14.25" customHeight="1">
      <c r="A1352" s="8" t="s">
        <v>161</v>
      </c>
      <c r="B1352" s="8">
        <v>7.8</v>
      </c>
      <c r="C1352" s="4" t="str">
        <f>IFERROR(__xludf.DUMMYFUNCTION("""COMPUTED_VALUE"""),"Rick Bieber")</f>
        <v>Rick Bieber</v>
      </c>
      <c r="D1352" s="31">
        <f t="shared" si="1"/>
        <v>5.7</v>
      </c>
      <c r="E1352" s="4">
        <f t="shared" si="2"/>
        <v>1</v>
      </c>
      <c r="F1352" s="15"/>
      <c r="G1352" s="4"/>
    </row>
    <row r="1353" ht="14.25" customHeight="1">
      <c r="A1353" s="8" t="s">
        <v>983</v>
      </c>
      <c r="B1353" s="8">
        <v>6.7</v>
      </c>
      <c r="C1353" s="4" t="str">
        <f>IFERROR(__xludf.DUMMYFUNCTION("""COMPUTED_VALUE"""),"Joey Lauren Adams")</f>
        <v>Joey Lauren Adams</v>
      </c>
      <c r="D1353" s="31">
        <f t="shared" si="1"/>
        <v>6.2</v>
      </c>
      <c r="E1353" s="4">
        <f t="shared" si="2"/>
        <v>1</v>
      </c>
      <c r="F1353" s="15"/>
      <c r="G1353" s="4"/>
    </row>
    <row r="1354" ht="14.25" customHeight="1">
      <c r="A1354" s="8" t="s">
        <v>2944</v>
      </c>
      <c r="B1354" s="8">
        <v>7.4</v>
      </c>
      <c r="C1354" s="4" t="str">
        <f>IFERROR(__xludf.DUMMYFUNCTION("""COMPUTED_VALUE"""),"S.R. Bindler")</f>
        <v>S.R. Bindler</v>
      </c>
      <c r="D1354" s="31">
        <f t="shared" si="1"/>
        <v>4.7</v>
      </c>
      <c r="E1354" s="4">
        <f t="shared" si="2"/>
        <v>1</v>
      </c>
      <c r="F1354" s="15"/>
      <c r="G1354" s="4"/>
    </row>
    <row r="1355" ht="14.25" customHeight="1">
      <c r="A1355" s="8" t="s">
        <v>2831</v>
      </c>
      <c r="B1355" s="8">
        <v>6.2</v>
      </c>
      <c r="C1355" s="4" t="str">
        <f>IFERROR(__xludf.DUMMYFUNCTION("""COMPUTED_VALUE"""),"CÃ©dric Klapisch")</f>
        <v>CÃ©dric Klapisch</v>
      </c>
      <c r="D1355" s="31">
        <f t="shared" si="1"/>
        <v>7.1</v>
      </c>
      <c r="E1355" s="4">
        <f t="shared" si="2"/>
        <v>2</v>
      </c>
      <c r="F1355" s="15"/>
      <c r="G1355" s="4"/>
    </row>
    <row r="1356" ht="14.25" customHeight="1">
      <c r="A1356" s="8" t="s">
        <v>866</v>
      </c>
      <c r="B1356" s="8">
        <v>5.4</v>
      </c>
      <c r="C1356" s="4" t="str">
        <f>IFERROR(__xludf.DUMMYFUNCTION("""COMPUTED_VALUE"""),"Kate Barker-Froyland")</f>
        <v>Kate Barker-Froyland</v>
      </c>
      <c r="D1356" s="31">
        <f t="shared" si="1"/>
        <v>5.8</v>
      </c>
      <c r="E1356" s="4">
        <f t="shared" si="2"/>
        <v>1</v>
      </c>
      <c r="F1356" s="15"/>
      <c r="G1356" s="4"/>
    </row>
    <row r="1357" ht="14.25" customHeight="1">
      <c r="A1357" s="8" t="s">
        <v>2152</v>
      </c>
      <c r="B1357" s="8">
        <v>6.7</v>
      </c>
      <c r="C1357" s="4" t="str">
        <f>IFERROR(__xludf.DUMMYFUNCTION("""COMPUTED_VALUE"""),"Martin Koolhoven")</f>
        <v>Martin Koolhoven</v>
      </c>
      <c r="D1357" s="31">
        <f t="shared" si="1"/>
        <v>7.1</v>
      </c>
      <c r="E1357" s="4">
        <f t="shared" si="2"/>
        <v>1</v>
      </c>
      <c r="F1357" s="15"/>
      <c r="G1357" s="4"/>
    </row>
    <row r="1358" ht="14.25" customHeight="1">
      <c r="A1358" s="8" t="s">
        <v>2951</v>
      </c>
      <c r="B1358" s="8">
        <v>5.3</v>
      </c>
      <c r="C1358" s="4" t="str">
        <f>IFERROR(__xludf.DUMMYFUNCTION("""COMPUTED_VALUE"""),"Prachya Pinkaew")</f>
        <v>Prachya Pinkaew</v>
      </c>
      <c r="D1358" s="31">
        <f t="shared" si="1"/>
        <v>7.1</v>
      </c>
      <c r="E1358" s="4">
        <f t="shared" si="2"/>
        <v>1</v>
      </c>
      <c r="F1358" s="15"/>
      <c r="G1358" s="4"/>
    </row>
    <row r="1359" ht="14.25" customHeight="1">
      <c r="A1359" s="8" t="s">
        <v>2954</v>
      </c>
      <c r="B1359" s="8">
        <v>5.9</v>
      </c>
      <c r="C1359" s="4" t="str">
        <f>IFERROR(__xludf.DUMMYFUNCTION("""COMPUTED_VALUE"""),"Darren Grant")</f>
        <v>Darren Grant</v>
      </c>
      <c r="D1359" s="31">
        <f t="shared" si="1"/>
        <v>5.6</v>
      </c>
      <c r="E1359" s="4">
        <f t="shared" si="2"/>
        <v>1</v>
      </c>
      <c r="F1359" s="15"/>
      <c r="G1359" s="4"/>
    </row>
    <row r="1360" ht="14.25" customHeight="1">
      <c r="A1360" s="8" t="s">
        <v>2957</v>
      </c>
      <c r="B1360" s="8">
        <v>4.8</v>
      </c>
      <c r="C1360" s="4" t="str">
        <f>IFERROR(__xludf.DUMMYFUNCTION("""COMPUTED_VALUE"""),"Joseph Gordon-Levitt")</f>
        <v>Joseph Gordon-Levitt</v>
      </c>
      <c r="D1360" s="31">
        <f t="shared" si="1"/>
        <v>6.6</v>
      </c>
      <c r="E1360" s="4">
        <f t="shared" si="2"/>
        <v>1</v>
      </c>
      <c r="F1360" s="15"/>
      <c r="G1360" s="4"/>
    </row>
    <row r="1361" ht="14.25" customHeight="1">
      <c r="A1361" s="8" t="s">
        <v>2959</v>
      </c>
      <c r="B1361" s="8">
        <v>3.8</v>
      </c>
      <c r="C1361" s="4" t="str">
        <f>IFERROR(__xludf.DUMMYFUNCTION("""COMPUTED_VALUE"""),"Christophe Barratier")</f>
        <v>Christophe Barratier</v>
      </c>
      <c r="D1361" s="31">
        <f t="shared" si="1"/>
        <v>7.9</v>
      </c>
      <c r="E1361" s="4">
        <f t="shared" si="2"/>
        <v>1</v>
      </c>
      <c r="F1361" s="15"/>
      <c r="G1361" s="4"/>
    </row>
    <row r="1362" ht="14.25" customHeight="1">
      <c r="A1362" s="8" t="s">
        <v>1550</v>
      </c>
      <c r="B1362" s="8">
        <v>8.5</v>
      </c>
      <c r="C1362" s="4" t="str">
        <f>IFERROR(__xludf.DUMMYFUNCTION("""COMPUTED_VALUE"""),"Ã‰mile Gaudreault")</f>
        <v>Ã‰mile Gaudreault</v>
      </c>
      <c r="D1362" s="31">
        <f t="shared" si="1"/>
        <v>6.7</v>
      </c>
      <c r="E1362" s="4">
        <f t="shared" si="2"/>
        <v>1</v>
      </c>
      <c r="F1362" s="15"/>
      <c r="G1362" s="4"/>
    </row>
    <row r="1363" ht="14.25" customHeight="1">
      <c r="A1363" s="8" t="s">
        <v>2447</v>
      </c>
      <c r="B1363" s="8">
        <v>6.8</v>
      </c>
      <c r="C1363" s="4" t="str">
        <f>IFERROR(__xludf.DUMMYFUNCTION("""COMPUTED_VALUE"""),"James Cox")</f>
        <v>James Cox</v>
      </c>
      <c r="D1363" s="31">
        <f t="shared" si="1"/>
        <v>6.6</v>
      </c>
      <c r="E1363" s="4">
        <f t="shared" si="2"/>
        <v>1</v>
      </c>
      <c r="F1363" s="15"/>
      <c r="G1363" s="4"/>
    </row>
    <row r="1364" ht="14.25" customHeight="1">
      <c r="A1364" s="8" t="s">
        <v>2066</v>
      </c>
      <c r="B1364" s="8">
        <v>5.3</v>
      </c>
      <c r="C1364" s="4" t="str">
        <f>IFERROR(__xludf.DUMMYFUNCTION("""COMPUTED_VALUE"""),"James Toback")</f>
        <v>James Toback</v>
      </c>
      <c r="D1364" s="31">
        <f t="shared" si="1"/>
        <v>5.25</v>
      </c>
      <c r="E1364" s="4">
        <f t="shared" si="2"/>
        <v>2</v>
      </c>
      <c r="F1364" s="15"/>
      <c r="G1364" s="4"/>
    </row>
    <row r="1365" ht="14.25" customHeight="1">
      <c r="A1365" s="8" t="s">
        <v>1251</v>
      </c>
      <c r="B1365" s="8">
        <v>7.3</v>
      </c>
      <c r="C1365" s="4" t="str">
        <f>IFERROR(__xludf.DUMMYFUNCTION("""COMPUTED_VALUE"""),"Aki KaurismÃ¤ki")</f>
        <v>Aki KaurismÃ¤ki</v>
      </c>
      <c r="D1365" s="31">
        <f t="shared" si="1"/>
        <v>7.2</v>
      </c>
      <c r="E1365" s="4">
        <f t="shared" si="2"/>
        <v>1</v>
      </c>
      <c r="F1365" s="15"/>
      <c r="G1365" s="4"/>
    </row>
    <row r="1366" ht="14.25" customHeight="1">
      <c r="A1366" s="8" t="s">
        <v>1506</v>
      </c>
      <c r="B1366" s="8">
        <v>6.6</v>
      </c>
      <c r="C1366" s="4" t="str">
        <f>IFERROR(__xludf.DUMMYFUNCTION("""COMPUTED_VALUE"""),"Hitoshi Matsumoto")</f>
        <v>Hitoshi Matsumoto</v>
      </c>
      <c r="D1366" s="31">
        <f t="shared" si="1"/>
        <v>6.1</v>
      </c>
      <c r="E1366" s="4">
        <f t="shared" si="2"/>
        <v>1</v>
      </c>
      <c r="F1366" s="15"/>
      <c r="G1366" s="4"/>
    </row>
    <row r="1367" ht="14.25" customHeight="1">
      <c r="A1367" s="8" t="s">
        <v>2969</v>
      </c>
      <c r="B1367" s="8">
        <v>6.2</v>
      </c>
      <c r="C1367" s="4" t="str">
        <f>IFERROR(__xludf.DUMMYFUNCTION("""COMPUTED_VALUE"""),"George Ratliff")</f>
        <v>George Ratliff</v>
      </c>
      <c r="D1367" s="31">
        <f t="shared" si="1"/>
        <v>5.3</v>
      </c>
      <c r="E1367" s="4">
        <f t="shared" si="2"/>
        <v>1</v>
      </c>
      <c r="F1367" s="15"/>
      <c r="G1367" s="4"/>
    </row>
    <row r="1368" ht="14.25" customHeight="1">
      <c r="A1368" s="8" t="s">
        <v>2971</v>
      </c>
      <c r="B1368" s="8">
        <v>5.2</v>
      </c>
      <c r="C1368" s="4" t="str">
        <f>IFERROR(__xludf.DUMMYFUNCTION("""COMPUTED_VALUE"""),"Michael McGowan")</f>
        <v>Michael McGowan</v>
      </c>
      <c r="D1368" s="31">
        <f t="shared" si="1"/>
        <v>7.6</v>
      </c>
      <c r="E1368" s="4">
        <f t="shared" si="2"/>
        <v>1</v>
      </c>
      <c r="F1368" s="15"/>
      <c r="G1368" s="4"/>
    </row>
    <row r="1369" ht="14.25" customHeight="1">
      <c r="A1369" s="8" t="s">
        <v>1127</v>
      </c>
      <c r="B1369" s="8">
        <v>6.2</v>
      </c>
      <c r="C1369" s="4" t="str">
        <f>IFERROR(__xludf.DUMMYFUNCTION("""COMPUTED_VALUE"""),"Dan Trachtenberg")</f>
        <v>Dan Trachtenberg</v>
      </c>
      <c r="D1369" s="31">
        <f t="shared" si="1"/>
        <v>7.3</v>
      </c>
      <c r="E1369" s="4">
        <f t="shared" si="2"/>
        <v>1</v>
      </c>
      <c r="F1369" s="15"/>
      <c r="G1369" s="4"/>
    </row>
    <row r="1370" ht="14.25" customHeight="1">
      <c r="A1370" s="8" t="s">
        <v>1416</v>
      </c>
      <c r="B1370" s="8">
        <v>6.2</v>
      </c>
      <c r="C1370" s="4" t="str">
        <f>IFERROR(__xludf.DUMMYFUNCTION("""COMPUTED_VALUE"""),"David F. Sandberg")</f>
        <v>David F. Sandberg</v>
      </c>
      <c r="D1370" s="31">
        <f t="shared" si="1"/>
        <v>6.9</v>
      </c>
      <c r="E1370" s="4">
        <f t="shared" si="2"/>
        <v>1</v>
      </c>
      <c r="F1370" s="15"/>
      <c r="G1370" s="4"/>
    </row>
    <row r="1371" ht="14.25" customHeight="1">
      <c r="A1371" s="8" t="s">
        <v>2976</v>
      </c>
      <c r="B1371" s="8">
        <v>6.6</v>
      </c>
      <c r="C1371" s="4" t="str">
        <f>IFERROR(__xludf.DUMMYFUNCTION("""COMPUTED_VALUE"""),"Stiles White")</f>
        <v>Stiles White</v>
      </c>
      <c r="D1371" s="31">
        <f t="shared" si="1"/>
        <v>4.4</v>
      </c>
      <c r="E1371" s="4">
        <f t="shared" si="2"/>
        <v>1</v>
      </c>
      <c r="F1371" s="15"/>
      <c r="G1371" s="4"/>
    </row>
    <row r="1372" ht="14.25" customHeight="1">
      <c r="A1372" s="8" t="s">
        <v>2839</v>
      </c>
      <c r="B1372" s="8">
        <v>6.2</v>
      </c>
      <c r="C1372" s="4" t="str">
        <f>IFERROR(__xludf.DUMMYFUNCTION("""COMPUTED_VALUE"""),"Eugenio Derbez")</f>
        <v>Eugenio Derbez</v>
      </c>
      <c r="D1372" s="31">
        <f t="shared" si="1"/>
        <v>7.6</v>
      </c>
      <c r="E1372" s="4">
        <f t="shared" si="2"/>
        <v>1</v>
      </c>
      <c r="F1372" s="15"/>
      <c r="G1372" s="4"/>
    </row>
    <row r="1373" ht="14.25" customHeight="1">
      <c r="A1373" s="8" t="s">
        <v>214</v>
      </c>
      <c r="B1373" s="8">
        <v>5.1</v>
      </c>
      <c r="C1373" s="4" t="str">
        <f>IFERROR(__xludf.DUMMYFUNCTION("""COMPUTED_VALUE"""),"Henry Koster")</f>
        <v>Henry Koster</v>
      </c>
      <c r="D1373" s="31">
        <f t="shared" si="1"/>
        <v>6.8</v>
      </c>
      <c r="E1373" s="4">
        <f t="shared" si="2"/>
        <v>1</v>
      </c>
      <c r="F1373" s="15"/>
      <c r="G1373" s="4"/>
    </row>
    <row r="1374" ht="14.25" customHeight="1">
      <c r="A1374" s="8" t="s">
        <v>1506</v>
      </c>
      <c r="B1374" s="8">
        <v>6.6</v>
      </c>
      <c r="C1374" s="4" t="str">
        <f>IFERROR(__xludf.DUMMYFUNCTION("""COMPUTED_VALUE"""),"Patty Jenkins")</f>
        <v>Patty Jenkins</v>
      </c>
      <c r="D1374" s="31">
        <f t="shared" si="1"/>
        <v>7.3</v>
      </c>
      <c r="E1374" s="4">
        <f t="shared" si="2"/>
        <v>1</v>
      </c>
      <c r="F1374" s="15"/>
      <c r="G1374" s="4"/>
    </row>
    <row r="1375" ht="14.25" customHeight="1">
      <c r="A1375" s="8" t="s">
        <v>2983</v>
      </c>
      <c r="B1375" s="8">
        <v>6.1</v>
      </c>
      <c r="C1375" s="4" t="str">
        <f>IFERROR(__xludf.DUMMYFUNCTION("""COMPUTED_VALUE"""),"Christopher Landon")</f>
        <v>Christopher Landon</v>
      </c>
      <c r="D1375" s="31">
        <f t="shared" si="1"/>
        <v>5</v>
      </c>
      <c r="E1375" s="4">
        <f t="shared" si="2"/>
        <v>1</v>
      </c>
      <c r="F1375" s="15"/>
      <c r="G1375" s="4"/>
    </row>
    <row r="1376" ht="14.25" customHeight="1">
      <c r="A1376" s="8" t="s">
        <v>2198</v>
      </c>
      <c r="B1376" s="8">
        <v>6.6</v>
      </c>
      <c r="C1376" s="4" t="str">
        <f>IFERROR(__xludf.DUMMYFUNCTION("""COMPUTED_VALUE"""),"David Gelb")</f>
        <v>David Gelb</v>
      </c>
      <c r="D1376" s="31">
        <f t="shared" si="1"/>
        <v>5.2</v>
      </c>
      <c r="E1376" s="4">
        <f t="shared" si="2"/>
        <v>1</v>
      </c>
      <c r="F1376" s="15"/>
      <c r="G1376" s="4"/>
    </row>
    <row r="1377" ht="14.25" customHeight="1">
      <c r="A1377" s="8" t="s">
        <v>2988</v>
      </c>
      <c r="B1377" s="8">
        <v>5.9</v>
      </c>
      <c r="C1377" s="4" t="str">
        <f>IFERROR(__xludf.DUMMYFUNCTION("""COMPUTED_VALUE"""),"Mike Flanagan")</f>
        <v>Mike Flanagan</v>
      </c>
      <c r="D1377" s="31">
        <f t="shared" si="1"/>
        <v>6.5</v>
      </c>
      <c r="E1377" s="4">
        <f t="shared" si="2"/>
        <v>1</v>
      </c>
      <c r="F1377" s="15"/>
      <c r="G1377" s="4"/>
    </row>
    <row r="1378" ht="14.25" customHeight="1">
      <c r="A1378" s="8" t="s">
        <v>2991</v>
      </c>
      <c r="B1378" s="8">
        <v>6.3</v>
      </c>
      <c r="C1378" s="4" t="str">
        <f>IFERROR(__xludf.DUMMYFUNCTION("""COMPUTED_VALUE"""),"Nat Faxon")</f>
        <v>Nat Faxon</v>
      </c>
      <c r="D1378" s="31">
        <f t="shared" si="1"/>
        <v>7.4</v>
      </c>
      <c r="E1378" s="4">
        <f t="shared" si="2"/>
        <v>1</v>
      </c>
      <c r="F1378" s="15"/>
      <c r="G1378" s="4"/>
    </row>
    <row r="1379" ht="14.25" customHeight="1">
      <c r="A1379" s="8" t="s">
        <v>2993</v>
      </c>
      <c r="B1379" s="8">
        <v>7.1</v>
      </c>
      <c r="C1379" s="4" t="str">
        <f>IFERROR(__xludf.DUMMYFUNCTION("""COMPUTED_VALUE"""),"George Jackson")</f>
        <v>George Jackson</v>
      </c>
      <c r="D1379" s="31">
        <f t="shared" si="1"/>
        <v>5.1</v>
      </c>
      <c r="E1379" s="4">
        <f t="shared" si="2"/>
        <v>1</v>
      </c>
      <c r="F1379" s="15"/>
      <c r="G1379" s="4"/>
    </row>
    <row r="1380" ht="14.25" customHeight="1">
      <c r="A1380" s="8" t="s">
        <v>1205</v>
      </c>
      <c r="B1380" s="8">
        <v>5.0</v>
      </c>
      <c r="C1380" s="4" t="str">
        <f>IFERROR(__xludf.DUMMYFUNCTION("""COMPUTED_VALUE"""),"Maurice Joyce")</f>
        <v>Maurice Joyce</v>
      </c>
      <c r="D1380" s="31">
        <f t="shared" si="1"/>
        <v>5</v>
      </c>
      <c r="E1380" s="4">
        <f t="shared" si="2"/>
        <v>1</v>
      </c>
      <c r="F1380" s="15"/>
      <c r="G1380" s="4"/>
    </row>
    <row r="1381" ht="14.25" customHeight="1">
      <c r="A1381" s="8" t="s">
        <v>2997</v>
      </c>
      <c r="B1381" s="8">
        <v>5.6</v>
      </c>
      <c r="C1381" s="4" t="str">
        <f>IFERROR(__xludf.DUMMYFUNCTION("""COMPUTED_VALUE"""),"Robert Duvall")</f>
        <v>Robert Duvall</v>
      </c>
      <c r="D1381" s="31">
        <f t="shared" si="1"/>
        <v>7.2</v>
      </c>
      <c r="E1381" s="4">
        <f t="shared" si="2"/>
        <v>1</v>
      </c>
      <c r="F1381" s="15"/>
      <c r="G1381" s="4"/>
    </row>
    <row r="1382" ht="14.25" customHeight="1">
      <c r="A1382" s="8" t="s">
        <v>1985</v>
      </c>
      <c r="B1382" s="8">
        <v>7.4</v>
      </c>
      <c r="C1382" s="4" t="str">
        <f>IFERROR(__xludf.DUMMYFUNCTION("""COMPUTED_VALUE"""),"Jesse Peretz")</f>
        <v>Jesse Peretz</v>
      </c>
      <c r="D1382" s="31">
        <f t="shared" si="1"/>
        <v>5.95</v>
      </c>
      <c r="E1382" s="4">
        <f t="shared" si="2"/>
        <v>2</v>
      </c>
      <c r="F1382" s="15"/>
      <c r="G1382" s="4"/>
    </row>
    <row r="1383" ht="14.25" customHeight="1">
      <c r="A1383" s="8" t="s">
        <v>3001</v>
      </c>
      <c r="B1383" s="8">
        <v>4.5</v>
      </c>
      <c r="C1383" s="4" t="str">
        <f>IFERROR(__xludf.DUMMYFUNCTION("""COMPUTED_VALUE"""),"Ice Cube")</f>
        <v>Ice Cube</v>
      </c>
      <c r="D1383" s="31">
        <f t="shared" si="1"/>
        <v>5.6</v>
      </c>
      <c r="E1383" s="4">
        <f t="shared" si="2"/>
        <v>1</v>
      </c>
      <c r="F1383" s="15"/>
      <c r="G1383" s="4"/>
    </row>
    <row r="1384" ht="14.25" customHeight="1">
      <c r="A1384" s="8" t="s">
        <v>3005</v>
      </c>
      <c r="B1384" s="8">
        <v>6.2</v>
      </c>
      <c r="C1384" s="4" t="str">
        <f>IFERROR(__xludf.DUMMYFUNCTION("""COMPUTED_VALUE"""),"Richard Glatzer")</f>
        <v>Richard Glatzer</v>
      </c>
      <c r="D1384" s="31">
        <f t="shared" si="1"/>
        <v>7.3</v>
      </c>
      <c r="E1384" s="4">
        <f t="shared" si="2"/>
        <v>2</v>
      </c>
      <c r="F1384" s="15"/>
      <c r="G1384" s="4"/>
    </row>
    <row r="1385" ht="14.25" customHeight="1">
      <c r="A1385" s="8" t="s">
        <v>2511</v>
      </c>
      <c r="B1385" s="8">
        <v>5.0</v>
      </c>
      <c r="C1385" s="4" t="str">
        <f>IFERROR(__xludf.DUMMYFUNCTION("""COMPUTED_VALUE"""),"Rob Hedden")</f>
        <v>Rob Hedden</v>
      </c>
      <c r="D1385" s="31">
        <f t="shared" si="1"/>
        <v>4.5</v>
      </c>
      <c r="E1385" s="4">
        <f t="shared" si="2"/>
        <v>1</v>
      </c>
      <c r="F1385" s="15"/>
      <c r="G1385" s="4"/>
    </row>
    <row r="1386" ht="14.25" customHeight="1">
      <c r="A1386" s="8" t="s">
        <v>1797</v>
      </c>
      <c r="B1386" s="8">
        <v>6.5</v>
      </c>
      <c r="C1386" s="4" t="str">
        <f>IFERROR(__xludf.DUMMYFUNCTION("""COMPUTED_VALUE"""),"Harmony Korine")</f>
        <v>Harmony Korine</v>
      </c>
      <c r="D1386" s="31">
        <f t="shared" si="1"/>
        <v>5.3</v>
      </c>
      <c r="E1386" s="4">
        <f t="shared" si="2"/>
        <v>1</v>
      </c>
      <c r="F1386" s="15"/>
      <c r="G1386" s="4"/>
    </row>
    <row r="1387" ht="14.25" customHeight="1">
      <c r="A1387" s="8" t="s">
        <v>2484</v>
      </c>
      <c r="B1387" s="8">
        <v>5.1</v>
      </c>
      <c r="C1387" s="4" t="str">
        <f>IFERROR(__xludf.DUMMYFUNCTION("""COMPUTED_VALUE"""),"Joe Chappelle")</f>
        <v>Joe Chappelle</v>
      </c>
      <c r="D1387" s="31">
        <f t="shared" si="1"/>
        <v>4.9</v>
      </c>
      <c r="E1387" s="4">
        <f t="shared" si="2"/>
        <v>1</v>
      </c>
      <c r="F1387" s="15"/>
      <c r="G1387" s="4"/>
    </row>
    <row r="1388" ht="14.25" customHeight="1">
      <c r="A1388" s="8" t="s">
        <v>1928</v>
      </c>
      <c r="B1388" s="8">
        <v>6.5</v>
      </c>
      <c r="C1388" s="4" t="str">
        <f>IFERROR(__xludf.DUMMYFUNCTION("""COMPUTED_VALUE"""),"Mickey Liddell")</f>
        <v>Mickey Liddell</v>
      </c>
      <c r="D1388" s="31">
        <f t="shared" si="1"/>
        <v>3.8</v>
      </c>
      <c r="E1388" s="4">
        <f t="shared" si="2"/>
        <v>1</v>
      </c>
      <c r="F1388" s="15"/>
      <c r="G1388" s="4"/>
    </row>
    <row r="1389" ht="14.25" customHeight="1">
      <c r="A1389" s="8" t="s">
        <v>1535</v>
      </c>
      <c r="B1389" s="8">
        <v>6.2</v>
      </c>
      <c r="C1389" s="4" t="str">
        <f>IFERROR(__xludf.DUMMYFUNCTION("""COMPUTED_VALUE"""),"Fred Walton")</f>
        <v>Fred Walton</v>
      </c>
      <c r="D1389" s="31">
        <f t="shared" si="1"/>
        <v>6.2</v>
      </c>
      <c r="E1389" s="4">
        <f t="shared" si="2"/>
        <v>1</v>
      </c>
      <c r="F1389" s="15"/>
      <c r="G1389" s="4"/>
    </row>
    <row r="1390" ht="14.25" customHeight="1">
      <c r="A1390" s="8" t="s">
        <v>2095</v>
      </c>
      <c r="B1390" s="8">
        <v>6.3</v>
      </c>
      <c r="C1390" s="4" t="str">
        <f>IFERROR(__xludf.DUMMYFUNCTION("""COMPUTED_VALUE"""),"Steve Carver")</f>
        <v>Steve Carver</v>
      </c>
      <c r="D1390" s="31">
        <f t="shared" si="1"/>
        <v>6.3</v>
      </c>
      <c r="E1390" s="4">
        <f t="shared" si="2"/>
        <v>1</v>
      </c>
      <c r="F1390" s="15"/>
      <c r="G1390" s="4"/>
    </row>
    <row r="1391" ht="14.25" customHeight="1">
      <c r="A1391" s="8" t="s">
        <v>2413</v>
      </c>
      <c r="B1391" s="8">
        <v>3.8</v>
      </c>
      <c r="C1391" s="4" t="str">
        <f>IFERROR(__xludf.DUMMYFUNCTION("""COMPUTED_VALUE"""),"Gonzalo LÃ³pez-Gallego")</f>
        <v>Gonzalo LÃ³pez-Gallego</v>
      </c>
      <c r="D1391" s="31">
        <f t="shared" si="1"/>
        <v>5.2</v>
      </c>
      <c r="E1391" s="4">
        <f t="shared" si="2"/>
        <v>1</v>
      </c>
      <c r="F1391" s="15"/>
      <c r="G1391" s="4"/>
    </row>
    <row r="1392" ht="14.25" customHeight="1">
      <c r="A1392" s="8" t="s">
        <v>1640</v>
      </c>
      <c r="B1392" s="8">
        <v>6.2</v>
      </c>
      <c r="C1392" s="4" t="str">
        <f>IFERROR(__xludf.DUMMYFUNCTION("""COMPUTED_VALUE"""),"Christine Jeffs")</f>
        <v>Christine Jeffs</v>
      </c>
      <c r="D1392" s="31">
        <f t="shared" si="1"/>
        <v>6.9</v>
      </c>
      <c r="E1392" s="4">
        <f t="shared" si="2"/>
        <v>1</v>
      </c>
      <c r="F1392" s="15"/>
      <c r="G1392" s="4"/>
    </row>
    <row r="1393" ht="14.25" customHeight="1">
      <c r="A1393" s="8" t="s">
        <v>963</v>
      </c>
      <c r="B1393" s="8">
        <v>5.7</v>
      </c>
      <c r="C1393" s="4" t="str">
        <f>IFERROR(__xludf.DUMMYFUNCTION("""COMPUTED_VALUE"""),"Michael Tiddes")</f>
        <v>Michael Tiddes</v>
      </c>
      <c r="D1393" s="31">
        <f t="shared" si="1"/>
        <v>4.433333333</v>
      </c>
      <c r="E1393" s="4">
        <f t="shared" si="2"/>
        <v>3</v>
      </c>
      <c r="F1393" s="15"/>
      <c r="G1393" s="4"/>
    </row>
    <row r="1394" ht="14.25" customHeight="1">
      <c r="A1394" s="8" t="s">
        <v>2617</v>
      </c>
      <c r="B1394" s="8">
        <v>6.7</v>
      </c>
      <c r="C1394" s="4" t="str">
        <f>IFERROR(__xludf.DUMMYFUNCTION("""COMPUTED_VALUE"""),"Bill Duke")</f>
        <v>Bill Duke</v>
      </c>
      <c r="D1394" s="31">
        <f t="shared" si="1"/>
        <v>6.1</v>
      </c>
      <c r="E1394" s="4">
        <f t="shared" si="2"/>
        <v>1</v>
      </c>
      <c r="F1394" s="15"/>
      <c r="G1394" s="4"/>
    </row>
    <row r="1395" ht="14.25" customHeight="1">
      <c r="A1395" s="8" t="s">
        <v>3025</v>
      </c>
      <c r="B1395" s="8">
        <v>6.8</v>
      </c>
      <c r="C1395" s="4" t="str">
        <f>IFERROR(__xludf.DUMMYFUNCTION("""COMPUTED_VALUE"""),"Mamoru Hosoda")</f>
        <v>Mamoru Hosoda</v>
      </c>
      <c r="D1395" s="31">
        <f t="shared" si="1"/>
        <v>5.9</v>
      </c>
      <c r="E1395" s="4">
        <f t="shared" si="2"/>
        <v>1</v>
      </c>
      <c r="F1395" s="15"/>
      <c r="G1395" s="4"/>
    </row>
    <row r="1396" ht="14.25" customHeight="1">
      <c r="A1396" s="8" t="s">
        <v>1100</v>
      </c>
      <c r="B1396" s="8">
        <v>6.0</v>
      </c>
      <c r="C1396" s="4" t="str">
        <f>IFERROR(__xludf.DUMMYFUNCTION("""COMPUTED_VALUE"""),"Brian Dannelly")</f>
        <v>Brian Dannelly</v>
      </c>
      <c r="D1396" s="31">
        <f t="shared" si="1"/>
        <v>6.9</v>
      </c>
      <c r="E1396" s="4">
        <f t="shared" si="2"/>
        <v>1</v>
      </c>
      <c r="F1396" s="15"/>
      <c r="G1396" s="4"/>
    </row>
    <row r="1397" ht="14.25" customHeight="1">
      <c r="A1397" s="8" t="s">
        <v>3030</v>
      </c>
      <c r="B1397" s="8">
        <v>7.3</v>
      </c>
      <c r="C1397" s="4" t="str">
        <f>IFERROR(__xludf.DUMMYFUNCTION("""COMPUTED_VALUE"""),"Denys Arcand")</f>
        <v>Denys Arcand</v>
      </c>
      <c r="D1397" s="31">
        <f t="shared" si="1"/>
        <v>7.7</v>
      </c>
      <c r="E1397" s="4">
        <f t="shared" si="2"/>
        <v>1</v>
      </c>
      <c r="F1397" s="15"/>
      <c r="G1397" s="4"/>
    </row>
    <row r="1398" ht="14.25" customHeight="1">
      <c r="A1398" s="8" t="s">
        <v>702</v>
      </c>
      <c r="B1398" s="8">
        <v>5.5</v>
      </c>
      <c r="C1398" s="4" t="str">
        <f>IFERROR(__xludf.DUMMYFUNCTION("""COMPUTED_VALUE"""),"J.S. Cardone")</f>
        <v>J.S. Cardone</v>
      </c>
      <c r="D1398" s="31">
        <f t="shared" si="1"/>
        <v>5.3</v>
      </c>
      <c r="E1398" s="4">
        <f t="shared" si="2"/>
        <v>1</v>
      </c>
      <c r="F1398" s="15"/>
      <c r="G1398" s="4"/>
    </row>
    <row r="1399" ht="14.25" customHeight="1">
      <c r="A1399" s="8" t="s">
        <v>1999</v>
      </c>
      <c r="B1399" s="8">
        <v>6.7</v>
      </c>
      <c r="C1399" s="4" t="str">
        <f>IFERROR(__xludf.DUMMYFUNCTION("""COMPUTED_VALUE"""),"Jay Levey")</f>
        <v>Jay Levey</v>
      </c>
      <c r="D1399" s="31">
        <f t="shared" si="1"/>
        <v>7</v>
      </c>
      <c r="E1399" s="4">
        <f t="shared" si="2"/>
        <v>1</v>
      </c>
      <c r="F1399" s="15"/>
      <c r="G1399" s="4"/>
    </row>
    <row r="1400" ht="14.25" customHeight="1">
      <c r="A1400" s="8" t="s">
        <v>3035</v>
      </c>
      <c r="B1400" s="8">
        <v>4.8</v>
      </c>
      <c r="C1400" s="4" t="str">
        <f>IFERROR(__xludf.DUMMYFUNCTION("""COMPUTED_VALUE"""),"Tamara Jenkins")</f>
        <v>Tamara Jenkins</v>
      </c>
      <c r="D1400" s="31">
        <f t="shared" si="1"/>
        <v>6.6</v>
      </c>
      <c r="E1400" s="4">
        <f t="shared" si="2"/>
        <v>1</v>
      </c>
      <c r="F1400" s="15"/>
      <c r="G1400" s="4"/>
    </row>
    <row r="1401" ht="14.25" customHeight="1">
      <c r="A1401" s="8" t="s">
        <v>218</v>
      </c>
      <c r="B1401" s="8">
        <v>5.7</v>
      </c>
      <c r="C1401" s="4" t="str">
        <f>IFERROR(__xludf.DUMMYFUNCTION("""COMPUTED_VALUE"""),"Ronan Chapalain")</f>
        <v>Ronan Chapalain</v>
      </c>
      <c r="D1401" s="31">
        <f t="shared" si="1"/>
        <v>6.9</v>
      </c>
      <c r="E1401" s="4">
        <f t="shared" si="2"/>
        <v>1</v>
      </c>
      <c r="F1401" s="15"/>
      <c r="G1401" s="4"/>
    </row>
    <row r="1402" ht="14.25" customHeight="1">
      <c r="A1402" s="8" t="s">
        <v>2050</v>
      </c>
      <c r="B1402" s="8">
        <v>5.1</v>
      </c>
      <c r="C1402" s="4" t="str">
        <f>IFERROR(__xludf.DUMMYFUNCTION("""COMPUTED_VALUE"""),"Xavier Beauvois")</f>
        <v>Xavier Beauvois</v>
      </c>
      <c r="D1402" s="31">
        <f t="shared" si="1"/>
        <v>7.2</v>
      </c>
      <c r="E1402" s="4">
        <f t="shared" si="2"/>
        <v>1</v>
      </c>
      <c r="F1402" s="15"/>
      <c r="G1402" s="4"/>
    </row>
    <row r="1403" ht="14.25" customHeight="1">
      <c r="A1403" s="8" t="s">
        <v>3041</v>
      </c>
      <c r="B1403" s="8">
        <v>6.0</v>
      </c>
      <c r="C1403" s="4" t="str">
        <f>IFERROR(__xludf.DUMMYFUNCTION("""COMPUTED_VALUE"""),"Randall Miller")</f>
        <v>Randall Miller</v>
      </c>
      <c r="D1403" s="31">
        <f t="shared" si="1"/>
        <v>6.95</v>
      </c>
      <c r="E1403" s="4">
        <f t="shared" si="2"/>
        <v>2</v>
      </c>
      <c r="F1403" s="15"/>
      <c r="G1403" s="4"/>
    </row>
    <row r="1404" ht="14.25" customHeight="1">
      <c r="A1404" s="8" t="s">
        <v>2059</v>
      </c>
      <c r="B1404" s="8">
        <v>4.2</v>
      </c>
      <c r="C1404" s="4" t="str">
        <f>IFERROR(__xludf.DUMMYFUNCTION("""COMPUTED_VALUE"""),"Dan Rush")</f>
        <v>Dan Rush</v>
      </c>
      <c r="D1404" s="31">
        <f t="shared" si="1"/>
        <v>6.4</v>
      </c>
      <c r="E1404" s="4">
        <f t="shared" si="2"/>
        <v>1</v>
      </c>
      <c r="F1404" s="15"/>
      <c r="G1404" s="4"/>
    </row>
    <row r="1405" ht="14.25" customHeight="1">
      <c r="A1405" s="8" t="s">
        <v>186</v>
      </c>
      <c r="B1405" s="8">
        <v>7.4</v>
      </c>
      <c r="C1405" s="4" t="str">
        <f>IFERROR(__xludf.DUMMYFUNCTION("""COMPUTED_VALUE"""),"Michael Cuesta")</f>
        <v>Michael Cuesta</v>
      </c>
      <c r="D1405" s="31">
        <f t="shared" si="1"/>
        <v>7.1</v>
      </c>
      <c r="E1405" s="4">
        <f t="shared" si="2"/>
        <v>2</v>
      </c>
      <c r="F1405" s="15"/>
      <c r="G1405" s="4"/>
    </row>
    <row r="1406" ht="14.25" customHeight="1">
      <c r="A1406" s="8" t="s">
        <v>3049</v>
      </c>
      <c r="B1406" s="8">
        <v>4.6</v>
      </c>
      <c r="C1406" s="4" t="str">
        <f>IFERROR(__xludf.DUMMYFUNCTION("""COMPUTED_VALUE"""),"Fenton Bailey")</f>
        <v>Fenton Bailey</v>
      </c>
      <c r="D1406" s="31">
        <f t="shared" si="1"/>
        <v>6.55</v>
      </c>
      <c r="E1406" s="4">
        <f t="shared" si="2"/>
        <v>2</v>
      </c>
      <c r="F1406" s="15"/>
      <c r="G1406" s="4"/>
    </row>
    <row r="1407" ht="14.25" customHeight="1">
      <c r="A1407" s="8" t="s">
        <v>80</v>
      </c>
      <c r="B1407" s="8">
        <v>6.9</v>
      </c>
      <c r="C1407" s="4" t="str">
        <f>IFERROR(__xludf.DUMMYFUNCTION("""COMPUTED_VALUE"""),"Jeremy Saulnier")</f>
        <v>Jeremy Saulnier</v>
      </c>
      <c r="D1407" s="31">
        <f t="shared" si="1"/>
        <v>7.1</v>
      </c>
      <c r="E1407" s="4">
        <f t="shared" si="2"/>
        <v>2</v>
      </c>
      <c r="F1407" s="15"/>
      <c r="G1407" s="4"/>
    </row>
    <row r="1408" ht="14.25" customHeight="1">
      <c r="A1408" s="8" t="s">
        <v>446</v>
      </c>
      <c r="B1408" s="8">
        <v>6.9</v>
      </c>
      <c r="C1408" s="4" t="str">
        <f>IFERROR(__xludf.DUMMYFUNCTION("""COMPUTED_VALUE"""),"James Manera")</f>
        <v>James Manera</v>
      </c>
      <c r="D1408" s="31">
        <f t="shared" si="1"/>
        <v>4.4</v>
      </c>
      <c r="E1408" s="4">
        <f t="shared" si="2"/>
        <v>1</v>
      </c>
      <c r="F1408" s="15"/>
      <c r="G1408" s="4"/>
    </row>
    <row r="1409" ht="14.25" customHeight="1">
      <c r="A1409" s="8" t="s">
        <v>1535</v>
      </c>
      <c r="B1409" s="8">
        <v>8.0</v>
      </c>
      <c r="C1409" s="4" t="str">
        <f>IFERROR(__xludf.DUMMYFUNCTION("""COMPUTED_VALUE"""),"Nicholas Fackler")</f>
        <v>Nicholas Fackler</v>
      </c>
      <c r="D1409" s="31">
        <f t="shared" si="1"/>
        <v>7.3</v>
      </c>
      <c r="E1409" s="4">
        <f t="shared" si="2"/>
        <v>1</v>
      </c>
      <c r="F1409" s="15"/>
      <c r="G1409" s="4"/>
    </row>
    <row r="1410" ht="14.25" customHeight="1">
      <c r="A1410" s="8" t="s">
        <v>3056</v>
      </c>
      <c r="B1410" s="8">
        <v>6.4</v>
      </c>
      <c r="C1410" s="4" t="str">
        <f>IFERROR(__xludf.DUMMYFUNCTION("""COMPUTED_VALUE"""),"Morgan J. Freeman")</f>
        <v>Morgan J. Freeman</v>
      </c>
      <c r="D1410" s="31">
        <f t="shared" si="1"/>
        <v>6.35</v>
      </c>
      <c r="E1410" s="4">
        <f t="shared" si="2"/>
        <v>2</v>
      </c>
      <c r="F1410" s="15"/>
      <c r="G1410" s="4"/>
    </row>
    <row r="1411" ht="14.25" customHeight="1">
      <c r="A1411" s="8" t="s">
        <v>950</v>
      </c>
      <c r="B1411" s="8">
        <v>6.3</v>
      </c>
      <c r="C1411" s="4" t="str">
        <f>IFERROR(__xludf.DUMMYFUNCTION("""COMPUTED_VALUE"""),"Klaus Menzel")</f>
        <v>Klaus Menzel</v>
      </c>
      <c r="D1411" s="31">
        <f t="shared" si="1"/>
        <v>3.3</v>
      </c>
      <c r="E1411" s="4">
        <f t="shared" si="2"/>
        <v>1</v>
      </c>
      <c r="F1411" s="15"/>
      <c r="G1411" s="4"/>
    </row>
    <row r="1412" ht="14.25" customHeight="1">
      <c r="A1412" s="8" t="s">
        <v>448</v>
      </c>
      <c r="B1412" s="8">
        <v>6.8</v>
      </c>
      <c r="C1412" s="4" t="str">
        <f>IFERROR(__xludf.DUMMYFUNCTION("""COMPUTED_VALUE"""),"William H. Macy")</f>
        <v>William H. Macy</v>
      </c>
      <c r="D1412" s="31">
        <f t="shared" si="1"/>
        <v>7.5</v>
      </c>
      <c r="E1412" s="4">
        <f t="shared" si="2"/>
        <v>1</v>
      </c>
      <c r="F1412" s="15"/>
      <c r="G1412" s="4"/>
    </row>
    <row r="1413" ht="14.25" customHeight="1">
      <c r="A1413" s="8" t="s">
        <v>1632</v>
      </c>
      <c r="B1413" s="8">
        <v>6.8</v>
      </c>
      <c r="C1413" s="4" t="str">
        <f>IFERROR(__xludf.DUMMYFUNCTION("""COMPUTED_VALUE"""),"JirÃ­ Menzel")</f>
        <v>JirÃ­ Menzel</v>
      </c>
      <c r="D1413" s="31">
        <f t="shared" si="1"/>
        <v>7.4</v>
      </c>
      <c r="E1413" s="4">
        <f t="shared" si="2"/>
        <v>1</v>
      </c>
      <c r="F1413" s="15"/>
      <c r="G1413" s="4"/>
    </row>
    <row r="1414" ht="14.25" customHeight="1">
      <c r="A1414" s="8" t="s">
        <v>3063</v>
      </c>
      <c r="B1414" s="8">
        <v>5.4</v>
      </c>
      <c r="C1414" s="4" t="str">
        <f>IFERROR(__xludf.DUMMYFUNCTION("""COMPUTED_VALUE"""),"Fatih Akin")</f>
        <v>Fatih Akin</v>
      </c>
      <c r="D1414" s="31">
        <f t="shared" si="1"/>
        <v>7.3</v>
      </c>
      <c r="E1414" s="4">
        <f t="shared" si="2"/>
        <v>1</v>
      </c>
      <c r="F1414" s="15"/>
      <c r="G1414" s="4"/>
    </row>
    <row r="1415" ht="14.25" customHeight="1">
      <c r="A1415" s="8" t="s">
        <v>208</v>
      </c>
      <c r="B1415" s="8">
        <v>7.2</v>
      </c>
      <c r="C1415" s="4" t="str">
        <f>IFERROR(__xludf.DUMMYFUNCTION("""COMPUTED_VALUE"""),"Frank LaLoggia")</f>
        <v>Frank LaLoggia</v>
      </c>
      <c r="D1415" s="31">
        <f t="shared" si="1"/>
        <v>6.7</v>
      </c>
      <c r="E1415" s="4">
        <f t="shared" si="2"/>
        <v>1</v>
      </c>
      <c r="F1415" s="15"/>
      <c r="G1415" s="4"/>
    </row>
    <row r="1416" ht="14.25" customHeight="1">
      <c r="A1416" s="8" t="s">
        <v>505</v>
      </c>
      <c r="B1416" s="8">
        <v>7.3</v>
      </c>
      <c r="C1416" s="4" t="str">
        <f>IFERROR(__xludf.DUMMYFUNCTION("""COMPUTED_VALUE"""),"Michel Leclerc")</f>
        <v>Michel Leclerc</v>
      </c>
      <c r="D1416" s="31">
        <f t="shared" si="1"/>
        <v>7.2</v>
      </c>
      <c r="E1416" s="4">
        <f t="shared" si="2"/>
        <v>1</v>
      </c>
      <c r="F1416" s="15"/>
      <c r="G1416" s="4"/>
    </row>
    <row r="1417" ht="14.25" customHeight="1">
      <c r="A1417" s="8" t="s">
        <v>3068</v>
      </c>
      <c r="B1417" s="8">
        <v>5.2</v>
      </c>
      <c r="C1417" s="4" t="str">
        <f>IFERROR(__xludf.DUMMYFUNCTION("""COMPUTED_VALUE"""),"Tom Kalin")</f>
        <v>Tom Kalin</v>
      </c>
      <c r="D1417" s="31">
        <f t="shared" si="1"/>
        <v>5.9</v>
      </c>
      <c r="E1417" s="4">
        <f t="shared" si="2"/>
        <v>1</v>
      </c>
      <c r="F1417" s="15"/>
      <c r="G1417" s="4"/>
    </row>
    <row r="1418" ht="14.25" customHeight="1">
      <c r="A1418" s="8" t="s">
        <v>743</v>
      </c>
      <c r="B1418" s="8">
        <v>5.5</v>
      </c>
      <c r="C1418" s="4" t="str">
        <f>IFERROR(__xludf.DUMMYFUNCTION("""COMPUTED_VALUE"""),"Carlos Saura")</f>
        <v>Carlos Saura</v>
      </c>
      <c r="D1418" s="31">
        <f t="shared" si="1"/>
        <v>7.2</v>
      </c>
      <c r="E1418" s="4">
        <f t="shared" si="2"/>
        <v>1</v>
      </c>
      <c r="F1418" s="15"/>
      <c r="G1418" s="4"/>
    </row>
    <row r="1419" ht="14.25" customHeight="1">
      <c r="A1419" s="8" t="s">
        <v>3073</v>
      </c>
      <c r="B1419" s="8">
        <v>7.7</v>
      </c>
      <c r="C1419" s="4" t="str">
        <f>IFERROR(__xludf.DUMMYFUNCTION("""COMPUTED_VALUE"""),"Andrew Erwin")</f>
        <v>Andrew Erwin</v>
      </c>
      <c r="D1419" s="31">
        <f t="shared" si="1"/>
        <v>5.4</v>
      </c>
      <c r="E1419" s="4">
        <f t="shared" si="2"/>
        <v>1</v>
      </c>
      <c r="F1419" s="15"/>
      <c r="G1419" s="4"/>
    </row>
    <row r="1420" ht="14.25" customHeight="1">
      <c r="A1420" s="8" t="s">
        <v>3077</v>
      </c>
      <c r="B1420" s="8">
        <v>7.1</v>
      </c>
      <c r="C1420" s="4" t="str">
        <f>IFERROR(__xludf.DUMMYFUNCTION("""COMPUTED_VALUE"""),"Mike van Diem")</f>
        <v>Mike van Diem</v>
      </c>
      <c r="D1420" s="31">
        <f t="shared" si="1"/>
        <v>7.8</v>
      </c>
      <c r="E1420" s="4">
        <f t="shared" si="2"/>
        <v>1</v>
      </c>
      <c r="F1420" s="15"/>
      <c r="G1420" s="4"/>
    </row>
    <row r="1421" ht="14.25" customHeight="1">
      <c r="A1421" s="8" t="s">
        <v>3080</v>
      </c>
      <c r="B1421" s="8">
        <v>5.3</v>
      </c>
      <c r="C1421" s="4" t="str">
        <f>IFERROR(__xludf.DUMMYFUNCTION("""COMPUTED_VALUE"""),"Jonas Ã…kerlund")</f>
        <v>Jonas Ã…kerlund</v>
      </c>
      <c r="D1421" s="31">
        <f t="shared" si="1"/>
        <v>6.8</v>
      </c>
      <c r="E1421" s="4">
        <f t="shared" si="2"/>
        <v>1</v>
      </c>
      <c r="F1421" s="15"/>
      <c r="G1421" s="4"/>
    </row>
    <row r="1422" ht="14.25" customHeight="1">
      <c r="A1422" s="8" t="s">
        <v>3082</v>
      </c>
      <c r="B1422" s="8">
        <v>5.6</v>
      </c>
      <c r="C1422" s="4" t="str">
        <f>IFERROR(__xludf.DUMMYFUNCTION("""COMPUTED_VALUE"""),"Barry Skolnick")</f>
        <v>Barry Skolnick</v>
      </c>
      <c r="D1422" s="31">
        <f t="shared" si="1"/>
        <v>6.5</v>
      </c>
      <c r="E1422" s="4">
        <f t="shared" si="2"/>
        <v>1</v>
      </c>
      <c r="F1422" s="15"/>
      <c r="G1422" s="4"/>
    </row>
    <row r="1423" ht="14.25" customHeight="1">
      <c r="A1423" s="8" t="s">
        <v>1876</v>
      </c>
      <c r="B1423" s="8">
        <v>5.7</v>
      </c>
      <c r="C1423" s="4" t="str">
        <f>IFERROR(__xludf.DUMMYFUNCTION("""COMPUTED_VALUE"""),"Johnnie To")</f>
        <v>Johnnie To</v>
      </c>
      <c r="D1423" s="31">
        <f t="shared" si="1"/>
        <v>7.3</v>
      </c>
      <c r="E1423" s="4">
        <f t="shared" si="2"/>
        <v>1</v>
      </c>
      <c r="F1423" s="15"/>
      <c r="G1423" s="4"/>
    </row>
    <row r="1424" ht="14.25" customHeight="1">
      <c r="A1424" s="8" t="s">
        <v>2653</v>
      </c>
      <c r="B1424" s="8">
        <v>7.1</v>
      </c>
      <c r="C1424" s="4" t="str">
        <f>IFERROR(__xludf.DUMMYFUNCTION("""COMPUTED_VALUE"""),"Agnieszka Wojtowicz-Vosloo")</f>
        <v>Agnieszka Wojtowicz-Vosloo</v>
      </c>
      <c r="D1424" s="31">
        <f t="shared" si="1"/>
        <v>5.9</v>
      </c>
      <c r="E1424" s="4">
        <f t="shared" si="2"/>
        <v>1</v>
      </c>
      <c r="F1424" s="15"/>
      <c r="G1424" s="4"/>
    </row>
    <row r="1425" ht="14.25" customHeight="1">
      <c r="A1425" s="8" t="s">
        <v>1580</v>
      </c>
      <c r="B1425" s="8">
        <v>7.6</v>
      </c>
      <c r="C1425" s="4" t="str">
        <f>IFERROR(__xludf.DUMMYFUNCTION("""COMPUTED_VALUE"""),"Ernie Barbarash")</f>
        <v>Ernie Barbarash</v>
      </c>
      <c r="D1425" s="31">
        <f t="shared" si="1"/>
        <v>5.8</v>
      </c>
      <c r="E1425" s="4">
        <f t="shared" si="2"/>
        <v>1</v>
      </c>
      <c r="F1425" s="15"/>
      <c r="G1425" s="4"/>
    </row>
    <row r="1426" ht="14.25" customHeight="1">
      <c r="A1426" s="8" t="s">
        <v>1404</v>
      </c>
      <c r="B1426" s="8">
        <v>5.5</v>
      </c>
      <c r="C1426" s="4" t="str">
        <f>IFERROR(__xludf.DUMMYFUNCTION("""COMPUTED_VALUE"""),"Nick Love")</f>
        <v>Nick Love</v>
      </c>
      <c r="D1426" s="31">
        <f t="shared" si="1"/>
        <v>6.1</v>
      </c>
      <c r="E1426" s="4">
        <f t="shared" si="2"/>
        <v>1</v>
      </c>
      <c r="F1426" s="15"/>
      <c r="G1426" s="4"/>
    </row>
    <row r="1427" ht="14.25" customHeight="1">
      <c r="A1427" s="8" t="s">
        <v>657</v>
      </c>
      <c r="B1427" s="8">
        <v>5.1</v>
      </c>
      <c r="C1427" s="4" t="str">
        <f>IFERROR(__xludf.DUMMYFUNCTION("""COMPUTED_VALUE"""),"R. Balki")</f>
        <v>R. Balki</v>
      </c>
      <c r="D1427" s="31">
        <f t="shared" si="1"/>
        <v>7.2</v>
      </c>
      <c r="E1427" s="4">
        <f t="shared" si="2"/>
        <v>1</v>
      </c>
      <c r="F1427" s="15"/>
      <c r="G1427" s="4"/>
    </row>
    <row r="1428" ht="14.25" customHeight="1">
      <c r="A1428" s="8" t="s">
        <v>3092</v>
      </c>
      <c r="B1428" s="8">
        <v>6.3</v>
      </c>
      <c r="C1428" s="4" t="str">
        <f>IFERROR(__xludf.DUMMYFUNCTION("""COMPUTED_VALUE"""),"Cecil B. DeMille")</f>
        <v>Cecil B. DeMille</v>
      </c>
      <c r="D1428" s="31">
        <f t="shared" si="1"/>
        <v>6.7</v>
      </c>
      <c r="E1428" s="4">
        <f t="shared" si="2"/>
        <v>1</v>
      </c>
      <c r="F1428" s="15"/>
      <c r="G1428" s="4"/>
    </row>
    <row r="1429" ht="14.25" customHeight="1">
      <c r="A1429" s="8" t="s">
        <v>3095</v>
      </c>
      <c r="B1429" s="8">
        <v>4.9</v>
      </c>
      <c r="C1429" s="4" t="str">
        <f>IFERROR(__xludf.DUMMYFUNCTION("""COMPUTED_VALUE"""),"Henry Hobson")</f>
        <v>Henry Hobson</v>
      </c>
      <c r="D1429" s="31">
        <f t="shared" si="1"/>
        <v>5.6</v>
      </c>
      <c r="E1429" s="4">
        <f t="shared" si="2"/>
        <v>1</v>
      </c>
      <c r="F1429" s="15"/>
      <c r="G1429" s="4"/>
    </row>
    <row r="1430" ht="14.25" customHeight="1">
      <c r="A1430" s="8" t="s">
        <v>3097</v>
      </c>
      <c r="B1430" s="8">
        <v>6.5</v>
      </c>
      <c r="C1430" s="4" t="str">
        <f>IFERROR(__xludf.DUMMYFUNCTION("""COMPUTED_VALUE"""),"Mike Figgis")</f>
        <v>Mike Figgis</v>
      </c>
      <c r="D1430" s="31">
        <f t="shared" si="1"/>
        <v>6.5</v>
      </c>
      <c r="E1430" s="4">
        <f t="shared" si="2"/>
        <v>2</v>
      </c>
      <c r="F1430" s="15"/>
      <c r="G1430" s="4"/>
    </row>
    <row r="1431" ht="14.25" customHeight="1">
      <c r="A1431" s="8" t="s">
        <v>2331</v>
      </c>
      <c r="B1431" s="8">
        <v>5.6</v>
      </c>
      <c r="C1431" s="4" t="str">
        <f>IFERROR(__xludf.DUMMYFUNCTION("""COMPUTED_VALUE"""),"Lisa Cholodenko")</f>
        <v>Lisa Cholodenko</v>
      </c>
      <c r="D1431" s="31">
        <f t="shared" si="1"/>
        <v>7.1</v>
      </c>
      <c r="E1431" s="4">
        <f t="shared" si="2"/>
        <v>1</v>
      </c>
      <c r="F1431" s="15"/>
      <c r="G1431" s="4"/>
    </row>
    <row r="1432" ht="14.25" customHeight="1">
      <c r="A1432" s="8" t="s">
        <v>3104</v>
      </c>
      <c r="B1432" s="8">
        <v>5.3</v>
      </c>
      <c r="C1432" s="4" t="str">
        <f>IFERROR(__xludf.DUMMYFUNCTION("""COMPUTED_VALUE"""),"Ed Gass-Donnelly")</f>
        <v>Ed Gass-Donnelly</v>
      </c>
      <c r="D1432" s="31">
        <f t="shared" si="1"/>
        <v>4</v>
      </c>
      <c r="E1432" s="4">
        <f t="shared" si="2"/>
        <v>1</v>
      </c>
      <c r="F1432" s="15"/>
      <c r="G1432" s="4"/>
    </row>
    <row r="1433" ht="14.25" customHeight="1">
      <c r="A1433" s="8" t="s">
        <v>3107</v>
      </c>
      <c r="B1433" s="8">
        <v>6.5</v>
      </c>
      <c r="C1433" s="4" t="str">
        <f>IFERROR(__xludf.DUMMYFUNCTION("""COMPUTED_VALUE"""),"DJ Pooh")</f>
        <v>DJ Pooh</v>
      </c>
      <c r="D1433" s="31">
        <f t="shared" si="1"/>
        <v>4.3</v>
      </c>
      <c r="E1433" s="4">
        <f t="shared" si="2"/>
        <v>2</v>
      </c>
      <c r="F1433" s="15"/>
      <c r="G1433" s="4"/>
    </row>
    <row r="1434" ht="14.25" customHeight="1">
      <c r="A1434" s="8" t="s">
        <v>3110</v>
      </c>
      <c r="B1434" s="8">
        <v>6.8</v>
      </c>
      <c r="C1434" s="4" t="str">
        <f>IFERROR(__xludf.DUMMYFUNCTION("""COMPUTED_VALUE"""),"Patrick Stettner")</f>
        <v>Patrick Stettner</v>
      </c>
      <c r="D1434" s="31">
        <f t="shared" si="1"/>
        <v>5.9</v>
      </c>
      <c r="E1434" s="4">
        <f t="shared" si="2"/>
        <v>1</v>
      </c>
      <c r="F1434" s="15"/>
      <c r="G1434" s="4"/>
    </row>
    <row r="1435" ht="14.25" customHeight="1">
      <c r="A1435" s="8" t="s">
        <v>3112</v>
      </c>
      <c r="B1435" s="8">
        <v>6.5</v>
      </c>
      <c r="C1435" s="4" t="str">
        <f>IFERROR(__xludf.DUMMYFUNCTION("""COMPUTED_VALUE"""),"Roger Avary")</f>
        <v>Roger Avary</v>
      </c>
      <c r="D1435" s="31">
        <f t="shared" si="1"/>
        <v>6.6</v>
      </c>
      <c r="E1435" s="4">
        <f t="shared" si="2"/>
        <v>2</v>
      </c>
      <c r="F1435" s="15"/>
      <c r="G1435" s="4"/>
    </row>
    <row r="1436" ht="14.25" customHeight="1">
      <c r="A1436" s="8" t="s">
        <v>161</v>
      </c>
      <c r="B1436" s="8">
        <v>6.0</v>
      </c>
      <c r="C1436" s="4" t="str">
        <f>IFERROR(__xludf.DUMMYFUNCTION("""COMPUTED_VALUE"""),"Allison Anders")</f>
        <v>Allison Anders</v>
      </c>
      <c r="D1436" s="31">
        <f t="shared" si="1"/>
        <v>6.4</v>
      </c>
      <c r="E1436" s="4">
        <f t="shared" si="2"/>
        <v>2</v>
      </c>
      <c r="F1436" s="15"/>
      <c r="G1436" s="4"/>
    </row>
    <row r="1437" ht="14.25" customHeight="1">
      <c r="A1437" s="8" t="s">
        <v>3115</v>
      </c>
      <c r="B1437" s="8">
        <v>8.4</v>
      </c>
      <c r="C1437" s="4" t="str">
        <f>IFERROR(__xludf.DUMMYFUNCTION("""COMPUTED_VALUE"""),"Rick de Oliveira")</f>
        <v>Rick de Oliveira</v>
      </c>
      <c r="D1437" s="31">
        <f t="shared" si="1"/>
        <v>2.7</v>
      </c>
      <c r="E1437" s="4">
        <f t="shared" si="2"/>
        <v>1</v>
      </c>
      <c r="F1437" s="15"/>
      <c r="G1437" s="4"/>
    </row>
    <row r="1438" ht="14.25" customHeight="1">
      <c r="A1438" s="8" t="s">
        <v>3117</v>
      </c>
      <c r="B1438" s="8">
        <v>6.0</v>
      </c>
      <c r="C1438" s="4" t="str">
        <f>IFERROR(__xludf.DUMMYFUNCTION("""COMPUTED_VALUE"""),"Jeff Franklin")</f>
        <v>Jeff Franklin</v>
      </c>
      <c r="D1438" s="31">
        <f t="shared" si="1"/>
        <v>5.8</v>
      </c>
      <c r="E1438" s="4">
        <f t="shared" si="2"/>
        <v>1</v>
      </c>
      <c r="F1438" s="15"/>
      <c r="G1438" s="4"/>
    </row>
    <row r="1439" ht="14.25" customHeight="1">
      <c r="A1439" s="8" t="s">
        <v>2635</v>
      </c>
      <c r="B1439" s="8">
        <v>7.6</v>
      </c>
      <c r="C1439" s="4" t="str">
        <f>IFERROR(__xludf.DUMMYFUNCTION("""COMPUTED_VALUE"""),"Mike Mills")</f>
        <v>Mike Mills</v>
      </c>
      <c r="D1439" s="31">
        <f t="shared" si="1"/>
        <v>6.9</v>
      </c>
      <c r="E1439" s="4">
        <f t="shared" si="2"/>
        <v>2</v>
      </c>
      <c r="F1439" s="15"/>
      <c r="G1439" s="4"/>
    </row>
    <row r="1440" ht="14.25" customHeight="1">
      <c r="A1440" s="8" t="s">
        <v>206</v>
      </c>
      <c r="B1440" s="8">
        <v>6.9</v>
      </c>
      <c r="C1440" s="4" t="str">
        <f>IFERROR(__xludf.DUMMYFUNCTION("""COMPUTED_VALUE"""),"Dave McKean")</f>
        <v>Dave McKean</v>
      </c>
      <c r="D1440" s="31">
        <f t="shared" si="1"/>
        <v>6.9</v>
      </c>
      <c r="E1440" s="4">
        <f t="shared" si="2"/>
        <v>1</v>
      </c>
      <c r="F1440" s="15"/>
      <c r="G1440" s="4"/>
    </row>
    <row r="1441" ht="14.25" customHeight="1">
      <c r="A1441" s="8" t="s">
        <v>300</v>
      </c>
      <c r="B1441" s="8">
        <v>6.4</v>
      </c>
      <c r="C1441" s="4" t="str">
        <f>IFERROR(__xludf.DUMMYFUNCTION("""COMPUTED_VALUE"""),"Ruggero Deodato")</f>
        <v>Ruggero Deodato</v>
      </c>
      <c r="D1441" s="31">
        <f t="shared" si="1"/>
        <v>4.8</v>
      </c>
      <c r="E1441" s="4">
        <f t="shared" si="2"/>
        <v>1</v>
      </c>
      <c r="F1441" s="15"/>
      <c r="G1441" s="4"/>
    </row>
    <row r="1442" ht="14.25" customHeight="1">
      <c r="A1442" s="8" t="s">
        <v>1669</v>
      </c>
      <c r="B1442" s="8">
        <v>5.1</v>
      </c>
      <c r="C1442" s="4" t="str">
        <f>IFERROR(__xludf.DUMMYFUNCTION("""COMPUTED_VALUE"""),"Mars Callahan")</f>
        <v>Mars Callahan</v>
      </c>
      <c r="D1442" s="31">
        <f t="shared" si="1"/>
        <v>7</v>
      </c>
      <c r="E1442" s="4">
        <f t="shared" si="2"/>
        <v>1</v>
      </c>
      <c r="F1442" s="15"/>
      <c r="G1442" s="4"/>
    </row>
    <row r="1443" ht="14.25" customHeight="1">
      <c r="A1443" s="8" t="s">
        <v>446</v>
      </c>
      <c r="B1443" s="8">
        <v>7.0</v>
      </c>
      <c r="C1443" s="4" t="str">
        <f>IFERROR(__xludf.DUMMYFUNCTION("""COMPUTED_VALUE"""),"Stefan Schwartz")</f>
        <v>Stefan Schwartz</v>
      </c>
      <c r="D1443" s="31">
        <f t="shared" si="1"/>
        <v>6.6</v>
      </c>
      <c r="E1443" s="4">
        <f t="shared" si="2"/>
        <v>1</v>
      </c>
      <c r="F1443" s="15"/>
      <c r="G1443" s="4"/>
    </row>
    <row r="1444" ht="14.25" customHeight="1">
      <c r="A1444" s="8" t="s">
        <v>3128</v>
      </c>
      <c r="B1444" s="8">
        <v>5.7</v>
      </c>
      <c r="C1444" s="4" t="str">
        <f>IFERROR(__xludf.DUMMYFUNCTION("""COMPUTED_VALUE"""),"Robert Lee King")</f>
        <v>Robert Lee King</v>
      </c>
      <c r="D1444" s="31">
        <f t="shared" si="1"/>
        <v>6.3</v>
      </c>
      <c r="E1444" s="4">
        <f t="shared" si="2"/>
        <v>1</v>
      </c>
      <c r="F1444" s="15"/>
      <c r="G1444" s="4"/>
    </row>
    <row r="1445" ht="14.25" customHeight="1">
      <c r="A1445" s="8" t="s">
        <v>411</v>
      </c>
      <c r="B1445" s="8">
        <v>6.8</v>
      </c>
      <c r="C1445" s="4" t="str">
        <f>IFERROR(__xludf.DUMMYFUNCTION("""COMPUTED_VALUE"""),"Jorge RamÃ­rez SuÃ¡rez")</f>
        <v>Jorge RamÃ­rez SuÃ¡rez</v>
      </c>
      <c r="D1445" s="31">
        <f t="shared" si="1"/>
        <v>7.7</v>
      </c>
      <c r="E1445" s="4">
        <f t="shared" si="2"/>
        <v>1</v>
      </c>
      <c r="F1445" s="15"/>
      <c r="G1445" s="4"/>
    </row>
    <row r="1446" ht="14.25" customHeight="1">
      <c r="A1446" s="8" t="s">
        <v>2458</v>
      </c>
      <c r="B1446" s="8">
        <v>6.7</v>
      </c>
      <c r="C1446" s="4" t="str">
        <f>IFERROR(__xludf.DUMMYFUNCTION("""COMPUTED_VALUE"""),"David Schwimmer")</f>
        <v>David Schwimmer</v>
      </c>
      <c r="D1446" s="31">
        <f t="shared" si="1"/>
        <v>7</v>
      </c>
      <c r="E1446" s="4">
        <f t="shared" si="2"/>
        <v>1</v>
      </c>
      <c r="F1446" s="15"/>
      <c r="G1446" s="4"/>
    </row>
    <row r="1447" ht="14.25" customHeight="1">
      <c r="A1447" s="8" t="s">
        <v>3135</v>
      </c>
      <c r="B1447" s="8">
        <v>6.2</v>
      </c>
      <c r="C1447" s="4" t="str">
        <f>IFERROR(__xludf.DUMMYFUNCTION("""COMPUTED_VALUE"""),"Fernando LeÃ³n de Aranoa")</f>
        <v>Fernando LeÃ³n de Aranoa</v>
      </c>
      <c r="D1447" s="31">
        <f t="shared" si="1"/>
        <v>7.7</v>
      </c>
      <c r="E1447" s="4">
        <f t="shared" si="2"/>
        <v>1</v>
      </c>
      <c r="F1447" s="15"/>
      <c r="G1447" s="4"/>
    </row>
    <row r="1448" ht="14.25" customHeight="1">
      <c r="A1448" s="8" t="s">
        <v>3077</v>
      </c>
      <c r="B1448" s="8">
        <v>7.2</v>
      </c>
      <c r="C1448" s="4" t="str">
        <f>IFERROR(__xludf.DUMMYFUNCTION("""COMPUTED_VALUE"""),"Jim Mickle")</f>
        <v>Jim Mickle</v>
      </c>
      <c r="D1448" s="31">
        <f t="shared" si="1"/>
        <v>6.5</v>
      </c>
      <c r="E1448" s="4">
        <f t="shared" si="2"/>
        <v>1</v>
      </c>
      <c r="F1448" s="15"/>
      <c r="G1448" s="4"/>
    </row>
    <row r="1449" ht="14.25" customHeight="1">
      <c r="A1449" s="8" t="s">
        <v>3138</v>
      </c>
      <c r="B1449" s="8">
        <v>6.2</v>
      </c>
      <c r="C1449" s="4" t="str">
        <f>IFERROR(__xludf.DUMMYFUNCTION("""COMPUTED_VALUE"""),"Karim AÃ¯nouz")</f>
        <v>Karim AÃ¯nouz</v>
      </c>
      <c r="D1449" s="31">
        <f t="shared" si="1"/>
        <v>6.1</v>
      </c>
      <c r="E1449" s="4">
        <f t="shared" si="2"/>
        <v>1</v>
      </c>
      <c r="F1449" s="15"/>
      <c r="G1449" s="4"/>
    </row>
    <row r="1450" ht="14.25" customHeight="1">
      <c r="A1450" s="8" t="s">
        <v>3140</v>
      </c>
      <c r="B1450" s="8">
        <v>5.6</v>
      </c>
      <c r="C1450" s="4" t="str">
        <f>IFERROR(__xludf.DUMMYFUNCTION("""COMPUTED_VALUE"""),"Ruba Nadda")</f>
        <v>Ruba Nadda</v>
      </c>
      <c r="D1450" s="31">
        <f t="shared" si="1"/>
        <v>5.2</v>
      </c>
      <c r="E1450" s="4">
        <f t="shared" si="2"/>
        <v>1</v>
      </c>
      <c r="F1450" s="15"/>
      <c r="G1450" s="4"/>
    </row>
    <row r="1451" ht="14.25" customHeight="1">
      <c r="A1451" s="8" t="s">
        <v>2542</v>
      </c>
      <c r="B1451" s="8">
        <v>4.4</v>
      </c>
      <c r="C1451" s="4" t="str">
        <f>IFERROR(__xludf.DUMMYFUNCTION("""COMPUTED_VALUE"""),"Victor Fleming")</f>
        <v>Victor Fleming</v>
      </c>
      <c r="D1451" s="31">
        <f t="shared" si="1"/>
        <v>8.15</v>
      </c>
      <c r="E1451" s="4">
        <f t="shared" si="2"/>
        <v>2</v>
      </c>
      <c r="F1451" s="15"/>
      <c r="G1451" s="4"/>
    </row>
    <row r="1452" ht="14.25" customHeight="1">
      <c r="A1452" s="8" t="s">
        <v>311</v>
      </c>
      <c r="B1452" s="8">
        <v>7.5</v>
      </c>
      <c r="C1452" s="4" t="str">
        <f>IFERROR(__xludf.DUMMYFUNCTION("""COMPUTED_VALUE"""),"Richard Raymond")</f>
        <v>Richard Raymond</v>
      </c>
      <c r="D1452" s="31">
        <f t="shared" si="1"/>
        <v>6</v>
      </c>
      <c r="E1452" s="4">
        <f t="shared" si="2"/>
        <v>1</v>
      </c>
      <c r="F1452" s="15"/>
      <c r="G1452" s="4"/>
    </row>
    <row r="1453" ht="14.25" customHeight="1">
      <c r="A1453" s="8" t="s">
        <v>2053</v>
      </c>
      <c r="B1453" s="8">
        <v>7.1</v>
      </c>
      <c r="C1453" s="4" t="str">
        <f>IFERROR(__xludf.DUMMYFUNCTION("""COMPUTED_VALUE"""),"Sam Peckinpah")</f>
        <v>Sam Peckinpah</v>
      </c>
      <c r="D1453" s="31">
        <f t="shared" si="1"/>
        <v>6.8</v>
      </c>
      <c r="E1453" s="4">
        <f t="shared" si="2"/>
        <v>1</v>
      </c>
      <c r="F1453" s="15"/>
      <c r="G1453" s="4"/>
    </row>
    <row r="1454" ht="14.25" customHeight="1">
      <c r="A1454" s="8" t="s">
        <v>552</v>
      </c>
      <c r="B1454" s="8">
        <v>6.4</v>
      </c>
      <c r="C1454" s="4" t="str">
        <f>IFERROR(__xludf.DUMMYFUNCTION("""COMPUTED_VALUE"""),"George Sidney")</f>
        <v>George Sidney</v>
      </c>
      <c r="D1454" s="31">
        <f t="shared" si="1"/>
        <v>7</v>
      </c>
      <c r="E1454" s="4">
        <f t="shared" si="2"/>
        <v>1</v>
      </c>
      <c r="F1454" s="15"/>
      <c r="G1454" s="4"/>
    </row>
    <row r="1455" ht="14.25" customHeight="1">
      <c r="A1455" s="8" t="s">
        <v>1700</v>
      </c>
      <c r="B1455" s="8">
        <v>7.1</v>
      </c>
      <c r="C1455" s="4" t="str">
        <f>IFERROR(__xludf.DUMMYFUNCTION("""COMPUTED_VALUE"""),"Peter Stebbings")</f>
        <v>Peter Stebbings</v>
      </c>
      <c r="D1455" s="31">
        <f t="shared" si="1"/>
        <v>6.8</v>
      </c>
      <c r="E1455" s="4">
        <f t="shared" si="2"/>
        <v>1</v>
      </c>
      <c r="F1455" s="15"/>
      <c r="G1455" s="4"/>
    </row>
    <row r="1456" ht="14.25" customHeight="1">
      <c r="A1456" s="8" t="s">
        <v>2727</v>
      </c>
      <c r="B1456" s="8">
        <v>6.9</v>
      </c>
      <c r="C1456" s="4" t="str">
        <f>IFERROR(__xludf.DUMMYFUNCTION("""COMPUTED_VALUE"""),"Vincente Minnelli")</f>
        <v>Vincente Minnelli</v>
      </c>
      <c r="D1456" s="31">
        <f t="shared" si="1"/>
        <v>7.1</v>
      </c>
      <c r="E1456" s="4">
        <f t="shared" si="2"/>
        <v>1</v>
      </c>
      <c r="F1456" s="15"/>
      <c r="G1456" s="4"/>
    </row>
    <row r="1457" ht="14.25" customHeight="1">
      <c r="A1457" s="8" t="s">
        <v>2170</v>
      </c>
      <c r="B1457" s="8">
        <v>7.5</v>
      </c>
      <c r="C1457" s="4" t="str">
        <f>IFERROR(__xludf.DUMMYFUNCTION("""COMPUTED_VALUE"""),"Dagur KÃ¡ri")</f>
        <v>Dagur KÃ¡ri</v>
      </c>
      <c r="D1457" s="31">
        <f t="shared" si="1"/>
        <v>6.9</v>
      </c>
      <c r="E1457" s="4">
        <f t="shared" si="2"/>
        <v>1</v>
      </c>
      <c r="F1457" s="15"/>
      <c r="G1457" s="4"/>
    </row>
    <row r="1458" ht="14.25" customHeight="1">
      <c r="A1458" s="8" t="s">
        <v>472</v>
      </c>
      <c r="B1458" s="8">
        <v>6.3</v>
      </c>
      <c r="C1458" s="4" t="str">
        <f>IFERROR(__xludf.DUMMYFUNCTION("""COMPUTED_VALUE"""),"Jim Abrahams")</f>
        <v>Jim Abrahams</v>
      </c>
      <c r="D1458" s="31">
        <f t="shared" si="1"/>
        <v>7.8</v>
      </c>
      <c r="E1458" s="4">
        <f t="shared" si="2"/>
        <v>1</v>
      </c>
      <c r="F1458" s="15"/>
      <c r="G1458" s="4"/>
    </row>
    <row r="1459" ht="14.25" customHeight="1">
      <c r="A1459" s="8" t="s">
        <v>33</v>
      </c>
      <c r="B1459" s="8">
        <v>6.4</v>
      </c>
      <c r="C1459" s="4" t="str">
        <f>IFERROR(__xludf.DUMMYFUNCTION("""COMPUTED_VALUE"""),"Michael Gornick")</f>
        <v>Michael Gornick</v>
      </c>
      <c r="D1459" s="31">
        <f t="shared" si="1"/>
        <v>6</v>
      </c>
      <c r="E1459" s="4">
        <f t="shared" si="2"/>
        <v>1</v>
      </c>
      <c r="F1459" s="15"/>
      <c r="G1459" s="4"/>
    </row>
    <row r="1460" ht="14.25" customHeight="1">
      <c r="A1460" s="8" t="s">
        <v>2334</v>
      </c>
      <c r="B1460" s="8">
        <v>5.9</v>
      </c>
      <c r="C1460" s="4" t="str">
        <f>IFERROR(__xludf.DUMMYFUNCTION("""COMPUTED_VALUE"""),"Robert Eggers")</f>
        <v>Robert Eggers</v>
      </c>
      <c r="D1460" s="31">
        <f t="shared" si="1"/>
        <v>6.8</v>
      </c>
      <c r="E1460" s="4">
        <f t="shared" si="2"/>
        <v>1</v>
      </c>
      <c r="F1460" s="15"/>
      <c r="G1460" s="4"/>
    </row>
    <row r="1461" ht="14.25" customHeight="1">
      <c r="A1461" s="8" t="s">
        <v>208</v>
      </c>
      <c r="B1461" s="8">
        <v>6.8</v>
      </c>
      <c r="C1461" s="4" t="str">
        <f>IFERROR(__xludf.DUMMYFUNCTION("""COMPUTED_VALUE"""),"Michael Martin")</f>
        <v>Michael Martin</v>
      </c>
      <c r="D1461" s="31">
        <f t="shared" si="1"/>
        <v>3.9</v>
      </c>
      <c r="E1461" s="4">
        <f t="shared" si="2"/>
        <v>1</v>
      </c>
      <c r="F1461" s="15"/>
      <c r="G1461" s="4"/>
    </row>
    <row r="1462" ht="14.25" customHeight="1">
      <c r="A1462" s="8" t="s">
        <v>3161</v>
      </c>
      <c r="B1462" s="8">
        <v>6.3</v>
      </c>
      <c r="C1462" s="4" t="str">
        <f>IFERROR(__xludf.DUMMYFUNCTION("""COMPUTED_VALUE"""),"Edward Burns")</f>
        <v>Edward Burns</v>
      </c>
      <c r="D1462" s="31">
        <f t="shared" si="1"/>
        <v>6.366666667</v>
      </c>
      <c r="E1462" s="4">
        <f t="shared" si="2"/>
        <v>3</v>
      </c>
      <c r="F1462" s="15"/>
      <c r="G1462" s="4"/>
    </row>
    <row r="1463" ht="14.25" customHeight="1">
      <c r="A1463" s="8" t="s">
        <v>3164</v>
      </c>
      <c r="B1463" s="8">
        <v>3.6</v>
      </c>
      <c r="C1463" s="4" t="str">
        <f>IFERROR(__xludf.DUMMYFUNCTION("""COMPUTED_VALUE"""),"Juan JosÃ© Campanella")</f>
        <v>Juan JosÃ© Campanella</v>
      </c>
      <c r="D1463" s="31">
        <f t="shared" si="1"/>
        <v>8.2</v>
      </c>
      <c r="E1463" s="4">
        <f t="shared" si="2"/>
        <v>1</v>
      </c>
      <c r="F1463" s="15"/>
      <c r="G1463" s="4"/>
    </row>
    <row r="1464" ht="14.25" customHeight="1">
      <c r="A1464" s="8" t="s">
        <v>2786</v>
      </c>
      <c r="B1464" s="8">
        <v>5.3</v>
      </c>
      <c r="C1464" s="4" t="str">
        <f>IFERROR(__xludf.DUMMYFUNCTION("""COMPUTED_VALUE"""),"Louis C.K.")</f>
        <v>Louis C.K.</v>
      </c>
      <c r="D1464" s="31">
        <f t="shared" si="1"/>
        <v>5.2</v>
      </c>
      <c r="E1464" s="4">
        <f t="shared" si="2"/>
        <v>1</v>
      </c>
      <c r="F1464" s="15"/>
      <c r="G1464" s="4"/>
    </row>
    <row r="1465" ht="14.25" customHeight="1">
      <c r="A1465" s="8" t="s">
        <v>3168</v>
      </c>
      <c r="B1465" s="8">
        <v>5.9</v>
      </c>
      <c r="C1465" s="4" t="str">
        <f>IFERROR(__xludf.DUMMYFUNCTION("""COMPUTED_VALUE"""),"Salvador Carrasco")</f>
        <v>Salvador Carrasco</v>
      </c>
      <c r="D1465" s="31">
        <f t="shared" si="1"/>
        <v>6.8</v>
      </c>
      <c r="E1465" s="4">
        <f t="shared" si="2"/>
        <v>1</v>
      </c>
      <c r="F1465" s="15"/>
      <c r="G1465" s="4"/>
    </row>
    <row r="1466" ht="14.25" customHeight="1">
      <c r="A1466" s="8" t="s">
        <v>740</v>
      </c>
      <c r="B1466" s="8">
        <v>6.9</v>
      </c>
      <c r="C1466" s="4" t="str">
        <f>IFERROR(__xludf.DUMMYFUNCTION("""COMPUTED_VALUE"""),"AndrÃ© Ã˜vredal")</f>
        <v>AndrÃ© Ã˜vredal</v>
      </c>
      <c r="D1466" s="31">
        <f t="shared" si="1"/>
        <v>7</v>
      </c>
      <c r="E1466" s="4">
        <f t="shared" si="2"/>
        <v>1</v>
      </c>
      <c r="F1466" s="15"/>
      <c r="G1466" s="4"/>
    </row>
    <row r="1467" ht="14.25" customHeight="1">
      <c r="A1467" s="8" t="s">
        <v>3173</v>
      </c>
      <c r="B1467" s="8">
        <v>6.9</v>
      </c>
      <c r="C1467" s="4" t="str">
        <f>IFERROR(__xludf.DUMMYFUNCTION("""COMPUTED_VALUE"""),"Robert Cary")</f>
        <v>Robert Cary</v>
      </c>
      <c r="D1467" s="31">
        <f t="shared" si="1"/>
        <v>6.5</v>
      </c>
      <c r="E1467" s="4">
        <f t="shared" si="2"/>
        <v>1</v>
      </c>
      <c r="F1467" s="15"/>
      <c r="G1467" s="4"/>
    </row>
    <row r="1468" ht="14.25" customHeight="1">
      <c r="A1468" s="8" t="s">
        <v>639</v>
      </c>
      <c r="B1468" s="8">
        <v>6.1</v>
      </c>
      <c r="C1468" s="4" t="str">
        <f>IFERROR(__xludf.DUMMYFUNCTION("""COMPUTED_VALUE"""),"Adam Rapp")</f>
        <v>Adam Rapp</v>
      </c>
      <c r="D1468" s="31">
        <f t="shared" si="1"/>
        <v>6.4</v>
      </c>
      <c r="E1468" s="4">
        <f t="shared" si="2"/>
        <v>1</v>
      </c>
      <c r="F1468" s="15"/>
      <c r="G1468" s="4"/>
    </row>
    <row r="1469" ht="14.25" customHeight="1">
      <c r="A1469" s="8" t="s">
        <v>1957</v>
      </c>
      <c r="B1469" s="8">
        <v>8.5</v>
      </c>
      <c r="C1469" s="4" t="str">
        <f>IFERROR(__xludf.DUMMYFUNCTION("""COMPUTED_VALUE"""),"Warren P. Sonoda")</f>
        <v>Warren P. Sonoda</v>
      </c>
      <c r="D1469" s="31">
        <f t="shared" si="1"/>
        <v>4.7</v>
      </c>
      <c r="E1469" s="4">
        <f t="shared" si="2"/>
        <v>1</v>
      </c>
      <c r="F1469" s="15"/>
      <c r="G1469" s="4"/>
    </row>
    <row r="1470" ht="14.25" customHeight="1">
      <c r="A1470" s="8" t="s">
        <v>3177</v>
      </c>
      <c r="B1470" s="8">
        <v>6.3</v>
      </c>
      <c r="C1470" s="4" t="str">
        <f>IFERROR(__xludf.DUMMYFUNCTION("""COMPUTED_VALUE"""),"Charles Ferguson")</f>
        <v>Charles Ferguson</v>
      </c>
      <c r="D1470" s="31">
        <f t="shared" si="1"/>
        <v>7.65</v>
      </c>
      <c r="E1470" s="4">
        <f t="shared" si="2"/>
        <v>2</v>
      </c>
      <c r="F1470" s="15"/>
      <c r="G1470" s="4"/>
    </row>
    <row r="1471" ht="14.25" customHeight="1">
      <c r="A1471" s="8" t="s">
        <v>1809</v>
      </c>
      <c r="B1471" s="8">
        <v>7.3</v>
      </c>
      <c r="C1471" s="4" t="str">
        <f>IFERROR(__xludf.DUMMYFUNCTION("""COMPUTED_VALUE"""),"Luc Jacquet")</f>
        <v>Luc Jacquet</v>
      </c>
      <c r="D1471" s="31">
        <f t="shared" si="1"/>
        <v>7.6</v>
      </c>
      <c r="E1471" s="4">
        <f t="shared" si="2"/>
        <v>1</v>
      </c>
      <c r="F1471" s="15"/>
      <c r="G1471" s="4"/>
    </row>
    <row r="1472" ht="14.25" customHeight="1">
      <c r="A1472" s="8" t="s">
        <v>3182</v>
      </c>
      <c r="B1472" s="8">
        <v>6.3</v>
      </c>
      <c r="C1472" s="4" t="str">
        <f>IFERROR(__xludf.DUMMYFUNCTION("""COMPUTED_VALUE"""),"Clark Gregg")</f>
        <v>Clark Gregg</v>
      </c>
      <c r="D1472" s="31">
        <f t="shared" si="1"/>
        <v>6.5</v>
      </c>
      <c r="E1472" s="4">
        <f t="shared" si="2"/>
        <v>1</v>
      </c>
      <c r="F1472" s="15"/>
      <c r="G1472" s="4"/>
    </row>
    <row r="1473" ht="14.25" customHeight="1">
      <c r="A1473" s="8" t="s">
        <v>937</v>
      </c>
      <c r="B1473" s="8">
        <v>7.2</v>
      </c>
      <c r="C1473" s="4" t="str">
        <f>IFERROR(__xludf.DUMMYFUNCTION("""COMPUTED_VALUE"""),"Damien Chazelle")</f>
        <v>Damien Chazelle</v>
      </c>
      <c r="D1473" s="31">
        <f t="shared" si="1"/>
        <v>8.5</v>
      </c>
      <c r="E1473" s="4">
        <f t="shared" si="2"/>
        <v>1</v>
      </c>
      <c r="F1473" s="15"/>
      <c r="G1473" s="4"/>
    </row>
    <row r="1474" ht="14.25" customHeight="1">
      <c r="A1474" s="8" t="s">
        <v>186</v>
      </c>
      <c r="B1474" s="8">
        <v>7.3</v>
      </c>
      <c r="C1474" s="4" t="str">
        <f>IFERROR(__xludf.DUMMYFUNCTION("""COMPUTED_VALUE"""),"Justin Kerrigan")</f>
        <v>Justin Kerrigan</v>
      </c>
      <c r="D1474" s="31">
        <f t="shared" si="1"/>
        <v>7.1</v>
      </c>
      <c r="E1474" s="4">
        <f t="shared" si="2"/>
        <v>1</v>
      </c>
      <c r="F1474" s="15"/>
      <c r="G1474" s="4"/>
    </row>
    <row r="1475" ht="14.25" customHeight="1">
      <c r="A1475" s="8" t="s">
        <v>3187</v>
      </c>
      <c r="B1475" s="8">
        <v>6.3</v>
      </c>
      <c r="C1475" s="4" t="str">
        <f>IFERROR(__xludf.DUMMYFUNCTION("""COMPUTED_VALUE"""),"Eric Styles")</f>
        <v>Eric Styles</v>
      </c>
      <c r="D1475" s="31">
        <f t="shared" si="1"/>
        <v>6.4</v>
      </c>
      <c r="E1475" s="4">
        <f t="shared" si="2"/>
        <v>1</v>
      </c>
      <c r="F1475" s="15"/>
      <c r="G1475" s="4"/>
    </row>
    <row r="1476" ht="14.25" customHeight="1">
      <c r="A1476" s="8" t="s">
        <v>2161</v>
      </c>
      <c r="B1476" s="8">
        <v>8.1</v>
      </c>
      <c r="C1476" s="4" t="str">
        <f>IFERROR(__xludf.DUMMYFUNCTION("""COMPUTED_VALUE"""),"Joshua Marston")</f>
        <v>Joshua Marston</v>
      </c>
      <c r="D1476" s="31">
        <f t="shared" si="1"/>
        <v>7.5</v>
      </c>
      <c r="E1476" s="4">
        <f t="shared" si="2"/>
        <v>1</v>
      </c>
      <c r="F1476" s="15"/>
      <c r="G1476" s="4"/>
    </row>
    <row r="1477" ht="14.25" customHeight="1">
      <c r="A1477" s="8" t="s">
        <v>2866</v>
      </c>
      <c r="B1477" s="8">
        <v>6.9</v>
      </c>
      <c r="C1477" s="4" t="str">
        <f>IFERROR(__xludf.DUMMYFUNCTION("""COMPUTED_VALUE"""),"Tod Williams")</f>
        <v>Tod Williams</v>
      </c>
      <c r="D1477" s="31">
        <f t="shared" si="1"/>
        <v>5.7</v>
      </c>
      <c r="E1477" s="4">
        <f t="shared" si="2"/>
        <v>1</v>
      </c>
      <c r="F1477" s="15"/>
      <c r="G1477" s="4"/>
    </row>
    <row r="1478" ht="14.25" customHeight="1">
      <c r="A1478" s="8" t="s">
        <v>2053</v>
      </c>
      <c r="B1478" s="8">
        <v>6.3</v>
      </c>
      <c r="C1478" s="4" t="str">
        <f>IFERROR(__xludf.DUMMYFUNCTION("""COMPUTED_VALUE"""),"Jack Sholder")</f>
        <v>Jack Sholder</v>
      </c>
      <c r="D1478" s="31">
        <f t="shared" si="1"/>
        <v>5.4</v>
      </c>
      <c r="E1478" s="4">
        <f t="shared" si="2"/>
        <v>1</v>
      </c>
      <c r="F1478" s="15"/>
      <c r="G1478" s="4"/>
    </row>
    <row r="1479" ht="14.25" customHeight="1">
      <c r="A1479" s="8" t="s">
        <v>1416</v>
      </c>
      <c r="B1479" s="8">
        <v>7.3</v>
      </c>
      <c r="C1479" s="4" t="str">
        <f>IFERROR(__xludf.DUMMYFUNCTION("""COMPUTED_VALUE"""),"Tom McLoughlin")</f>
        <v>Tom McLoughlin</v>
      </c>
      <c r="D1479" s="31">
        <f t="shared" si="1"/>
        <v>5.9</v>
      </c>
      <c r="E1479" s="4">
        <f t="shared" si="2"/>
        <v>1</v>
      </c>
      <c r="F1479" s="15"/>
      <c r="G1479" s="4"/>
    </row>
    <row r="1480" ht="14.25" customHeight="1">
      <c r="A1480" s="8" t="s">
        <v>411</v>
      </c>
      <c r="B1480" s="8">
        <v>5.5</v>
      </c>
      <c r="C1480" s="4" t="str">
        <f>IFERROR(__xludf.DUMMYFUNCTION("""COMPUTED_VALUE"""),"Adam Marcus")</f>
        <v>Adam Marcus</v>
      </c>
      <c r="D1480" s="31">
        <f t="shared" si="1"/>
        <v>4.3</v>
      </c>
      <c r="E1480" s="4">
        <f t="shared" si="2"/>
        <v>1</v>
      </c>
      <c r="F1480" s="15"/>
      <c r="G1480" s="4"/>
    </row>
    <row r="1481" ht="14.25" customHeight="1">
      <c r="A1481" s="8" t="s">
        <v>3198</v>
      </c>
      <c r="B1481" s="8">
        <v>6.1</v>
      </c>
      <c r="C1481" s="4" t="str">
        <f>IFERROR(__xludf.DUMMYFUNCTION("""COMPUTED_VALUE"""),"Benny Boom")</f>
        <v>Benny Boom</v>
      </c>
      <c r="D1481" s="31">
        <f t="shared" si="1"/>
        <v>5.9</v>
      </c>
      <c r="E1481" s="4">
        <f t="shared" si="2"/>
        <v>1</v>
      </c>
      <c r="F1481" s="15"/>
      <c r="G1481" s="4"/>
    </row>
    <row r="1482" ht="14.25" customHeight="1">
      <c r="A1482" s="8" t="s">
        <v>69</v>
      </c>
      <c r="B1482" s="8">
        <v>6.9</v>
      </c>
      <c r="C1482" s="4" t="str">
        <f>IFERROR(__xludf.DUMMYFUNCTION("""COMPUTED_VALUE"""),"Nnegest LikkÃ©")</f>
        <v>Nnegest LikkÃ©</v>
      </c>
      <c r="D1482" s="31">
        <f t="shared" si="1"/>
        <v>3</v>
      </c>
      <c r="E1482" s="4">
        <f t="shared" si="2"/>
        <v>1</v>
      </c>
      <c r="F1482" s="15"/>
      <c r="G1482" s="4"/>
    </row>
    <row r="1483" ht="14.25" customHeight="1">
      <c r="A1483" s="8" t="s">
        <v>67</v>
      </c>
      <c r="B1483" s="8">
        <v>7.2</v>
      </c>
      <c r="C1483" s="4" t="str">
        <f>IFERROR(__xludf.DUMMYFUNCTION("""COMPUTED_VALUE"""),"Christopher Leitch")</f>
        <v>Christopher Leitch</v>
      </c>
      <c r="D1483" s="31">
        <f t="shared" si="1"/>
        <v>3.2</v>
      </c>
      <c r="E1483" s="4">
        <f t="shared" si="2"/>
        <v>1</v>
      </c>
      <c r="F1483" s="15"/>
      <c r="G1483" s="4"/>
    </row>
    <row r="1484" ht="14.25" customHeight="1">
      <c r="A1484" s="8" t="s">
        <v>922</v>
      </c>
      <c r="B1484" s="8">
        <v>6.4</v>
      </c>
      <c r="C1484" s="4" t="str">
        <f>IFERROR(__xludf.DUMMYFUNCTION("""COMPUTED_VALUE"""),"Don Coscarelli")</f>
        <v>Don Coscarelli</v>
      </c>
      <c r="D1484" s="31">
        <f t="shared" si="1"/>
        <v>6.5</v>
      </c>
      <c r="E1484" s="4">
        <f t="shared" si="2"/>
        <v>1</v>
      </c>
      <c r="F1484" s="15"/>
      <c r="G1484" s="4"/>
    </row>
    <row r="1485" ht="14.25" customHeight="1">
      <c r="A1485" s="8" t="s">
        <v>3204</v>
      </c>
      <c r="B1485" s="8">
        <v>6.4</v>
      </c>
      <c r="C1485" s="4" t="str">
        <f>IFERROR(__xludf.DUMMYFUNCTION("""COMPUTED_VALUE"""),"Patricia Cardoso")</f>
        <v>Patricia Cardoso</v>
      </c>
      <c r="D1485" s="31">
        <f t="shared" si="1"/>
        <v>7</v>
      </c>
      <c r="E1485" s="4">
        <f t="shared" si="2"/>
        <v>1</v>
      </c>
      <c r="F1485" s="15"/>
      <c r="G1485" s="4"/>
    </row>
    <row r="1486" ht="14.25" customHeight="1">
      <c r="A1486" s="8" t="s">
        <v>132</v>
      </c>
      <c r="B1486" s="8">
        <v>8.3</v>
      </c>
      <c r="C1486" s="4" t="str">
        <f>IFERROR(__xludf.DUMMYFUNCTION("""COMPUTED_VALUE"""),"Damien O'Donnell")</f>
        <v>Damien O'Donnell</v>
      </c>
      <c r="D1486" s="31">
        <f t="shared" si="1"/>
        <v>6.9</v>
      </c>
      <c r="E1486" s="4">
        <f t="shared" si="2"/>
        <v>1</v>
      </c>
      <c r="F1486" s="15"/>
      <c r="G1486" s="4"/>
    </row>
    <row r="1487" ht="14.25" customHeight="1">
      <c r="A1487" s="8" t="s">
        <v>669</v>
      </c>
      <c r="B1487" s="8">
        <v>7.2</v>
      </c>
      <c r="C1487" s="4" t="str">
        <f>IFERROR(__xludf.DUMMYFUNCTION("""COMPUTED_VALUE"""),"Peter M. Cohen")</f>
        <v>Peter M. Cohen</v>
      </c>
      <c r="D1487" s="31">
        <f t="shared" si="1"/>
        <v>4.4</v>
      </c>
      <c r="E1487" s="4">
        <f t="shared" si="2"/>
        <v>1</v>
      </c>
      <c r="F1487" s="15"/>
      <c r="G1487" s="4"/>
    </row>
    <row r="1488" ht="14.25" customHeight="1">
      <c r="A1488" s="8" t="s">
        <v>3208</v>
      </c>
      <c r="B1488" s="8">
        <v>6.8</v>
      </c>
      <c r="C1488" s="4" t="str">
        <f>IFERROR(__xludf.DUMMYFUNCTION("""COMPUTED_VALUE"""),"Anthony Hickox")</f>
        <v>Anthony Hickox</v>
      </c>
      <c r="D1488" s="31">
        <f t="shared" si="1"/>
        <v>5.3</v>
      </c>
      <c r="E1488" s="4">
        <f t="shared" si="2"/>
        <v>1</v>
      </c>
      <c r="F1488" s="15"/>
      <c r="G1488" s="4"/>
    </row>
    <row r="1489" ht="14.25" customHeight="1">
      <c r="A1489" s="8" t="s">
        <v>3210</v>
      </c>
      <c r="B1489" s="8">
        <v>6.5</v>
      </c>
      <c r="C1489" s="4" t="str">
        <f>IFERROR(__xludf.DUMMYFUNCTION("""COMPUTED_VALUE"""),"Tom Schulman")</f>
        <v>Tom Schulman</v>
      </c>
      <c r="D1489" s="31">
        <f t="shared" si="1"/>
        <v>5.3</v>
      </c>
      <c r="E1489" s="4">
        <f t="shared" si="2"/>
        <v>1</v>
      </c>
      <c r="F1489" s="15"/>
      <c r="G1489" s="4"/>
    </row>
    <row r="1490" ht="14.25" customHeight="1">
      <c r="A1490" s="8" t="s">
        <v>3112</v>
      </c>
      <c r="B1490" s="8">
        <v>7.8</v>
      </c>
      <c r="C1490" s="4" t="str">
        <f>IFERROR(__xludf.DUMMYFUNCTION("""COMPUTED_VALUE"""),"Jill Sprecher")</f>
        <v>Jill Sprecher</v>
      </c>
      <c r="D1490" s="31">
        <f t="shared" si="1"/>
        <v>7.1</v>
      </c>
      <c r="E1490" s="4">
        <f t="shared" si="2"/>
        <v>1</v>
      </c>
      <c r="F1490" s="15"/>
      <c r="G1490" s="4"/>
    </row>
    <row r="1491" ht="14.25" customHeight="1">
      <c r="A1491" s="8" t="s">
        <v>545</v>
      </c>
      <c r="B1491" s="8">
        <v>7.6</v>
      </c>
      <c r="C1491" s="4" t="str">
        <f>IFERROR(__xludf.DUMMYFUNCTION("""COMPUTED_VALUE"""),"Darren Stein")</f>
        <v>Darren Stein</v>
      </c>
      <c r="D1491" s="31">
        <f t="shared" si="1"/>
        <v>5.4</v>
      </c>
      <c r="E1491" s="4">
        <f t="shared" si="2"/>
        <v>1</v>
      </c>
      <c r="F1491" s="15"/>
      <c r="G1491" s="4"/>
    </row>
    <row r="1492" ht="14.25" customHeight="1">
      <c r="A1492" s="8" t="s">
        <v>2802</v>
      </c>
      <c r="B1492" s="8">
        <v>7.2</v>
      </c>
      <c r="C1492" s="4" t="str">
        <f>IFERROR(__xludf.DUMMYFUNCTION("""COMPUTED_VALUE"""),"Julian Schnabel")</f>
        <v>Julian Schnabel</v>
      </c>
      <c r="D1492" s="31">
        <f t="shared" si="1"/>
        <v>6.9</v>
      </c>
      <c r="E1492" s="4">
        <f t="shared" si="2"/>
        <v>1</v>
      </c>
      <c r="F1492" s="15"/>
      <c r="G1492" s="4"/>
    </row>
    <row r="1493" ht="14.25" customHeight="1">
      <c r="A1493" s="8" t="s">
        <v>2042</v>
      </c>
      <c r="B1493" s="8">
        <v>6.7</v>
      </c>
      <c r="C1493" s="4" t="str">
        <f>IFERROR(__xludf.DUMMYFUNCTION("""COMPUTED_VALUE"""),"Todd Solondz")</f>
        <v>Todd Solondz</v>
      </c>
      <c r="D1493" s="31">
        <f t="shared" si="1"/>
        <v>7.65</v>
      </c>
      <c r="E1493" s="4">
        <f t="shared" si="2"/>
        <v>2</v>
      </c>
      <c r="F1493" s="15"/>
      <c r="G1493" s="4"/>
    </row>
    <row r="1494" ht="14.25" customHeight="1">
      <c r="A1494" s="8" t="s">
        <v>69</v>
      </c>
      <c r="B1494" s="8">
        <v>6.8</v>
      </c>
      <c r="C1494" s="4" t="str">
        <f>IFERROR(__xludf.DUMMYFUNCTION("""COMPUTED_VALUE"""),"David Nixon")</f>
        <v>David Nixon</v>
      </c>
      <c r="D1494" s="31">
        <f t="shared" si="1"/>
        <v>6.3</v>
      </c>
      <c r="E1494" s="4">
        <f t="shared" si="2"/>
        <v>1</v>
      </c>
      <c r="F1494" s="15"/>
      <c r="G1494" s="4"/>
    </row>
    <row r="1495" ht="14.25" customHeight="1">
      <c r="A1495" s="8" t="s">
        <v>2014</v>
      </c>
      <c r="B1495" s="8">
        <v>6.3</v>
      </c>
      <c r="C1495" s="4" t="str">
        <f>IFERROR(__xludf.DUMMYFUNCTION("""COMPUTED_VALUE"""),"Jason Eisener")</f>
        <v>Jason Eisener</v>
      </c>
      <c r="D1495" s="31">
        <f t="shared" si="1"/>
        <v>6.1</v>
      </c>
      <c r="E1495" s="4">
        <f t="shared" si="2"/>
        <v>1</v>
      </c>
      <c r="F1495" s="15"/>
      <c r="G1495" s="4"/>
    </row>
    <row r="1496" ht="14.25" customHeight="1">
      <c r="A1496" s="8" t="s">
        <v>1349</v>
      </c>
      <c r="B1496" s="8">
        <v>6.2</v>
      </c>
      <c r="C1496" s="4" t="str">
        <f>IFERROR(__xludf.DUMMYFUNCTION("""COMPUTED_VALUE"""),"Enrique Begne")</f>
        <v>Enrique Begne</v>
      </c>
      <c r="D1496" s="31">
        <f t="shared" si="1"/>
        <v>5</v>
      </c>
      <c r="E1496" s="4">
        <f t="shared" si="2"/>
        <v>1</v>
      </c>
      <c r="F1496" s="15"/>
      <c r="G1496" s="4"/>
    </row>
    <row r="1497" ht="14.25" customHeight="1">
      <c r="A1497" s="8" t="s">
        <v>2976</v>
      </c>
      <c r="B1497" s="8">
        <v>6.2</v>
      </c>
      <c r="C1497" s="4" t="str">
        <f>IFERROR(__xludf.DUMMYFUNCTION("""COMPUTED_VALUE"""),"Leslye Headland")</f>
        <v>Leslye Headland</v>
      </c>
      <c r="D1497" s="31">
        <f t="shared" si="1"/>
        <v>5.3</v>
      </c>
      <c r="E1497" s="4">
        <f t="shared" si="2"/>
        <v>1</v>
      </c>
      <c r="F1497" s="15"/>
      <c r="G1497" s="4"/>
    </row>
    <row r="1498" ht="14.25" customHeight="1">
      <c r="A1498" s="8" t="s">
        <v>291</v>
      </c>
      <c r="B1498" s="8">
        <v>8.6</v>
      </c>
      <c r="C1498" s="4" t="str">
        <f>IFERROR(__xludf.DUMMYFUNCTION("""COMPUTED_VALUE"""),"Tim Heidecker")</f>
        <v>Tim Heidecker</v>
      </c>
      <c r="D1498" s="31">
        <f t="shared" si="1"/>
        <v>5.3</v>
      </c>
      <c r="E1498" s="4">
        <f t="shared" si="2"/>
        <v>1</v>
      </c>
      <c r="F1498" s="15"/>
      <c r="G1498" s="4"/>
    </row>
    <row r="1499" ht="14.25" customHeight="1">
      <c r="A1499" s="8" t="s">
        <v>580</v>
      </c>
      <c r="B1499" s="8">
        <v>8.0</v>
      </c>
      <c r="C1499" s="4" t="str">
        <f>IFERROR(__xludf.DUMMYFUNCTION("""COMPUTED_VALUE"""),"Kate Connor")</f>
        <v>Kate Connor</v>
      </c>
      <c r="D1499" s="31">
        <f t="shared" si="1"/>
        <v>5.9</v>
      </c>
      <c r="E1499" s="4">
        <f t="shared" si="2"/>
        <v>1</v>
      </c>
      <c r="F1499" s="15"/>
      <c r="G1499" s="4"/>
    </row>
    <row r="1500" ht="14.25" customHeight="1">
      <c r="A1500" s="8" t="s">
        <v>3223</v>
      </c>
      <c r="B1500" s="8">
        <v>7.0</v>
      </c>
      <c r="C1500" s="4" t="str">
        <f>IFERROR(__xludf.DUMMYFUNCTION("""COMPUTED_VALUE"""),"Deon Taylor")</f>
        <v>Deon Taylor</v>
      </c>
      <c r="D1500" s="31">
        <f t="shared" si="1"/>
        <v>4.1</v>
      </c>
      <c r="E1500" s="4">
        <f t="shared" si="2"/>
        <v>1</v>
      </c>
      <c r="F1500" s="15"/>
      <c r="G1500" s="4"/>
    </row>
    <row r="1501" ht="14.25" customHeight="1">
      <c r="A1501" s="8" t="s">
        <v>1506</v>
      </c>
      <c r="B1501" s="8">
        <v>8.0</v>
      </c>
      <c r="C1501" s="4" t="str">
        <f>IFERROR(__xludf.DUMMYFUNCTION("""COMPUTED_VALUE"""),"Jason Alexander")</f>
        <v>Jason Alexander</v>
      </c>
      <c r="D1501" s="31">
        <f t="shared" si="1"/>
        <v>6.7</v>
      </c>
      <c r="E1501" s="4">
        <f t="shared" si="2"/>
        <v>1</v>
      </c>
      <c r="F1501" s="15"/>
      <c r="G1501" s="4"/>
    </row>
    <row r="1502" ht="14.25" customHeight="1">
      <c r="A1502" s="8" t="s">
        <v>1506</v>
      </c>
      <c r="B1502" s="8">
        <v>8.1</v>
      </c>
      <c r="C1502" s="4" t="str">
        <f>IFERROR(__xludf.DUMMYFUNCTION("""COMPUTED_VALUE"""),"Francesca Gregorini")</f>
        <v>Francesca Gregorini</v>
      </c>
      <c r="D1502" s="31">
        <f t="shared" si="1"/>
        <v>5.9</v>
      </c>
      <c r="E1502" s="4">
        <f t="shared" si="2"/>
        <v>1</v>
      </c>
      <c r="F1502" s="15"/>
      <c r="G1502" s="4"/>
    </row>
    <row r="1503" ht="14.25" customHeight="1">
      <c r="A1503" s="8" t="s">
        <v>1719</v>
      </c>
      <c r="B1503" s="8">
        <v>6.7</v>
      </c>
      <c r="C1503" s="4" t="str">
        <f>IFERROR(__xludf.DUMMYFUNCTION("""COMPUTED_VALUE"""),"Susan Seidelman")</f>
        <v>Susan Seidelman</v>
      </c>
      <c r="D1503" s="31">
        <f t="shared" si="1"/>
        <v>6.5</v>
      </c>
      <c r="E1503" s="4">
        <f t="shared" si="2"/>
        <v>1</v>
      </c>
      <c r="F1503" s="15"/>
      <c r="G1503" s="4"/>
    </row>
    <row r="1504" ht="14.25" customHeight="1">
      <c r="A1504" s="8" t="s">
        <v>2549</v>
      </c>
      <c r="B1504" s="8">
        <v>7.9</v>
      </c>
      <c r="C1504" s="4" t="str">
        <f>IFERROR(__xludf.DUMMYFUNCTION("""COMPUTED_VALUE"""),"Heidi Ewing")</f>
        <v>Heidi Ewing</v>
      </c>
      <c r="D1504" s="31">
        <f t="shared" si="1"/>
        <v>6.4</v>
      </c>
      <c r="E1504" s="4">
        <f t="shared" si="2"/>
        <v>1</v>
      </c>
      <c r="F1504" s="15"/>
      <c r="G1504" s="4"/>
    </row>
    <row r="1505" ht="14.25" customHeight="1">
      <c r="A1505" s="8" t="s">
        <v>2484</v>
      </c>
      <c r="B1505" s="8">
        <v>6.1</v>
      </c>
      <c r="C1505" s="4" t="str">
        <f>IFERROR(__xludf.DUMMYFUNCTION("""COMPUTED_VALUE"""),"Billy Wilder")</f>
        <v>Billy Wilder</v>
      </c>
      <c r="D1505" s="31">
        <f t="shared" si="1"/>
        <v>8.3</v>
      </c>
      <c r="E1505" s="4">
        <f t="shared" si="2"/>
        <v>1</v>
      </c>
      <c r="F1505" s="15"/>
      <c r="G1505" s="4"/>
    </row>
    <row r="1506" ht="14.25" customHeight="1">
      <c r="A1506" s="8" t="s">
        <v>698</v>
      </c>
      <c r="B1506" s="8">
        <v>4.2</v>
      </c>
      <c r="C1506" s="4" t="str">
        <f>IFERROR(__xludf.DUMMYFUNCTION("""COMPUTED_VALUE"""),"John Carl Buechler")</f>
        <v>John Carl Buechler</v>
      </c>
      <c r="D1506" s="31">
        <f t="shared" si="1"/>
        <v>5.3</v>
      </c>
      <c r="E1506" s="4">
        <f t="shared" si="2"/>
        <v>1</v>
      </c>
      <c r="F1506" s="15"/>
      <c r="G1506" s="4"/>
    </row>
    <row r="1507" ht="14.25" customHeight="1">
      <c r="A1507" s="8" t="s">
        <v>3234</v>
      </c>
      <c r="B1507" s="8">
        <v>6.1</v>
      </c>
      <c r="C1507" s="4" t="str">
        <f>IFERROR(__xludf.DUMMYFUNCTION("""COMPUTED_VALUE"""),"Victor Nunez")</f>
        <v>Victor Nunez</v>
      </c>
      <c r="D1507" s="31">
        <f t="shared" si="1"/>
        <v>7.15</v>
      </c>
      <c r="E1507" s="4">
        <f t="shared" si="2"/>
        <v>2</v>
      </c>
      <c r="F1507" s="15"/>
      <c r="G1507" s="4"/>
    </row>
    <row r="1508" ht="14.25" customHeight="1">
      <c r="A1508" s="8" t="s">
        <v>2436</v>
      </c>
      <c r="B1508" s="8">
        <v>6.6</v>
      </c>
      <c r="C1508" s="4" t="str">
        <f>IFERROR(__xludf.DUMMYFUNCTION("""COMPUTED_VALUE"""),"Joseph Zito")</f>
        <v>Joseph Zito</v>
      </c>
      <c r="D1508" s="31">
        <f t="shared" si="1"/>
        <v>5.9</v>
      </c>
      <c r="E1508" s="4">
        <f t="shared" si="2"/>
        <v>1</v>
      </c>
      <c r="F1508" s="15"/>
      <c r="G1508" s="4"/>
    </row>
    <row r="1509" ht="14.25" customHeight="1">
      <c r="A1509" s="8" t="s">
        <v>430</v>
      </c>
      <c r="B1509" s="8">
        <v>7.5</v>
      </c>
      <c r="C1509" s="4" t="str">
        <f>IFERROR(__xludf.DUMMYFUNCTION("""COMPUTED_VALUE"""),"Frank Sebastiano")</f>
        <v>Frank Sebastiano</v>
      </c>
      <c r="D1509" s="31">
        <f t="shared" si="1"/>
        <v>6</v>
      </c>
      <c r="E1509" s="4">
        <f t="shared" si="2"/>
        <v>1</v>
      </c>
      <c r="F1509" s="15"/>
      <c r="G1509" s="4"/>
    </row>
    <row r="1510" ht="14.25" customHeight="1">
      <c r="A1510" s="8" t="s">
        <v>3240</v>
      </c>
      <c r="B1510" s="8">
        <v>7.4</v>
      </c>
      <c r="C1510" s="4" t="str">
        <f>IFERROR(__xludf.DUMMYFUNCTION("""COMPUTED_VALUE"""),"Nacho Vigalondo")</f>
        <v>Nacho Vigalondo</v>
      </c>
      <c r="D1510" s="31">
        <f t="shared" si="1"/>
        <v>7.2</v>
      </c>
      <c r="E1510" s="4">
        <f t="shared" si="2"/>
        <v>1</v>
      </c>
      <c r="F1510" s="15"/>
      <c r="G1510" s="4"/>
    </row>
    <row r="1511" ht="14.25" customHeight="1">
      <c r="A1511" s="8" t="s">
        <v>3242</v>
      </c>
      <c r="B1511" s="8">
        <v>7.2</v>
      </c>
      <c r="C1511" s="4" t="str">
        <f>IFERROR(__xludf.DUMMYFUNCTION("""COMPUTED_VALUE"""),"Dinesh D'Souza")</f>
        <v>Dinesh D'Souza</v>
      </c>
      <c r="D1511" s="31">
        <f t="shared" si="1"/>
        <v>5.1</v>
      </c>
      <c r="E1511" s="4">
        <f t="shared" si="2"/>
        <v>1</v>
      </c>
      <c r="F1511" s="15"/>
      <c r="G1511" s="4"/>
    </row>
    <row r="1512" ht="14.25" customHeight="1">
      <c r="A1512" s="8" t="s">
        <v>3245</v>
      </c>
      <c r="B1512" s="8">
        <v>6.9</v>
      </c>
      <c r="C1512" s="4" t="str">
        <f>IFERROR(__xludf.DUMMYFUNCTION("""COMPUTED_VALUE"""),"Tommy Lee Wallace")</f>
        <v>Tommy Lee Wallace</v>
      </c>
      <c r="D1512" s="31">
        <f t="shared" si="1"/>
        <v>4.6</v>
      </c>
      <c r="E1512" s="4">
        <f t="shared" si="2"/>
        <v>1</v>
      </c>
      <c r="F1512" s="15"/>
      <c r="G1512" s="4"/>
    </row>
    <row r="1513" ht="14.25" customHeight="1">
      <c r="A1513" s="8" t="s">
        <v>3249</v>
      </c>
      <c r="B1513" s="8">
        <v>7.4</v>
      </c>
      <c r="C1513" s="4" t="str">
        <f>IFERROR(__xludf.DUMMYFUNCTION("""COMPUTED_VALUE"""),"Leslie Small")</f>
        <v>Leslie Small</v>
      </c>
      <c r="D1513" s="31">
        <f t="shared" si="1"/>
        <v>6.7</v>
      </c>
      <c r="E1513" s="4">
        <f t="shared" si="2"/>
        <v>1</v>
      </c>
      <c r="F1513" s="15"/>
      <c r="G1513" s="4"/>
    </row>
    <row r="1514" ht="14.25" customHeight="1">
      <c r="A1514" s="8" t="s">
        <v>85</v>
      </c>
      <c r="B1514" s="8">
        <v>5.4</v>
      </c>
      <c r="C1514" s="4" t="str">
        <f>IFERROR(__xludf.DUMMYFUNCTION("""COMPUTED_VALUE"""),"Alison Maclean")</f>
        <v>Alison Maclean</v>
      </c>
      <c r="D1514" s="31">
        <f t="shared" si="1"/>
        <v>7</v>
      </c>
      <c r="E1514" s="4">
        <f t="shared" si="2"/>
        <v>1</v>
      </c>
      <c r="F1514" s="15"/>
      <c r="G1514" s="4"/>
    </row>
    <row r="1515" ht="14.25" customHeight="1">
      <c r="A1515" s="8" t="s">
        <v>3252</v>
      </c>
      <c r="B1515" s="8">
        <v>6.8</v>
      </c>
      <c r="C1515" s="4" t="str">
        <f>IFERROR(__xludf.DUMMYFUNCTION("""COMPUTED_VALUE"""),"Isabel Coixet")</f>
        <v>Isabel Coixet</v>
      </c>
      <c r="D1515" s="31">
        <f t="shared" si="1"/>
        <v>7.6</v>
      </c>
      <c r="E1515" s="4">
        <f t="shared" si="2"/>
        <v>1</v>
      </c>
      <c r="F1515" s="15"/>
      <c r="G1515" s="4"/>
    </row>
    <row r="1516" ht="14.25" customHeight="1">
      <c r="A1516" s="8" t="s">
        <v>1598</v>
      </c>
      <c r="B1516" s="8">
        <v>6.3</v>
      </c>
      <c r="C1516" s="4" t="str">
        <f>IFERROR(__xludf.DUMMYFUNCTION("""COMPUTED_VALUE"""),"James Ponsoldt")</f>
        <v>James Ponsoldt</v>
      </c>
      <c r="D1516" s="31">
        <f t="shared" si="1"/>
        <v>7.1</v>
      </c>
      <c r="E1516" s="4">
        <f t="shared" si="2"/>
        <v>1</v>
      </c>
      <c r="F1516" s="15"/>
      <c r="G1516" s="4"/>
    </row>
    <row r="1517" ht="14.25" customHeight="1">
      <c r="A1517" s="8" t="s">
        <v>2927</v>
      </c>
      <c r="B1517" s="8">
        <v>7.2</v>
      </c>
      <c r="C1517" s="4" t="str">
        <f>IFERROR(__xludf.DUMMYFUNCTION("""COMPUTED_VALUE"""),"Joshua Tickell")</f>
        <v>Joshua Tickell</v>
      </c>
      <c r="D1517" s="31">
        <f t="shared" si="1"/>
        <v>7.6</v>
      </c>
      <c r="E1517" s="4">
        <f t="shared" si="2"/>
        <v>1</v>
      </c>
      <c r="F1517" s="15"/>
      <c r="G1517" s="4"/>
    </row>
    <row r="1518" ht="14.25" customHeight="1">
      <c r="A1518" s="8" t="s">
        <v>1205</v>
      </c>
      <c r="B1518" s="8">
        <v>6.9</v>
      </c>
      <c r="C1518" s="4" t="str">
        <f>IFERROR(__xludf.DUMMYFUNCTION("""COMPUTED_VALUE"""),"Tim Boxell")</f>
        <v>Tim Boxell</v>
      </c>
      <c r="D1518" s="31">
        <f t="shared" si="1"/>
        <v>6.6</v>
      </c>
      <c r="E1518" s="4">
        <f t="shared" si="2"/>
        <v>1</v>
      </c>
      <c r="F1518" s="15"/>
      <c r="G1518" s="4"/>
    </row>
    <row r="1519" ht="14.25" customHeight="1">
      <c r="A1519" s="8" t="s">
        <v>3258</v>
      </c>
      <c r="B1519" s="8">
        <v>6.0</v>
      </c>
      <c r="C1519" s="4" t="str">
        <f>IFERROR(__xludf.DUMMYFUNCTION("""COMPUTED_VALUE"""),"Michael D. Sellers")</f>
        <v>Michael D. Sellers</v>
      </c>
      <c r="D1519" s="31">
        <f t="shared" si="1"/>
        <v>5.7</v>
      </c>
      <c r="E1519" s="4">
        <f t="shared" si="2"/>
        <v>1</v>
      </c>
      <c r="F1519" s="15"/>
      <c r="G1519" s="4"/>
    </row>
    <row r="1520" ht="14.25" customHeight="1">
      <c r="A1520" s="8" t="s">
        <v>3261</v>
      </c>
      <c r="B1520" s="8">
        <v>5.9</v>
      </c>
      <c r="C1520" s="4" t="str">
        <f>IFERROR(__xludf.DUMMYFUNCTION("""COMPUTED_VALUE"""),"Reed Cowan")</f>
        <v>Reed Cowan</v>
      </c>
      <c r="D1520" s="31">
        <f t="shared" si="1"/>
        <v>7.1</v>
      </c>
      <c r="E1520" s="4">
        <f t="shared" si="2"/>
        <v>1</v>
      </c>
      <c r="F1520" s="15"/>
      <c r="G1520" s="4"/>
    </row>
    <row r="1521" ht="14.25" customHeight="1">
      <c r="A1521" s="8" t="s">
        <v>3263</v>
      </c>
      <c r="B1521" s="8">
        <v>5.4</v>
      </c>
      <c r="C1521" s="4" t="str">
        <f>IFERROR(__xludf.DUMMYFUNCTION("""COMPUTED_VALUE"""),"James Dodson")</f>
        <v>James Dodson</v>
      </c>
      <c r="D1521" s="31">
        <f t="shared" si="1"/>
        <v>6.2</v>
      </c>
      <c r="E1521" s="4">
        <f t="shared" si="2"/>
        <v>1</v>
      </c>
      <c r="F1521" s="15"/>
      <c r="G1521" s="4"/>
    </row>
    <row r="1522" ht="14.25" customHeight="1">
      <c r="A1522" s="8" t="s">
        <v>1147</v>
      </c>
      <c r="B1522" s="8">
        <v>5.9</v>
      </c>
      <c r="C1522" s="4" t="str">
        <f>IFERROR(__xludf.DUMMYFUNCTION("""COMPUTED_VALUE"""),"Alex Rivera")</f>
        <v>Alex Rivera</v>
      </c>
      <c r="D1522" s="31">
        <f t="shared" si="1"/>
        <v>5.9</v>
      </c>
      <c r="E1522" s="4">
        <f t="shared" si="2"/>
        <v>1</v>
      </c>
      <c r="F1522" s="15"/>
      <c r="G1522" s="4"/>
    </row>
    <row r="1523" ht="14.25" customHeight="1">
      <c r="A1523" s="8" t="s">
        <v>3263</v>
      </c>
      <c r="B1523" s="8">
        <v>6.1</v>
      </c>
      <c r="C1523" s="4" t="str">
        <f>IFERROR(__xludf.DUMMYFUNCTION("""COMPUTED_VALUE"""),"Robby Henson")</f>
        <v>Robby Henson</v>
      </c>
      <c r="D1523" s="31">
        <f t="shared" si="1"/>
        <v>5.1</v>
      </c>
      <c r="E1523" s="4">
        <f t="shared" si="2"/>
        <v>1</v>
      </c>
      <c r="F1523" s="15"/>
      <c r="G1523" s="4"/>
    </row>
    <row r="1524" ht="14.25" customHeight="1">
      <c r="A1524" s="8" t="s">
        <v>3268</v>
      </c>
      <c r="B1524" s="8">
        <v>7.7</v>
      </c>
      <c r="C1524" s="4" t="str">
        <f>IFERROR(__xludf.DUMMYFUNCTION("""COMPUTED_VALUE"""),"Shane Meadows")</f>
        <v>Shane Meadows</v>
      </c>
      <c r="D1524" s="31">
        <f t="shared" si="1"/>
        <v>7.7</v>
      </c>
      <c r="E1524" s="4">
        <f t="shared" si="2"/>
        <v>2</v>
      </c>
      <c r="F1524" s="15"/>
      <c r="G1524" s="4"/>
    </row>
    <row r="1525" ht="14.25" customHeight="1">
      <c r="A1525" s="8" t="s">
        <v>3271</v>
      </c>
      <c r="B1525" s="8">
        <v>5.8</v>
      </c>
      <c r="C1525" s="4" t="str">
        <f>IFERROR(__xludf.DUMMYFUNCTION("""COMPUTED_VALUE"""),"Carmen Marron")</f>
        <v>Carmen Marron</v>
      </c>
      <c r="D1525" s="31">
        <f t="shared" si="1"/>
        <v>3.9</v>
      </c>
      <c r="E1525" s="4">
        <f t="shared" si="2"/>
        <v>1</v>
      </c>
      <c r="F1525" s="15"/>
      <c r="G1525" s="4"/>
    </row>
    <row r="1526" ht="14.25" customHeight="1">
      <c r="A1526" s="8" t="s">
        <v>3273</v>
      </c>
      <c r="B1526" s="8">
        <v>7.6</v>
      </c>
      <c r="C1526" s="4" t="str">
        <f>IFERROR(__xludf.DUMMYFUNCTION("""COMPUTED_VALUE"""),"Danny Steinmann")</f>
        <v>Danny Steinmann</v>
      </c>
      <c r="D1526" s="31">
        <f t="shared" si="1"/>
        <v>4.7</v>
      </c>
      <c r="E1526" s="4">
        <f t="shared" si="2"/>
        <v>1</v>
      </c>
      <c r="F1526" s="15"/>
      <c r="G1526" s="4"/>
    </row>
    <row r="1527" ht="14.25" customHeight="1">
      <c r="A1527" s="8" t="s">
        <v>2794</v>
      </c>
      <c r="B1527" s="8">
        <v>6.1</v>
      </c>
      <c r="C1527" s="4" t="str">
        <f>IFERROR(__xludf.DUMMYFUNCTION("""COMPUTED_VALUE"""),"Michael Landon Jr.")</f>
        <v>Michael Landon Jr.</v>
      </c>
      <c r="D1527" s="31">
        <f t="shared" si="1"/>
        <v>5.9</v>
      </c>
      <c r="E1527" s="4">
        <f t="shared" si="2"/>
        <v>1</v>
      </c>
      <c r="F1527" s="15"/>
      <c r="G1527" s="4"/>
    </row>
    <row r="1528" ht="14.25" customHeight="1">
      <c r="A1528" s="8" t="s">
        <v>3276</v>
      </c>
      <c r="B1528" s="8">
        <v>5.4</v>
      </c>
      <c r="C1528" s="4" t="str">
        <f>IFERROR(__xludf.DUMMYFUNCTION("""COMPUTED_VALUE"""),"Jon Gunn")</f>
        <v>Jon Gunn</v>
      </c>
      <c r="D1528" s="31">
        <f t="shared" si="1"/>
        <v>6.033333333</v>
      </c>
      <c r="E1528" s="4">
        <f t="shared" si="2"/>
        <v>3</v>
      </c>
      <c r="F1528" s="15"/>
      <c r="G1528" s="4"/>
    </row>
    <row r="1529" ht="14.25" customHeight="1">
      <c r="A1529" s="8" t="s">
        <v>2355</v>
      </c>
      <c r="B1529" s="8">
        <v>5.1</v>
      </c>
      <c r="C1529" s="4" t="str">
        <f>IFERROR(__xludf.DUMMYFUNCTION("""COMPUTED_VALUE"""),"William Wyler")</f>
        <v>William Wyler</v>
      </c>
      <c r="D1529" s="31">
        <f t="shared" si="1"/>
        <v>8.1</v>
      </c>
      <c r="E1529" s="4">
        <f t="shared" si="2"/>
        <v>1</v>
      </c>
      <c r="F1529" s="15"/>
      <c r="G1529" s="4"/>
    </row>
    <row r="1530" ht="14.25" customHeight="1">
      <c r="A1530" s="8" t="s">
        <v>1036</v>
      </c>
      <c r="B1530" s="8">
        <v>6.4</v>
      </c>
      <c r="C1530" s="4" t="str">
        <f>IFERROR(__xludf.DUMMYFUNCTION("""COMPUTED_VALUE"""),"Petter NÃ¦ss")</f>
        <v>Petter NÃ¦ss</v>
      </c>
      <c r="D1530" s="31">
        <f t="shared" si="1"/>
        <v>7.6</v>
      </c>
      <c r="E1530" s="4">
        <f t="shared" si="2"/>
        <v>1</v>
      </c>
      <c r="F1530" s="15"/>
      <c r="G1530" s="4"/>
    </row>
    <row r="1531" ht="14.25" customHeight="1">
      <c r="A1531" s="8" t="s">
        <v>2444</v>
      </c>
      <c r="B1531" s="8">
        <v>6.3</v>
      </c>
      <c r="C1531" s="4" t="str">
        <f>IFERROR(__xludf.DUMMYFUNCTION("""COMPUTED_VALUE"""),"Robert Fontaine")</f>
        <v>Robert Fontaine</v>
      </c>
      <c r="D1531" s="31">
        <f t="shared" si="1"/>
        <v>7.2</v>
      </c>
      <c r="E1531" s="4">
        <f t="shared" si="2"/>
        <v>1</v>
      </c>
      <c r="F1531" s="15"/>
      <c r="G1531" s="4"/>
    </row>
    <row r="1532" ht="14.25" customHeight="1">
      <c r="A1532" s="8" t="s">
        <v>3284</v>
      </c>
      <c r="B1532" s="8">
        <v>7.5</v>
      </c>
      <c r="C1532" s="4" t="str">
        <f>IFERROR(__xludf.DUMMYFUNCTION("""COMPUTED_VALUE"""),"Michael Herz")</f>
        <v>Michael Herz</v>
      </c>
      <c r="D1532" s="31">
        <f t="shared" si="1"/>
        <v>5.1</v>
      </c>
      <c r="E1532" s="4">
        <f t="shared" si="2"/>
        <v>1</v>
      </c>
      <c r="F1532" s="15"/>
      <c r="G1532" s="4"/>
    </row>
    <row r="1533" ht="14.25" customHeight="1">
      <c r="A1533" s="8" t="s">
        <v>2195</v>
      </c>
      <c r="B1533" s="8">
        <v>7.1</v>
      </c>
      <c r="C1533" s="4" t="str">
        <f>IFERROR(__xludf.DUMMYFUNCTION("""COMPUTED_VALUE"""),"David Robert Mitchell")</f>
        <v>David Robert Mitchell</v>
      </c>
      <c r="D1533" s="31">
        <f t="shared" si="1"/>
        <v>6.9</v>
      </c>
      <c r="E1533" s="4">
        <f t="shared" si="2"/>
        <v>1</v>
      </c>
      <c r="F1533" s="15"/>
      <c r="G1533" s="4"/>
    </row>
    <row r="1534" ht="14.25" customHeight="1">
      <c r="A1534" s="8" t="s">
        <v>399</v>
      </c>
      <c r="B1534" s="8">
        <v>7.8</v>
      </c>
      <c r="C1534" s="4" t="str">
        <f>IFERROR(__xludf.DUMMYFUNCTION("""COMPUTED_VALUE"""),"Chia-Liang Liu")</f>
        <v>Chia-Liang Liu</v>
      </c>
      <c r="D1534" s="31">
        <f t="shared" si="1"/>
        <v>7.6</v>
      </c>
      <c r="E1534" s="4">
        <f t="shared" si="2"/>
        <v>1</v>
      </c>
      <c r="F1534" s="15"/>
      <c r="G1534" s="4"/>
    </row>
    <row r="1535" ht="14.25" customHeight="1">
      <c r="A1535" s="8" t="s">
        <v>3263</v>
      </c>
      <c r="B1535" s="8">
        <v>6.5</v>
      </c>
      <c r="C1535" s="4" t="str">
        <f>IFERROR(__xludf.DUMMYFUNCTION("""COMPUTED_VALUE"""),"Chris Kentis")</f>
        <v>Chris Kentis</v>
      </c>
      <c r="D1535" s="31">
        <f t="shared" si="1"/>
        <v>5.5</v>
      </c>
      <c r="E1535" s="4">
        <f t="shared" si="2"/>
        <v>2</v>
      </c>
      <c r="F1535" s="15"/>
      <c r="G1535" s="4"/>
    </row>
    <row r="1536" ht="14.25" customHeight="1">
      <c r="A1536" s="8" t="s">
        <v>80</v>
      </c>
      <c r="B1536" s="8">
        <v>6.6</v>
      </c>
      <c r="C1536" s="4" t="str">
        <f>IFERROR(__xludf.DUMMYFUNCTION("""COMPUTED_VALUE"""),"Alex Kendrick")</f>
        <v>Alex Kendrick</v>
      </c>
      <c r="D1536" s="31">
        <f t="shared" si="1"/>
        <v>6.733333333</v>
      </c>
      <c r="E1536" s="4">
        <f t="shared" si="2"/>
        <v>3</v>
      </c>
      <c r="F1536" s="15"/>
      <c r="G1536" s="4"/>
    </row>
    <row r="1537" ht="14.25" customHeight="1">
      <c r="A1537" s="8" t="s">
        <v>111</v>
      </c>
      <c r="B1537" s="8">
        <v>7.4</v>
      </c>
      <c r="C1537" s="4" t="str">
        <f>IFERROR(__xludf.DUMMYFUNCTION("""COMPUTED_VALUE"""),"Sylvain Chomet")</f>
        <v>Sylvain Chomet</v>
      </c>
      <c r="D1537" s="31">
        <f t="shared" si="1"/>
        <v>7.8</v>
      </c>
      <c r="E1537" s="4">
        <f t="shared" si="2"/>
        <v>1</v>
      </c>
      <c r="F1537" s="15"/>
      <c r="G1537" s="4"/>
    </row>
    <row r="1538" ht="14.25" customHeight="1">
      <c r="A1538" s="8" t="s">
        <v>2286</v>
      </c>
      <c r="B1538" s="8">
        <v>7.6</v>
      </c>
      <c r="C1538" s="4" t="str">
        <f>IFERROR(__xludf.DUMMYFUNCTION("""COMPUTED_VALUE"""),"Chris Eyre")</f>
        <v>Chris Eyre</v>
      </c>
      <c r="D1538" s="31">
        <f t="shared" si="1"/>
        <v>7.2</v>
      </c>
      <c r="E1538" s="4">
        <f t="shared" si="2"/>
        <v>1</v>
      </c>
      <c r="F1538" s="15"/>
      <c r="G1538" s="4"/>
    </row>
    <row r="1539" ht="14.25" customHeight="1">
      <c r="A1539" s="8" t="s">
        <v>1263</v>
      </c>
      <c r="B1539" s="8">
        <v>7.5</v>
      </c>
      <c r="C1539" s="4" t="str">
        <f>IFERROR(__xludf.DUMMYFUNCTION("""COMPUTED_VALUE"""),"Debra Granik")</f>
        <v>Debra Granik</v>
      </c>
      <c r="D1539" s="31">
        <f t="shared" si="1"/>
        <v>7.2</v>
      </c>
      <c r="E1539" s="4">
        <f t="shared" si="2"/>
        <v>1</v>
      </c>
      <c r="F1539" s="15"/>
      <c r="G1539" s="4"/>
    </row>
    <row r="1540" ht="14.25" customHeight="1">
      <c r="A1540" s="8" t="s">
        <v>33</v>
      </c>
      <c r="B1540" s="8">
        <v>6.6</v>
      </c>
      <c r="C1540" s="4" t="str">
        <f>IFERROR(__xludf.DUMMYFUNCTION("""COMPUTED_VALUE"""),"Miranda July")</f>
        <v>Miranda July</v>
      </c>
      <c r="D1540" s="31">
        <f t="shared" si="1"/>
        <v>7.4</v>
      </c>
      <c r="E1540" s="4">
        <f t="shared" si="2"/>
        <v>1</v>
      </c>
      <c r="F1540" s="15"/>
      <c r="G1540" s="4"/>
    </row>
    <row r="1541" ht="14.25" customHeight="1">
      <c r="A1541" s="8" t="s">
        <v>3299</v>
      </c>
      <c r="B1541" s="8">
        <v>7.2</v>
      </c>
      <c r="C1541" s="4" t="str">
        <f>IFERROR(__xludf.DUMMYFUNCTION("""COMPUTED_VALUE"""),"Max Joseph")</f>
        <v>Max Joseph</v>
      </c>
      <c r="D1541" s="31">
        <f t="shared" si="1"/>
        <v>6.1</v>
      </c>
      <c r="E1541" s="4">
        <f t="shared" si="2"/>
        <v>1</v>
      </c>
      <c r="F1541" s="15"/>
      <c r="G1541" s="4"/>
    </row>
    <row r="1542" ht="14.25" customHeight="1">
      <c r="A1542" s="8" t="s">
        <v>3301</v>
      </c>
      <c r="B1542" s="8">
        <v>7.6</v>
      </c>
      <c r="C1542" s="4" t="str">
        <f>IFERROR(__xludf.DUMMYFUNCTION("""COMPUTED_VALUE"""),"Kevin Tenney")</f>
        <v>Kevin Tenney</v>
      </c>
      <c r="D1542" s="31">
        <f t="shared" si="1"/>
        <v>5.7</v>
      </c>
      <c r="E1542" s="4">
        <f t="shared" si="2"/>
        <v>1</v>
      </c>
      <c r="F1542" s="15"/>
      <c r="G1542" s="4"/>
    </row>
    <row r="1543" ht="14.25" customHeight="1">
      <c r="A1543" s="8" t="s">
        <v>451</v>
      </c>
      <c r="B1543" s="8">
        <v>6.2</v>
      </c>
      <c r="C1543" s="4" t="str">
        <f>IFERROR(__xludf.DUMMYFUNCTION("""COMPUTED_VALUE"""),"Ari Folman")</f>
        <v>Ari Folman</v>
      </c>
      <c r="D1543" s="31">
        <f t="shared" si="1"/>
        <v>8</v>
      </c>
      <c r="E1543" s="4">
        <f t="shared" si="2"/>
        <v>1</v>
      </c>
      <c r="F1543" s="15"/>
      <c r="G1543" s="4"/>
    </row>
    <row r="1544" ht="14.25" customHeight="1">
      <c r="A1544" s="8" t="s">
        <v>2172</v>
      </c>
      <c r="B1544" s="8">
        <v>5.6</v>
      </c>
      <c r="C1544" s="4" t="str">
        <f>IFERROR(__xludf.DUMMYFUNCTION("""COMPUTED_VALUE"""),"Gary Rogers")</f>
        <v>Gary Rogers</v>
      </c>
      <c r="D1544" s="31">
        <f t="shared" si="1"/>
        <v>3.3</v>
      </c>
      <c r="E1544" s="4">
        <f t="shared" si="2"/>
        <v>1</v>
      </c>
      <c r="F1544" s="15"/>
      <c r="G1544" s="4"/>
    </row>
    <row r="1545" ht="14.25" customHeight="1">
      <c r="A1545" s="8" t="s">
        <v>54</v>
      </c>
      <c r="B1545" s="8">
        <v>7.6</v>
      </c>
      <c r="C1545" s="4" t="str">
        <f>IFERROR(__xludf.DUMMYFUNCTION("""COMPUTED_VALUE"""),"Marielle Heller")</f>
        <v>Marielle Heller</v>
      </c>
      <c r="D1545" s="31">
        <f t="shared" si="1"/>
        <v>6.9</v>
      </c>
      <c r="E1545" s="4">
        <f t="shared" si="2"/>
        <v>1</v>
      </c>
      <c r="F1545" s="15"/>
      <c r="G1545" s="4"/>
    </row>
    <row r="1546" ht="14.25" customHeight="1">
      <c r="A1546" s="8" t="s">
        <v>1447</v>
      </c>
      <c r="B1546" s="8">
        <v>6.6</v>
      </c>
      <c r="C1546" s="4" t="str">
        <f>IFERROR(__xludf.DUMMYFUNCTION("""COMPUTED_VALUE"""),"David Sington")</f>
        <v>David Sington</v>
      </c>
      <c r="D1546" s="31">
        <f t="shared" si="1"/>
        <v>8.1</v>
      </c>
      <c r="E1546" s="4">
        <f t="shared" si="2"/>
        <v>1</v>
      </c>
      <c r="F1546" s="15"/>
      <c r="G1546" s="4"/>
    </row>
    <row r="1547" ht="14.25" customHeight="1">
      <c r="A1547" s="8" t="s">
        <v>3310</v>
      </c>
      <c r="B1547" s="8">
        <v>7.0</v>
      </c>
      <c r="C1547" s="4" t="str">
        <f>IFERROR(__xludf.DUMMYFUNCTION("""COMPUTED_VALUE"""),"Huck Botko")</f>
        <v>Huck Botko</v>
      </c>
      <c r="D1547" s="31">
        <f t="shared" si="1"/>
        <v>4.6</v>
      </c>
      <c r="E1547" s="4">
        <f t="shared" si="2"/>
        <v>1</v>
      </c>
      <c r="F1547" s="15"/>
      <c r="G1547" s="4"/>
    </row>
    <row r="1548" ht="14.25" customHeight="1">
      <c r="A1548" s="8" t="s">
        <v>3312</v>
      </c>
      <c r="B1548" s="8">
        <v>2.7</v>
      </c>
      <c r="C1548" s="4" t="str">
        <f>IFERROR(__xludf.DUMMYFUNCTION("""COMPUTED_VALUE"""),"David Duchovny")</f>
        <v>David Duchovny</v>
      </c>
      <c r="D1548" s="31">
        <f t="shared" si="1"/>
        <v>7</v>
      </c>
      <c r="E1548" s="4">
        <f t="shared" si="2"/>
        <v>1</v>
      </c>
      <c r="F1548" s="15"/>
      <c r="G1548" s="4"/>
    </row>
    <row r="1549" ht="14.25" customHeight="1">
      <c r="A1549" s="8" t="s">
        <v>1021</v>
      </c>
      <c r="B1549" s="8">
        <v>7.6</v>
      </c>
      <c r="C1549" s="4" t="str">
        <f>IFERROR(__xludf.DUMMYFUNCTION("""COMPUTED_VALUE"""),"Lance Mungia")</f>
        <v>Lance Mungia</v>
      </c>
      <c r="D1549" s="31">
        <f t="shared" si="1"/>
        <v>6.7</v>
      </c>
      <c r="E1549" s="4">
        <f t="shared" si="2"/>
        <v>1</v>
      </c>
      <c r="F1549" s="15"/>
      <c r="G1549" s="4"/>
    </row>
    <row r="1550" ht="14.25" customHeight="1">
      <c r="A1550" s="8" t="s">
        <v>3316</v>
      </c>
      <c r="B1550" s="8">
        <v>6.6</v>
      </c>
      <c r="C1550" s="4" t="str">
        <f>IFERROR(__xludf.DUMMYFUNCTION("""COMPUTED_VALUE"""),"Hue Rhodes")</f>
        <v>Hue Rhodes</v>
      </c>
      <c r="D1550" s="31">
        <f t="shared" si="1"/>
        <v>5.8</v>
      </c>
      <c r="E1550" s="4">
        <f t="shared" si="2"/>
        <v>1</v>
      </c>
      <c r="F1550" s="15"/>
      <c r="G1550" s="4"/>
    </row>
    <row r="1551" ht="14.25" customHeight="1">
      <c r="A1551" s="8" t="s">
        <v>820</v>
      </c>
      <c r="B1551" s="8">
        <v>6.9</v>
      </c>
      <c r="C1551" s="4" t="str">
        <f>IFERROR(__xludf.DUMMYFUNCTION("""COMPUTED_VALUE"""),"Noah Buschel")</f>
        <v>Noah Buschel</v>
      </c>
      <c r="D1551" s="31">
        <f t="shared" si="1"/>
        <v>6.2</v>
      </c>
      <c r="E1551" s="4">
        <f t="shared" si="2"/>
        <v>1</v>
      </c>
      <c r="F1551" s="15"/>
      <c r="G1551" s="4"/>
    </row>
    <row r="1552" ht="14.25" customHeight="1">
      <c r="A1552" s="8" t="s">
        <v>399</v>
      </c>
      <c r="B1552" s="8">
        <v>6.8</v>
      </c>
      <c r="C1552" s="4" t="str">
        <f>IFERROR(__xludf.DUMMYFUNCTION("""COMPUTED_VALUE"""),"Hunter Richards")</f>
        <v>Hunter Richards</v>
      </c>
      <c r="D1552" s="31">
        <f t="shared" si="1"/>
        <v>6.6</v>
      </c>
      <c r="E1552" s="4">
        <f t="shared" si="2"/>
        <v>1</v>
      </c>
      <c r="F1552" s="15"/>
      <c r="G1552" s="4"/>
    </row>
    <row r="1553" ht="14.25" customHeight="1">
      <c r="A1553" s="8" t="s">
        <v>3323</v>
      </c>
      <c r="B1553" s="8">
        <v>3.7</v>
      </c>
      <c r="C1553" s="4" t="str">
        <f>IFERROR(__xludf.DUMMYFUNCTION("""COMPUTED_VALUE"""),"Laurie Collyer")</f>
        <v>Laurie Collyer</v>
      </c>
      <c r="D1553" s="31">
        <f t="shared" si="1"/>
        <v>6.6</v>
      </c>
      <c r="E1553" s="4">
        <f t="shared" si="2"/>
        <v>1</v>
      </c>
      <c r="F1553" s="15"/>
      <c r="G1553" s="4"/>
    </row>
    <row r="1554" ht="14.25" customHeight="1">
      <c r="A1554" s="8" t="s">
        <v>140</v>
      </c>
      <c r="B1554" s="8">
        <v>6.1</v>
      </c>
      <c r="C1554" s="4" t="str">
        <f>IFERROR(__xludf.DUMMYFUNCTION("""COMPUTED_VALUE"""),"Ralph Ziman")</f>
        <v>Ralph Ziman</v>
      </c>
      <c r="D1554" s="31">
        <f t="shared" si="1"/>
        <v>7.8</v>
      </c>
      <c r="E1554" s="4">
        <f t="shared" si="2"/>
        <v>1</v>
      </c>
      <c r="F1554" s="15"/>
      <c r="G1554" s="4"/>
    </row>
    <row r="1555" ht="14.25" customHeight="1">
      <c r="A1555" s="8" t="s">
        <v>3327</v>
      </c>
      <c r="B1555" s="8">
        <v>5.9</v>
      </c>
      <c r="C1555" s="4" t="str">
        <f>IFERROR(__xludf.DUMMYFUNCTION("""COMPUTED_VALUE"""),"Orson Welles")</f>
        <v>Orson Welles</v>
      </c>
      <c r="D1555" s="31">
        <f t="shared" si="1"/>
        <v>7.7</v>
      </c>
      <c r="E1555" s="4">
        <f t="shared" si="2"/>
        <v>1</v>
      </c>
      <c r="F1555" s="15"/>
      <c r="G1555" s="4"/>
    </row>
    <row r="1556" ht="14.25" customHeight="1">
      <c r="A1556" s="8" t="s">
        <v>3329</v>
      </c>
      <c r="B1556" s="8">
        <v>6.7</v>
      </c>
      <c r="C1556" s="4" t="str">
        <f>IFERROR(__xludf.DUMMYFUNCTION("""COMPUTED_VALUE"""),"Paul Bunnell")</f>
        <v>Paul Bunnell</v>
      </c>
      <c r="D1556" s="31">
        <f t="shared" si="1"/>
        <v>5.7</v>
      </c>
      <c r="E1556" s="4">
        <f t="shared" si="2"/>
        <v>1</v>
      </c>
      <c r="F1556" s="15"/>
      <c r="G1556" s="4"/>
    </row>
    <row r="1557" ht="14.25" customHeight="1">
      <c r="A1557" s="8" t="s">
        <v>3331</v>
      </c>
      <c r="B1557" s="8">
        <v>6.9</v>
      </c>
      <c r="C1557" s="4" t="str">
        <f>IFERROR(__xludf.DUMMYFUNCTION("""COMPUTED_VALUE"""),"Tim Hunter")</f>
        <v>Tim Hunter</v>
      </c>
      <c r="D1557" s="31">
        <f t="shared" si="1"/>
        <v>7.1</v>
      </c>
      <c r="E1557" s="4">
        <f t="shared" si="2"/>
        <v>1</v>
      </c>
      <c r="F1557" s="15"/>
      <c r="G1557" s="4"/>
    </row>
    <row r="1558" ht="14.25" customHeight="1">
      <c r="A1558" s="8" t="s">
        <v>1861</v>
      </c>
      <c r="B1558" s="8">
        <v>5.5</v>
      </c>
      <c r="C1558" s="4" t="str">
        <f>IFERROR(__xludf.DUMMYFUNCTION("""COMPUTED_VALUE"""),"Rodrigo CortÃ©s")</f>
        <v>Rodrigo CortÃ©s</v>
      </c>
      <c r="D1558" s="31">
        <f t="shared" si="1"/>
        <v>7</v>
      </c>
      <c r="E1558" s="4">
        <f t="shared" si="2"/>
        <v>1</v>
      </c>
      <c r="F1558" s="15"/>
      <c r="G1558" s="4"/>
    </row>
    <row r="1559" ht="14.25" customHeight="1">
      <c r="A1559" s="8" t="s">
        <v>3335</v>
      </c>
      <c r="B1559" s="8">
        <v>7.1</v>
      </c>
      <c r="C1559" s="4" t="str">
        <f>IFERROR(__xludf.DUMMYFUNCTION("""COMPUTED_VALUE"""),"Pascal Arnold")</f>
        <v>Pascal Arnold</v>
      </c>
      <c r="D1559" s="31">
        <f t="shared" si="1"/>
        <v>5.8</v>
      </c>
      <c r="E1559" s="4">
        <f t="shared" si="2"/>
        <v>1</v>
      </c>
      <c r="F1559" s="15"/>
      <c r="G1559" s="4"/>
    </row>
    <row r="1560" ht="14.25" customHeight="1">
      <c r="A1560" s="8" t="s">
        <v>639</v>
      </c>
      <c r="B1560" s="8">
        <v>7.1</v>
      </c>
      <c r="C1560" s="4" t="str">
        <f>IFERROR(__xludf.DUMMYFUNCTION("""COMPUTED_VALUE"""),"Jamal Hill")</f>
        <v>Jamal Hill</v>
      </c>
      <c r="D1560" s="31">
        <f t="shared" si="1"/>
        <v>7.2</v>
      </c>
      <c r="E1560" s="4">
        <f t="shared" si="2"/>
        <v>1</v>
      </c>
      <c r="F1560" s="15"/>
      <c r="G1560" s="4"/>
    </row>
    <row r="1561" ht="14.25" customHeight="1">
      <c r="A1561" s="8" t="s">
        <v>3339</v>
      </c>
      <c r="B1561" s="8">
        <v>7.3</v>
      </c>
      <c r="C1561" s="4" t="str">
        <f>IFERROR(__xludf.DUMMYFUNCTION("""COMPUTED_VALUE"""),"Daniel Stamm")</f>
        <v>Daniel Stamm</v>
      </c>
      <c r="D1561" s="31">
        <f t="shared" si="1"/>
        <v>5.6</v>
      </c>
      <c r="E1561" s="4">
        <f t="shared" si="2"/>
        <v>1</v>
      </c>
      <c r="F1561" s="15"/>
      <c r="G1561" s="4"/>
    </row>
    <row r="1562" ht="14.25" customHeight="1">
      <c r="A1562" s="8" t="s">
        <v>3342</v>
      </c>
      <c r="B1562" s="8">
        <v>3.4</v>
      </c>
      <c r="C1562" s="4" t="str">
        <f>IFERROR(__xludf.DUMMYFUNCTION("""COMPUTED_VALUE"""),"Carlos Carrera")</f>
        <v>Carlos Carrera</v>
      </c>
      <c r="D1562" s="31">
        <f t="shared" si="1"/>
        <v>6.8</v>
      </c>
      <c r="E1562" s="4">
        <f t="shared" si="2"/>
        <v>1</v>
      </c>
      <c r="F1562" s="15"/>
      <c r="G1562" s="4"/>
    </row>
    <row r="1563" ht="14.25" customHeight="1">
      <c r="A1563" s="8" t="s">
        <v>2239</v>
      </c>
      <c r="B1563" s="8">
        <v>6.8</v>
      </c>
      <c r="C1563" s="4" t="str">
        <f>IFERROR(__xludf.DUMMYFUNCTION("""COMPUTED_VALUE"""),"Benh Zeitlin")</f>
        <v>Benh Zeitlin</v>
      </c>
      <c r="D1563" s="31">
        <f t="shared" si="1"/>
        <v>7.3</v>
      </c>
      <c r="E1563" s="4">
        <f t="shared" si="2"/>
        <v>1</v>
      </c>
      <c r="F1563" s="15"/>
      <c r="G1563" s="4"/>
    </row>
    <row r="1564" ht="14.25" customHeight="1">
      <c r="A1564" s="8" t="s">
        <v>3346</v>
      </c>
      <c r="B1564" s="8">
        <v>6.9</v>
      </c>
      <c r="C1564" s="4" t="str">
        <f>IFERROR(__xludf.DUMMYFUNCTION("""COMPUTED_VALUE"""),"Maggie Greenwald")</f>
        <v>Maggie Greenwald</v>
      </c>
      <c r="D1564" s="31">
        <f t="shared" si="1"/>
        <v>7.3</v>
      </c>
      <c r="E1564" s="4">
        <f t="shared" si="2"/>
        <v>1</v>
      </c>
      <c r="F1564" s="15"/>
      <c r="G1564" s="4"/>
    </row>
    <row r="1565" ht="14.25" customHeight="1">
      <c r="A1565" s="8" t="s">
        <v>2125</v>
      </c>
      <c r="B1565" s="8">
        <v>7.0</v>
      </c>
      <c r="C1565" s="4" t="str">
        <f>IFERROR(__xludf.DUMMYFUNCTION("""COMPUTED_VALUE"""),"Khyentse Norbu")</f>
        <v>Khyentse Norbu</v>
      </c>
      <c r="D1565" s="31">
        <f t="shared" si="1"/>
        <v>7.5</v>
      </c>
      <c r="E1565" s="4">
        <f t="shared" si="2"/>
        <v>1</v>
      </c>
      <c r="F1565" s="15"/>
      <c r="G1565" s="4"/>
    </row>
    <row r="1566" ht="14.25" customHeight="1">
      <c r="A1566" s="8" t="s">
        <v>3350</v>
      </c>
      <c r="B1566" s="8">
        <v>5.5</v>
      </c>
      <c r="C1566" s="4" t="str">
        <f>IFERROR(__xludf.DUMMYFUNCTION("""COMPUTED_VALUE"""),"Lucky McKee")</f>
        <v>Lucky McKee</v>
      </c>
      <c r="D1566" s="31">
        <f t="shared" si="1"/>
        <v>6.7</v>
      </c>
      <c r="E1566" s="4">
        <f t="shared" si="2"/>
        <v>1</v>
      </c>
      <c r="F1566" s="15"/>
      <c r="G1566" s="4"/>
    </row>
    <row r="1567" ht="14.25" customHeight="1">
      <c r="A1567" s="8" t="s">
        <v>1117</v>
      </c>
      <c r="B1567" s="8">
        <v>5.1</v>
      </c>
      <c r="C1567" s="4" t="str">
        <f>IFERROR(__xludf.DUMMYFUNCTION("""COMPUTED_VALUE"""),"Steven R. Monroe")</f>
        <v>Steven R. Monroe</v>
      </c>
      <c r="D1567" s="31">
        <f t="shared" si="1"/>
        <v>6.3</v>
      </c>
      <c r="E1567" s="4">
        <f t="shared" si="2"/>
        <v>1</v>
      </c>
      <c r="F1567" s="15"/>
      <c r="G1567" s="4"/>
    </row>
    <row r="1568" ht="14.25" customHeight="1">
      <c r="A1568" s="8" t="s">
        <v>1111</v>
      </c>
      <c r="B1568" s="8">
        <v>6.2</v>
      </c>
      <c r="C1568" s="4" t="str">
        <f>IFERROR(__xludf.DUMMYFUNCTION("""COMPUTED_VALUE"""),"Mark Illsley")</f>
        <v>Mark Illsley</v>
      </c>
      <c r="D1568" s="31">
        <f t="shared" si="1"/>
        <v>6.3</v>
      </c>
      <c r="E1568" s="4">
        <f t="shared" si="2"/>
        <v>1</v>
      </c>
      <c r="F1568" s="15"/>
      <c r="G1568" s="4"/>
    </row>
    <row r="1569" ht="14.25" customHeight="1">
      <c r="A1569" s="8" t="s">
        <v>3355</v>
      </c>
      <c r="B1569" s="8">
        <v>5.9</v>
      </c>
      <c r="C1569" s="4" t="str">
        <f>IFERROR(__xludf.DUMMYFUNCTION("""COMPUTED_VALUE"""),"Pawel Pawlikowski")</f>
        <v>Pawel Pawlikowski</v>
      </c>
      <c r="D1569" s="31">
        <f t="shared" si="1"/>
        <v>6.8</v>
      </c>
      <c r="E1569" s="4">
        <f t="shared" si="2"/>
        <v>1</v>
      </c>
      <c r="F1569" s="15"/>
      <c r="G1569" s="4"/>
    </row>
    <row r="1570" ht="14.25" customHeight="1">
      <c r="A1570" s="8" t="s">
        <v>3357</v>
      </c>
      <c r="B1570" s="8">
        <v>5.2</v>
      </c>
      <c r="C1570" s="4" t="str">
        <f>IFERROR(__xludf.DUMMYFUNCTION("""COMPUTED_VALUE"""),"Ritesh Batra")</f>
        <v>Ritesh Batra</v>
      </c>
      <c r="D1570" s="31">
        <f t="shared" si="1"/>
        <v>7.8</v>
      </c>
      <c r="E1570" s="4">
        <f t="shared" si="2"/>
        <v>1</v>
      </c>
      <c r="F1570" s="15"/>
      <c r="G1570" s="4"/>
    </row>
    <row r="1571" ht="14.25" customHeight="1">
      <c r="A1571" s="8" t="s">
        <v>2927</v>
      </c>
      <c r="B1571" s="8">
        <v>6.2</v>
      </c>
      <c r="C1571" s="4" t="str">
        <f>IFERROR(__xludf.DUMMYFUNCTION("""COMPUTED_VALUE"""),"Sally Potter")</f>
        <v>Sally Potter</v>
      </c>
      <c r="D1571" s="31">
        <f t="shared" si="1"/>
        <v>6.9</v>
      </c>
      <c r="E1571" s="4">
        <f t="shared" si="2"/>
        <v>1</v>
      </c>
      <c r="F1571" s="15"/>
      <c r="G1571" s="4"/>
    </row>
    <row r="1572" ht="14.25" customHeight="1">
      <c r="A1572" s="8" t="s">
        <v>3360</v>
      </c>
      <c r="B1572" s="8">
        <v>5.5</v>
      </c>
      <c r="C1572" s="4" t="str">
        <f>IFERROR(__xludf.DUMMYFUNCTION("""COMPUTED_VALUE"""),"Dave Meyers")</f>
        <v>Dave Meyers</v>
      </c>
      <c r="D1572" s="31">
        <f t="shared" si="1"/>
        <v>4.3</v>
      </c>
      <c r="E1572" s="4">
        <f t="shared" si="2"/>
        <v>1</v>
      </c>
      <c r="F1572" s="15"/>
      <c r="G1572" s="4"/>
    </row>
    <row r="1573" ht="14.25" customHeight="1">
      <c r="A1573" s="8" t="s">
        <v>3362</v>
      </c>
      <c r="B1573" s="8">
        <v>7.4</v>
      </c>
      <c r="C1573" s="4" t="str">
        <f>IFERROR(__xludf.DUMMYFUNCTION("""COMPUTED_VALUE"""),"Nadine Labaki")</f>
        <v>Nadine Labaki</v>
      </c>
      <c r="D1573" s="31">
        <f t="shared" si="1"/>
        <v>7.2</v>
      </c>
      <c r="E1573" s="4">
        <f t="shared" si="2"/>
        <v>1</v>
      </c>
      <c r="F1573" s="15"/>
      <c r="G1573" s="4"/>
    </row>
    <row r="1574" ht="14.25" customHeight="1">
      <c r="A1574" s="8" t="s">
        <v>3364</v>
      </c>
      <c r="B1574" s="8">
        <v>4.4</v>
      </c>
      <c r="C1574" s="4" t="str">
        <f>IFERROR(__xludf.DUMMYFUNCTION("""COMPUTED_VALUE"""),"Eytan Fox")</f>
        <v>Eytan Fox</v>
      </c>
      <c r="D1574" s="31">
        <f t="shared" si="1"/>
        <v>7.3</v>
      </c>
      <c r="E1574" s="4">
        <f t="shared" si="2"/>
        <v>1</v>
      </c>
      <c r="F1574" s="15"/>
      <c r="G1574" s="4"/>
    </row>
    <row r="1575" ht="14.25" customHeight="1">
      <c r="A1575" s="8" t="s">
        <v>3366</v>
      </c>
      <c r="B1575" s="8">
        <v>6.3</v>
      </c>
      <c r="C1575" s="4" t="str">
        <f>IFERROR(__xludf.DUMMYFUNCTION("""COMPUTED_VALUE"""),"FranÃ§ois Truffaut")</f>
        <v>FranÃ§ois Truffaut</v>
      </c>
      <c r="D1575" s="31">
        <f t="shared" si="1"/>
        <v>7.2</v>
      </c>
      <c r="E1575" s="4">
        <f t="shared" si="2"/>
        <v>1</v>
      </c>
      <c r="F1575" s="15"/>
      <c r="G1575" s="4"/>
    </row>
    <row r="1576" ht="14.25" customHeight="1">
      <c r="A1576" s="8" t="s">
        <v>1263</v>
      </c>
      <c r="B1576" s="8">
        <v>6.1</v>
      </c>
      <c r="C1576" s="4" t="str">
        <f>IFERROR(__xludf.DUMMYFUNCTION("""COMPUTED_VALUE"""),"Adam Goldberg")</f>
        <v>Adam Goldberg</v>
      </c>
      <c r="D1576" s="31">
        <f t="shared" si="1"/>
        <v>5.4</v>
      </c>
      <c r="E1576" s="4">
        <f t="shared" si="2"/>
        <v>1</v>
      </c>
      <c r="F1576" s="15"/>
      <c r="G1576" s="4"/>
    </row>
    <row r="1577" ht="14.25" customHeight="1">
      <c r="A1577" s="8" t="s">
        <v>3369</v>
      </c>
      <c r="B1577" s="8">
        <v>5.3</v>
      </c>
      <c r="C1577" s="4" t="str">
        <f>IFERROR(__xludf.DUMMYFUNCTION("""COMPUTED_VALUE"""),"Adrienne Shelly")</f>
        <v>Adrienne Shelly</v>
      </c>
      <c r="D1577" s="31">
        <f t="shared" si="1"/>
        <v>7.1</v>
      </c>
      <c r="E1577" s="4">
        <f t="shared" si="2"/>
        <v>1</v>
      </c>
      <c r="F1577" s="15"/>
      <c r="G1577" s="4"/>
    </row>
    <row r="1578" ht="14.25" customHeight="1">
      <c r="A1578" s="8" t="s">
        <v>3372</v>
      </c>
      <c r="B1578" s="8">
        <v>5.4</v>
      </c>
      <c r="C1578" s="4" t="str">
        <f>IFERROR(__xludf.DUMMYFUNCTION("""COMPUTED_VALUE"""),"Newt Arnold")</f>
        <v>Newt Arnold</v>
      </c>
      <c r="D1578" s="31">
        <f t="shared" si="1"/>
        <v>6.8</v>
      </c>
      <c r="E1578" s="4">
        <f t="shared" si="2"/>
        <v>1</v>
      </c>
      <c r="F1578" s="15"/>
      <c r="G1578" s="4"/>
    </row>
    <row r="1579" ht="14.25" customHeight="1">
      <c r="A1579" s="8" t="s">
        <v>430</v>
      </c>
      <c r="B1579" s="8">
        <v>6.7</v>
      </c>
      <c r="C1579" s="4" t="str">
        <f>IFERROR(__xludf.DUMMYFUNCTION("""COMPUTED_VALUE"""),"Larry Clark")</f>
        <v>Larry Clark</v>
      </c>
      <c r="D1579" s="31">
        <f t="shared" si="1"/>
        <v>7</v>
      </c>
      <c r="E1579" s="4">
        <f t="shared" si="2"/>
        <v>1</v>
      </c>
      <c r="F1579" s="15"/>
      <c r="G1579" s="4"/>
    </row>
    <row r="1580" ht="14.25" customHeight="1">
      <c r="A1580" s="8" t="s">
        <v>1682</v>
      </c>
      <c r="B1580" s="8">
        <v>5.9</v>
      </c>
      <c r="C1580" s="4" t="str">
        <f>IFERROR(__xludf.DUMMYFUNCTION("""COMPUTED_VALUE"""),"FabiÃ¡n Bielinsky")</f>
        <v>FabiÃ¡n Bielinsky</v>
      </c>
      <c r="D1580" s="31">
        <f t="shared" si="1"/>
        <v>7.9</v>
      </c>
      <c r="E1580" s="4">
        <f t="shared" si="2"/>
        <v>1</v>
      </c>
      <c r="F1580" s="15"/>
      <c r="G1580" s="4"/>
    </row>
    <row r="1581" ht="14.25" customHeight="1">
      <c r="A1581" s="8" t="s">
        <v>3377</v>
      </c>
      <c r="B1581" s="8">
        <v>7.3</v>
      </c>
      <c r="C1581" s="4" t="str">
        <f>IFERROR(__xludf.DUMMYFUNCTION("""COMPUTED_VALUE"""),"Rebecca Miller")</f>
        <v>Rebecca Miller</v>
      </c>
      <c r="D1581" s="31">
        <f t="shared" si="1"/>
        <v>6.7</v>
      </c>
      <c r="E1581" s="4">
        <f t="shared" si="2"/>
        <v>1</v>
      </c>
      <c r="F1581" s="15"/>
      <c r="G1581" s="4"/>
    </row>
    <row r="1582" ht="14.25" customHeight="1">
      <c r="A1582" s="8" t="s">
        <v>2106</v>
      </c>
      <c r="B1582" s="8">
        <v>5.5</v>
      </c>
      <c r="C1582" s="4" t="str">
        <f>IFERROR(__xludf.DUMMYFUNCTION("""COMPUTED_VALUE"""),"Maggie Carey")</f>
        <v>Maggie Carey</v>
      </c>
      <c r="D1582" s="31">
        <f t="shared" si="1"/>
        <v>5.8</v>
      </c>
      <c r="E1582" s="4">
        <f t="shared" si="2"/>
        <v>1</v>
      </c>
      <c r="F1582" s="15"/>
      <c r="G1582" s="4"/>
    </row>
    <row r="1583" ht="14.25" customHeight="1">
      <c r="A1583" s="8" t="s">
        <v>3380</v>
      </c>
      <c r="B1583" s="8">
        <v>5.8</v>
      </c>
      <c r="C1583" s="4" t="str">
        <f>IFERROR(__xludf.DUMMYFUNCTION("""COMPUTED_VALUE"""),"Henry Bean")</f>
        <v>Henry Bean</v>
      </c>
      <c r="D1583" s="31">
        <f t="shared" si="1"/>
        <v>7.2</v>
      </c>
      <c r="E1583" s="4">
        <f t="shared" si="2"/>
        <v>1</v>
      </c>
      <c r="F1583" s="15"/>
      <c r="G1583" s="4"/>
    </row>
    <row r="1584" ht="14.25" customHeight="1">
      <c r="A1584" s="8" t="s">
        <v>3383</v>
      </c>
      <c r="B1584" s="8">
        <v>4.6</v>
      </c>
      <c r="C1584" s="4" t="str">
        <f>IFERROR(__xludf.DUMMYFUNCTION("""COMPUTED_VALUE"""),"Jeff Garlin")</f>
        <v>Jeff Garlin</v>
      </c>
      <c r="D1584" s="31">
        <f t="shared" si="1"/>
        <v>6.2</v>
      </c>
      <c r="E1584" s="4">
        <f t="shared" si="2"/>
        <v>1</v>
      </c>
      <c r="F1584" s="15"/>
      <c r="G1584" s="4"/>
    </row>
    <row r="1585" ht="14.25" customHeight="1">
      <c r="A1585" s="8" t="s">
        <v>3385</v>
      </c>
      <c r="B1585" s="8">
        <v>6.7</v>
      </c>
      <c r="C1585" s="4" t="str">
        <f>IFERROR(__xludf.DUMMYFUNCTION("""COMPUTED_VALUE"""),"Charles Chaplin")</f>
        <v>Charles Chaplin</v>
      </c>
      <c r="D1585" s="31">
        <f t="shared" si="1"/>
        <v>8.6</v>
      </c>
      <c r="E1585" s="4">
        <f t="shared" si="2"/>
        <v>1</v>
      </c>
      <c r="F1585" s="15"/>
      <c r="G1585" s="4"/>
    </row>
    <row r="1586" ht="14.25" customHeight="1">
      <c r="A1586" s="8" t="s">
        <v>3387</v>
      </c>
      <c r="B1586" s="8">
        <v>5.1</v>
      </c>
      <c r="C1586" s="4" t="str">
        <f>IFERROR(__xludf.DUMMYFUNCTION("""COMPUTED_VALUE"""),"Pete Jones")</f>
        <v>Pete Jones</v>
      </c>
      <c r="D1586" s="31">
        <f t="shared" si="1"/>
        <v>6.5</v>
      </c>
      <c r="E1586" s="4">
        <f t="shared" si="2"/>
        <v>1</v>
      </c>
      <c r="F1586" s="15"/>
      <c r="G1586" s="4"/>
    </row>
    <row r="1587" ht="14.25" customHeight="1">
      <c r="A1587" s="8" t="s">
        <v>1580</v>
      </c>
      <c r="B1587" s="8">
        <v>5.6</v>
      </c>
      <c r="C1587" s="4" t="str">
        <f>IFERROR(__xludf.DUMMYFUNCTION("""COMPUTED_VALUE"""),"Bruce Campbell")</f>
        <v>Bruce Campbell</v>
      </c>
      <c r="D1587" s="31">
        <f t="shared" si="1"/>
        <v>6.3</v>
      </c>
      <c r="E1587" s="4">
        <f t="shared" si="2"/>
        <v>1</v>
      </c>
      <c r="F1587" s="15"/>
      <c r="G1587" s="4"/>
    </row>
    <row r="1588" ht="14.25" customHeight="1">
      <c r="A1588" s="8" t="s">
        <v>2407</v>
      </c>
      <c r="B1588" s="8">
        <v>7.0</v>
      </c>
      <c r="C1588" s="4" t="str">
        <f>IFERROR(__xludf.DUMMYFUNCTION("""COMPUTED_VALUE"""),"Adam Carolla")</f>
        <v>Adam Carolla</v>
      </c>
      <c r="D1588" s="31">
        <f t="shared" si="1"/>
        <v>6.1</v>
      </c>
      <c r="E1588" s="4">
        <f t="shared" si="2"/>
        <v>1</v>
      </c>
      <c r="F1588" s="15"/>
      <c r="G1588" s="4"/>
    </row>
    <row r="1589" ht="14.25" customHeight="1">
      <c r="A1589" s="8" t="s">
        <v>3394</v>
      </c>
      <c r="B1589" s="8">
        <v>6.4</v>
      </c>
      <c r="C1589" s="4" t="str">
        <f>IFERROR(__xludf.DUMMYFUNCTION("""COMPUTED_VALUE"""),"Bruce McDonald")</f>
        <v>Bruce McDonald</v>
      </c>
      <c r="D1589" s="31">
        <f t="shared" si="1"/>
        <v>6.7</v>
      </c>
      <c r="E1589" s="4">
        <f t="shared" si="2"/>
        <v>1</v>
      </c>
      <c r="F1589" s="15"/>
      <c r="G1589" s="4"/>
    </row>
    <row r="1590" ht="14.25" customHeight="1">
      <c r="A1590" s="8" t="s">
        <v>1999</v>
      </c>
      <c r="B1590" s="8">
        <v>6.7</v>
      </c>
      <c r="C1590" s="4" t="str">
        <f>IFERROR(__xludf.DUMMYFUNCTION("""COMPUTED_VALUE"""),"James Mottern")</f>
        <v>James Mottern</v>
      </c>
      <c r="D1590" s="31">
        <f t="shared" si="1"/>
        <v>6.7</v>
      </c>
      <c r="E1590" s="4">
        <f t="shared" si="2"/>
        <v>1</v>
      </c>
      <c r="F1590" s="15"/>
      <c r="G1590" s="4"/>
    </row>
    <row r="1591" ht="14.25" customHeight="1">
      <c r="A1591" s="8" t="s">
        <v>3398</v>
      </c>
      <c r="B1591" s="8">
        <v>4.1</v>
      </c>
      <c r="C1591" s="4" t="str">
        <f>IFERROR(__xludf.DUMMYFUNCTION("""COMPUTED_VALUE"""),"William Cottrell")</f>
        <v>William Cottrell</v>
      </c>
      <c r="D1591" s="31">
        <f t="shared" si="1"/>
        <v>7.7</v>
      </c>
      <c r="E1591" s="4">
        <f t="shared" si="2"/>
        <v>1</v>
      </c>
      <c r="F1591" s="15"/>
      <c r="G1591" s="4"/>
    </row>
    <row r="1592" ht="14.25" customHeight="1">
      <c r="A1592" s="8" t="s">
        <v>2038</v>
      </c>
      <c r="B1592" s="8">
        <v>5.5</v>
      </c>
      <c r="C1592" s="4" t="str">
        <f>IFERROR(__xludf.DUMMYFUNCTION("""COMPUTED_VALUE"""),"Lucrecia Martel")</f>
        <v>Lucrecia Martel</v>
      </c>
      <c r="D1592" s="31">
        <f t="shared" si="1"/>
        <v>6.7</v>
      </c>
      <c r="E1592" s="4">
        <f t="shared" si="2"/>
        <v>1</v>
      </c>
      <c r="F1592" s="15"/>
      <c r="G1592" s="4"/>
    </row>
    <row r="1593" ht="14.25" customHeight="1">
      <c r="A1593" s="8" t="s">
        <v>2209</v>
      </c>
      <c r="B1593" s="8">
        <v>2.7</v>
      </c>
      <c r="C1593" s="4" t="str">
        <f>IFERROR(__xludf.DUMMYFUNCTION("""COMPUTED_VALUE"""),"Zak Penn")</f>
        <v>Zak Penn</v>
      </c>
      <c r="D1593" s="31">
        <f t="shared" si="1"/>
        <v>6.6</v>
      </c>
      <c r="E1593" s="4">
        <f t="shared" si="2"/>
        <v>1</v>
      </c>
      <c r="F1593" s="15"/>
      <c r="G1593" s="4"/>
    </row>
    <row r="1594" ht="14.25" customHeight="1">
      <c r="A1594" s="8" t="s">
        <v>3404</v>
      </c>
      <c r="B1594" s="8">
        <v>6.4</v>
      </c>
      <c r="C1594" s="4" t="str">
        <f>IFERROR(__xludf.DUMMYFUNCTION("""COMPUTED_VALUE"""),"Steve Buscemi")</f>
        <v>Steve Buscemi</v>
      </c>
      <c r="D1594" s="31">
        <f t="shared" si="1"/>
        <v>6.9</v>
      </c>
      <c r="E1594" s="4">
        <f t="shared" si="2"/>
        <v>2</v>
      </c>
      <c r="F1594" s="15"/>
      <c r="G1594" s="4"/>
    </row>
    <row r="1595" ht="14.25" customHeight="1">
      <c r="A1595" s="8" t="s">
        <v>3407</v>
      </c>
      <c r="B1595" s="8">
        <v>4.8</v>
      </c>
      <c r="C1595" s="4" t="str">
        <f>IFERROR(__xludf.DUMMYFUNCTION("""COMPUTED_VALUE"""),"Ham Tran")</f>
        <v>Ham Tran</v>
      </c>
      <c r="D1595" s="31">
        <f t="shared" si="1"/>
        <v>7.4</v>
      </c>
      <c r="E1595" s="4">
        <f t="shared" si="2"/>
        <v>1</v>
      </c>
      <c r="F1595" s="15"/>
      <c r="G1595" s="4"/>
    </row>
    <row r="1596" ht="14.25" customHeight="1">
      <c r="A1596" s="8" t="s">
        <v>3409</v>
      </c>
      <c r="B1596" s="8">
        <v>6.1</v>
      </c>
      <c r="C1596" s="4" t="str">
        <f>IFERROR(__xludf.DUMMYFUNCTION("""COMPUTED_VALUE"""),"Rich Cowan")</f>
        <v>Rich Cowan</v>
      </c>
      <c r="D1596" s="31">
        <f t="shared" si="1"/>
        <v>6.5</v>
      </c>
      <c r="E1596" s="4">
        <f t="shared" si="2"/>
        <v>1</v>
      </c>
      <c r="F1596" s="15"/>
      <c r="G1596" s="4"/>
    </row>
    <row r="1597" ht="14.25" customHeight="1">
      <c r="A1597" s="8" t="s">
        <v>3412</v>
      </c>
      <c r="B1597" s="8">
        <v>4.8</v>
      </c>
      <c r="C1597" s="4" t="str">
        <f>IFERROR(__xludf.DUMMYFUNCTION("""COMPUTED_VALUE"""),"Boris Rodriguez")</f>
        <v>Boris Rodriguez</v>
      </c>
      <c r="D1597" s="31">
        <f t="shared" si="1"/>
        <v>5.7</v>
      </c>
      <c r="E1597" s="4">
        <f t="shared" si="2"/>
        <v>1</v>
      </c>
      <c r="F1597" s="15"/>
      <c r="G1597" s="4"/>
    </row>
    <row r="1598" ht="14.25" customHeight="1">
      <c r="A1598" s="8" t="s">
        <v>3025</v>
      </c>
      <c r="B1598" s="8">
        <v>7.0</v>
      </c>
      <c r="C1598" s="4" t="str">
        <f>IFERROR(__xludf.DUMMYFUNCTION("""COMPUTED_VALUE"""),"Jonathan Kesselman")</f>
        <v>Jonathan Kesselman</v>
      </c>
      <c r="D1598" s="31">
        <f t="shared" si="1"/>
        <v>6.2</v>
      </c>
      <c r="E1598" s="4">
        <f t="shared" si="2"/>
        <v>1</v>
      </c>
      <c r="F1598" s="15"/>
      <c r="G1598" s="4"/>
    </row>
    <row r="1599" ht="14.25" customHeight="1">
      <c r="A1599" s="8" t="s">
        <v>1150</v>
      </c>
      <c r="B1599" s="8">
        <v>6.8</v>
      </c>
      <c r="C1599" s="4" t="str">
        <f>IFERROR(__xludf.DUMMYFUNCTION("""COMPUTED_VALUE"""),"Arjun Sablok")</f>
        <v>Arjun Sablok</v>
      </c>
      <c r="D1599" s="31">
        <f t="shared" si="1"/>
        <v>3.3</v>
      </c>
      <c r="E1599" s="4">
        <f t="shared" si="2"/>
        <v>1</v>
      </c>
      <c r="F1599" s="15"/>
      <c r="G1599" s="4"/>
    </row>
    <row r="1600" ht="14.25" customHeight="1">
      <c r="A1600" s="8" t="s">
        <v>2264</v>
      </c>
      <c r="B1600" s="8">
        <v>5.6</v>
      </c>
      <c r="C1600" s="4" t="str">
        <f>IFERROR(__xludf.DUMMYFUNCTION("""COMPUTED_VALUE"""),"Youssef Delara")</f>
        <v>Youssef Delara</v>
      </c>
      <c r="D1600" s="31">
        <f t="shared" si="1"/>
        <v>5.7</v>
      </c>
      <c r="E1600" s="4">
        <f t="shared" si="2"/>
        <v>1</v>
      </c>
      <c r="F1600" s="15"/>
      <c r="G1600" s="4"/>
    </row>
    <row r="1601" ht="14.25" customHeight="1">
      <c r="A1601" s="8" t="s">
        <v>2334</v>
      </c>
      <c r="B1601" s="8">
        <v>6.1</v>
      </c>
      <c r="C1601" s="4" t="str">
        <f>IFERROR(__xludf.DUMMYFUNCTION("""COMPUTED_VALUE"""),"Claudia Sainte-Luce")</f>
        <v>Claudia Sainte-Luce</v>
      </c>
      <c r="D1601" s="31">
        <f t="shared" si="1"/>
        <v>7</v>
      </c>
      <c r="E1601" s="4">
        <f t="shared" si="2"/>
        <v>1</v>
      </c>
      <c r="F1601" s="15"/>
      <c r="G1601" s="4"/>
    </row>
    <row r="1602" ht="14.25" customHeight="1">
      <c r="A1602" s="8" t="s">
        <v>430</v>
      </c>
      <c r="B1602" s="8">
        <v>7.9</v>
      </c>
      <c r="C1602" s="4" t="str">
        <f>IFERROR(__xludf.DUMMYFUNCTION("""COMPUTED_VALUE"""),"Jamie Babbit")</f>
        <v>Jamie Babbit</v>
      </c>
      <c r="D1602" s="31">
        <f t="shared" si="1"/>
        <v>6.5</v>
      </c>
      <c r="E1602" s="4">
        <f t="shared" si="2"/>
        <v>2</v>
      </c>
      <c r="F1602" s="15"/>
      <c r="G1602" s="4"/>
    </row>
    <row r="1603" ht="14.25" customHeight="1">
      <c r="A1603" s="8" t="s">
        <v>3421</v>
      </c>
      <c r="B1603" s="8">
        <v>8.4</v>
      </c>
      <c r="C1603" s="4" t="str">
        <f>IFERROR(__xludf.DUMMYFUNCTION("""COMPUTED_VALUE"""),"David Boyd")</f>
        <v>David Boyd</v>
      </c>
      <c r="D1603" s="31">
        <f t="shared" si="1"/>
        <v>6</v>
      </c>
      <c r="E1603" s="4">
        <f t="shared" si="2"/>
        <v>1</v>
      </c>
      <c r="F1603" s="15"/>
      <c r="G1603" s="4"/>
    </row>
    <row r="1604" ht="14.25" customHeight="1">
      <c r="A1604" s="8" t="s">
        <v>3423</v>
      </c>
      <c r="B1604" s="8">
        <v>6.5</v>
      </c>
      <c r="C1604" s="4" t="str">
        <f>IFERROR(__xludf.DUMMYFUNCTION("""COMPUTED_VALUE"""),"Anna Muylaert")</f>
        <v>Anna Muylaert</v>
      </c>
      <c r="D1604" s="31">
        <f t="shared" si="1"/>
        <v>7.9</v>
      </c>
      <c r="E1604" s="4">
        <f t="shared" si="2"/>
        <v>1</v>
      </c>
      <c r="F1604" s="15"/>
      <c r="G1604" s="4"/>
    </row>
    <row r="1605" ht="14.25" customHeight="1">
      <c r="A1605" s="8" t="s">
        <v>3425</v>
      </c>
      <c r="B1605" s="8">
        <v>7.1</v>
      </c>
      <c r="C1605" s="4" t="str">
        <f>IFERROR(__xludf.DUMMYFUNCTION("""COMPUTED_VALUE"""),"Steve Taylor")</f>
        <v>Steve Taylor</v>
      </c>
      <c r="D1605" s="31">
        <f t="shared" si="1"/>
        <v>6</v>
      </c>
      <c r="E1605" s="4">
        <f t="shared" si="2"/>
        <v>1</v>
      </c>
      <c r="F1605" s="15"/>
      <c r="G1605" s="4"/>
    </row>
    <row r="1606" ht="14.25" customHeight="1">
      <c r="A1606" s="8" t="s">
        <v>2038</v>
      </c>
      <c r="B1606" s="8">
        <v>6.6</v>
      </c>
      <c r="C1606" s="4" t="str">
        <f>IFERROR(__xludf.DUMMYFUNCTION("""COMPUTED_VALUE"""),"Kurt Voss")</f>
        <v>Kurt Voss</v>
      </c>
      <c r="D1606" s="31">
        <f t="shared" si="1"/>
        <v>6.1</v>
      </c>
      <c r="E1606" s="4">
        <f t="shared" si="2"/>
        <v>1</v>
      </c>
      <c r="F1606" s="15"/>
      <c r="G1606" s="4"/>
    </row>
    <row r="1607" ht="14.25" customHeight="1">
      <c r="A1607" s="8" t="s">
        <v>3252</v>
      </c>
      <c r="B1607" s="8">
        <v>7.0</v>
      </c>
      <c r="C1607" s="4" t="str">
        <f>IFERROR(__xludf.DUMMYFUNCTION("""COMPUTED_VALUE"""),"James David Pasternak")</f>
        <v>James David Pasternak</v>
      </c>
      <c r="D1607" s="31">
        <f t="shared" si="1"/>
        <v>6.2</v>
      </c>
      <c r="E1607" s="4">
        <f t="shared" si="2"/>
        <v>1</v>
      </c>
      <c r="F1607" s="15"/>
      <c r="G1607" s="4"/>
    </row>
    <row r="1608" ht="14.25" customHeight="1">
      <c r="A1608" s="8" t="s">
        <v>3431</v>
      </c>
      <c r="B1608" s="8">
        <v>5.6</v>
      </c>
      <c r="C1608" s="4" t="str">
        <f>IFERROR(__xludf.DUMMYFUNCTION("""COMPUTED_VALUE"""),"Tom Sanchez")</f>
        <v>Tom Sanchez</v>
      </c>
      <c r="D1608" s="31">
        <f t="shared" si="1"/>
        <v>7.2</v>
      </c>
      <c r="E1608" s="4">
        <f t="shared" si="2"/>
        <v>1</v>
      </c>
      <c r="F1608" s="15"/>
      <c r="G1608" s="4"/>
    </row>
    <row r="1609" ht="14.25" customHeight="1">
      <c r="A1609" s="8" t="s">
        <v>3434</v>
      </c>
      <c r="B1609" s="8">
        <v>4.8</v>
      </c>
      <c r="C1609" s="4" t="str">
        <f>IFERROR(__xludf.DUMMYFUNCTION("""COMPUTED_VALUE"""),"Rob McKittrick")</f>
        <v>Rob McKittrick</v>
      </c>
      <c r="D1609" s="31">
        <f t="shared" si="1"/>
        <v>6.8</v>
      </c>
      <c r="E1609" s="4">
        <f t="shared" si="2"/>
        <v>1</v>
      </c>
      <c r="F1609" s="15"/>
      <c r="G1609" s="4"/>
    </row>
    <row r="1610" ht="14.25" customHeight="1">
      <c r="A1610" s="8" t="s">
        <v>3437</v>
      </c>
      <c r="B1610" s="8">
        <v>7.5</v>
      </c>
      <c r="C1610" s="4" t="str">
        <f>IFERROR(__xludf.DUMMYFUNCTION("""COMPUTED_VALUE"""),"Jeff Burr")</f>
        <v>Jeff Burr</v>
      </c>
      <c r="D1610" s="31">
        <f t="shared" si="1"/>
        <v>5.9</v>
      </c>
      <c r="E1610" s="4">
        <f t="shared" si="2"/>
        <v>1</v>
      </c>
      <c r="F1610" s="15"/>
      <c r="G1610" s="4"/>
    </row>
    <row r="1611" ht="14.25" customHeight="1">
      <c r="A1611" s="8" t="s">
        <v>3440</v>
      </c>
      <c r="B1611" s="8">
        <v>6.0</v>
      </c>
      <c r="C1611" s="4" t="str">
        <f>IFERROR(__xludf.DUMMYFUNCTION("""COMPUTED_VALUE"""),"Guy Maddin")</f>
        <v>Guy Maddin</v>
      </c>
      <c r="D1611" s="31">
        <f t="shared" si="1"/>
        <v>7</v>
      </c>
      <c r="E1611" s="4">
        <f t="shared" si="2"/>
        <v>1</v>
      </c>
      <c r="F1611" s="15"/>
      <c r="G1611" s="4"/>
    </row>
    <row r="1612" ht="14.25" customHeight="1">
      <c r="A1612" s="8" t="s">
        <v>54</v>
      </c>
      <c r="B1612" s="8">
        <v>6.8</v>
      </c>
      <c r="C1612" s="4" t="str">
        <f>IFERROR(__xludf.DUMMYFUNCTION("""COMPUTED_VALUE"""),"Panos Cosmatos")</f>
        <v>Panos Cosmatos</v>
      </c>
      <c r="D1612" s="31">
        <f t="shared" si="1"/>
        <v>6.1</v>
      </c>
      <c r="E1612" s="4">
        <f t="shared" si="2"/>
        <v>1</v>
      </c>
      <c r="F1612" s="15"/>
      <c r="G1612" s="4"/>
    </row>
    <row r="1613" ht="14.25" customHeight="1">
      <c r="A1613" s="8" t="s">
        <v>3444</v>
      </c>
      <c r="B1613" s="8">
        <v>6.5</v>
      </c>
      <c r="C1613" s="4" t="str">
        <f>IFERROR(__xludf.DUMMYFUNCTION("""COMPUTED_VALUE"""),"Gareth Evans")</f>
        <v>Gareth Evans</v>
      </c>
      <c r="D1613" s="31">
        <f t="shared" si="1"/>
        <v>7.6</v>
      </c>
      <c r="E1613" s="4">
        <f t="shared" si="2"/>
        <v>1</v>
      </c>
      <c r="F1613" s="15"/>
      <c r="G1613" s="4"/>
    </row>
    <row r="1614" ht="14.25" customHeight="1">
      <c r="A1614" s="8" t="s">
        <v>596</v>
      </c>
      <c r="B1614" s="8">
        <v>7.9</v>
      </c>
      <c r="C1614" s="4" t="str">
        <f>IFERROR(__xludf.DUMMYFUNCTION("""COMPUTED_VALUE"""),"Levan Gabriadze")</f>
        <v>Levan Gabriadze</v>
      </c>
      <c r="D1614" s="31">
        <f t="shared" si="1"/>
        <v>5.7</v>
      </c>
      <c r="E1614" s="4">
        <f t="shared" si="2"/>
        <v>1</v>
      </c>
      <c r="F1614" s="15"/>
      <c r="G1614" s="4"/>
    </row>
    <row r="1615" ht="14.25" customHeight="1">
      <c r="A1615" s="8" t="s">
        <v>3449</v>
      </c>
      <c r="B1615" s="8">
        <v>6.4</v>
      </c>
      <c r="C1615" s="4" t="str">
        <f>IFERROR(__xludf.DUMMYFUNCTION("""COMPUTED_VALUE"""),"Bradley Parker")</f>
        <v>Bradley Parker</v>
      </c>
      <c r="D1615" s="31">
        <f t="shared" si="1"/>
        <v>5</v>
      </c>
      <c r="E1615" s="4">
        <f t="shared" si="2"/>
        <v>1</v>
      </c>
      <c r="F1615" s="15"/>
      <c r="G1615" s="4"/>
    </row>
    <row r="1616" ht="14.25" customHeight="1">
      <c r="A1616" s="8" t="s">
        <v>2059</v>
      </c>
      <c r="B1616" s="8">
        <v>5.8</v>
      </c>
      <c r="C1616" s="4" t="str">
        <f>IFERROR(__xludf.DUMMYFUNCTION("""COMPUTED_VALUE"""),"Clive Barker")</f>
        <v>Clive Barker</v>
      </c>
      <c r="D1616" s="31">
        <f t="shared" si="1"/>
        <v>7</v>
      </c>
      <c r="E1616" s="4">
        <f t="shared" si="2"/>
        <v>1</v>
      </c>
      <c r="F1616" s="15"/>
      <c r="G1616" s="4"/>
    </row>
    <row r="1617" ht="14.25" customHeight="1">
      <c r="A1617" s="8" t="s">
        <v>361</v>
      </c>
      <c r="B1617" s="8">
        <v>7.7</v>
      </c>
      <c r="C1617" s="4" t="str">
        <f>IFERROR(__xludf.DUMMYFUNCTION("""COMPUTED_VALUE"""),"Harold Cronk")</f>
        <v>Harold Cronk</v>
      </c>
      <c r="D1617" s="31">
        <f t="shared" si="1"/>
        <v>3.4</v>
      </c>
      <c r="E1617" s="4">
        <f t="shared" si="2"/>
        <v>1</v>
      </c>
      <c r="F1617" s="15"/>
      <c r="G1617" s="4"/>
    </row>
    <row r="1618" ht="14.25" customHeight="1">
      <c r="A1618" s="8" t="s">
        <v>2427</v>
      </c>
      <c r="B1618" s="8">
        <v>5.3</v>
      </c>
      <c r="C1618" s="4" t="str">
        <f>IFERROR(__xludf.DUMMYFUNCTION("""COMPUTED_VALUE"""),"Takao Okawara")</f>
        <v>Takao Okawara</v>
      </c>
      <c r="D1618" s="31">
        <f t="shared" si="1"/>
        <v>6</v>
      </c>
      <c r="E1618" s="4">
        <f t="shared" si="2"/>
        <v>1</v>
      </c>
      <c r="F1618" s="15"/>
      <c r="G1618" s="4"/>
    </row>
    <row r="1619" ht="14.25" customHeight="1">
      <c r="A1619" s="8" t="s">
        <v>3455</v>
      </c>
      <c r="B1619" s="8">
        <v>5.3</v>
      </c>
      <c r="C1619" s="4" t="str">
        <f>IFERROR(__xludf.DUMMYFUNCTION("""COMPUTED_VALUE"""),"Duncan Tucker")</f>
        <v>Duncan Tucker</v>
      </c>
      <c r="D1619" s="31">
        <f t="shared" si="1"/>
        <v>7.4</v>
      </c>
      <c r="E1619" s="4">
        <f t="shared" si="2"/>
        <v>1</v>
      </c>
      <c r="F1619" s="15"/>
      <c r="G1619" s="4"/>
    </row>
    <row r="1620" ht="14.25" customHeight="1">
      <c r="A1620" s="8" t="s">
        <v>3457</v>
      </c>
      <c r="B1620" s="8">
        <v>7.5</v>
      </c>
      <c r="C1620" s="4" t="str">
        <f>IFERROR(__xludf.DUMMYFUNCTION("""COMPUTED_VALUE"""),"Russ Meyer")</f>
        <v>Russ Meyer</v>
      </c>
      <c r="D1620" s="31">
        <f t="shared" si="1"/>
        <v>6.2</v>
      </c>
      <c r="E1620" s="4">
        <f t="shared" si="2"/>
        <v>1</v>
      </c>
      <c r="F1620" s="15"/>
      <c r="G1620" s="4"/>
    </row>
    <row r="1621" ht="14.25" customHeight="1">
      <c r="A1621" s="8" t="s">
        <v>1485</v>
      </c>
      <c r="B1621" s="8">
        <v>6.9</v>
      </c>
      <c r="C1621" s="4" t="str">
        <f>IFERROR(__xludf.DUMMYFUNCTION("""COMPUTED_VALUE"""),"Ben Lewin")</f>
        <v>Ben Lewin</v>
      </c>
      <c r="D1621" s="31">
        <f t="shared" si="1"/>
        <v>7.2</v>
      </c>
      <c r="E1621" s="4">
        <f t="shared" si="2"/>
        <v>1</v>
      </c>
      <c r="F1621" s="15"/>
      <c r="G1621" s="4"/>
    </row>
    <row r="1622" ht="14.25" customHeight="1">
      <c r="A1622" s="8" t="s">
        <v>3460</v>
      </c>
      <c r="B1622" s="8">
        <v>4.9</v>
      </c>
      <c r="C1622" s="4" t="str">
        <f>IFERROR(__xludf.DUMMYFUNCTION("""COMPUTED_VALUE"""),"Courtney Hunt")</f>
        <v>Courtney Hunt</v>
      </c>
      <c r="D1622" s="31">
        <f t="shared" si="1"/>
        <v>7.2</v>
      </c>
      <c r="E1622" s="4">
        <f t="shared" si="2"/>
        <v>1</v>
      </c>
      <c r="F1622" s="15"/>
      <c r="G1622" s="4"/>
    </row>
    <row r="1623" ht="14.25" customHeight="1">
      <c r="A1623" s="8" t="s">
        <v>3462</v>
      </c>
      <c r="B1623" s="8">
        <v>7.1</v>
      </c>
      <c r="C1623" s="4" t="str">
        <f>IFERROR(__xludf.DUMMYFUNCTION("""COMPUTED_VALUE"""),"Morgan Neville")</f>
        <v>Morgan Neville</v>
      </c>
      <c r="D1623" s="31">
        <f t="shared" si="1"/>
        <v>7.4</v>
      </c>
      <c r="E1623" s="4">
        <f t="shared" si="2"/>
        <v>1</v>
      </c>
      <c r="F1623" s="15"/>
      <c r="G1623" s="4"/>
    </row>
    <row r="1624" ht="14.25" customHeight="1">
      <c r="A1624" s="8" t="s">
        <v>691</v>
      </c>
      <c r="B1624" s="8">
        <v>8.0</v>
      </c>
      <c r="C1624" s="4" t="str">
        <f>IFERROR(__xludf.DUMMYFUNCTION("""COMPUTED_VALUE"""),"Chris Paine")</f>
        <v>Chris Paine</v>
      </c>
      <c r="D1624" s="31">
        <f t="shared" si="1"/>
        <v>7.7</v>
      </c>
      <c r="E1624" s="4">
        <f t="shared" si="2"/>
        <v>1</v>
      </c>
      <c r="F1624" s="15"/>
      <c r="G1624" s="4"/>
    </row>
    <row r="1625" ht="14.25" customHeight="1">
      <c r="A1625" s="8" t="s">
        <v>1258</v>
      </c>
      <c r="B1625" s="8">
        <v>7.9</v>
      </c>
      <c r="C1625" s="4" t="str">
        <f>IFERROR(__xludf.DUMMYFUNCTION("""COMPUTED_VALUE"""),"Greg Berlanti")</f>
        <v>Greg Berlanti</v>
      </c>
      <c r="D1625" s="31">
        <f t="shared" si="1"/>
        <v>7</v>
      </c>
      <c r="E1625" s="4">
        <f t="shared" si="2"/>
        <v>1</v>
      </c>
      <c r="F1625" s="15"/>
      <c r="G1625" s="4"/>
    </row>
    <row r="1626" ht="14.25" customHeight="1">
      <c r="A1626" s="8" t="s">
        <v>168</v>
      </c>
      <c r="B1626" s="8">
        <v>7.6</v>
      </c>
      <c r="C1626" s="4" t="str">
        <f>IFERROR(__xludf.DUMMYFUNCTION("""COMPUTED_VALUE"""),"Marc Levin")</f>
        <v>Marc Levin</v>
      </c>
      <c r="D1626" s="31">
        <f t="shared" si="1"/>
        <v>7.2</v>
      </c>
      <c r="E1626" s="4">
        <f t="shared" si="2"/>
        <v>1</v>
      </c>
      <c r="F1626" s="15"/>
      <c r="G1626" s="4"/>
    </row>
    <row r="1627" ht="14.25" customHeight="1">
      <c r="A1627" s="8" t="s">
        <v>3469</v>
      </c>
      <c r="B1627" s="8">
        <v>5.9</v>
      </c>
      <c r="C1627" s="4" t="str">
        <f>IFERROR(__xludf.DUMMYFUNCTION("""COMPUTED_VALUE"""),"Richard Dutcher")</f>
        <v>Richard Dutcher</v>
      </c>
      <c r="D1627" s="31">
        <f t="shared" si="1"/>
        <v>7.2</v>
      </c>
      <c r="E1627" s="4">
        <f t="shared" si="2"/>
        <v>1</v>
      </c>
      <c r="F1627" s="15"/>
      <c r="G1627" s="4"/>
    </row>
    <row r="1628" ht="14.25" customHeight="1">
      <c r="A1628" s="8" t="s">
        <v>408</v>
      </c>
      <c r="B1628" s="8">
        <v>6.3</v>
      </c>
      <c r="C1628" s="4" t="str">
        <f>IFERROR(__xludf.DUMMYFUNCTION("""COMPUTED_VALUE"""),"Khalid Mohamed")</f>
        <v>Khalid Mohamed</v>
      </c>
      <c r="D1628" s="31">
        <f t="shared" si="1"/>
        <v>6.2</v>
      </c>
      <c r="E1628" s="4">
        <f t="shared" si="2"/>
        <v>1</v>
      </c>
      <c r="F1628" s="15"/>
      <c r="G1628" s="4"/>
    </row>
    <row r="1629" ht="14.25" customHeight="1">
      <c r="A1629" s="8" t="s">
        <v>1980</v>
      </c>
      <c r="B1629" s="8">
        <v>6.4</v>
      </c>
      <c r="C1629" s="4" t="str">
        <f>IFERROR(__xludf.DUMMYFUNCTION("""COMPUTED_VALUE"""),"Finn Taylor")</f>
        <v>Finn Taylor</v>
      </c>
      <c r="D1629" s="31">
        <f t="shared" si="1"/>
        <v>7</v>
      </c>
      <c r="E1629" s="4">
        <f t="shared" si="2"/>
        <v>1</v>
      </c>
      <c r="F1629" s="15"/>
      <c r="G1629" s="4"/>
    </row>
    <row r="1630" ht="14.25" customHeight="1">
      <c r="A1630" s="8" t="s">
        <v>545</v>
      </c>
      <c r="B1630" s="8">
        <v>8.2</v>
      </c>
      <c r="C1630" s="4" t="str">
        <f>IFERROR(__xludf.DUMMYFUNCTION("""COMPUTED_VALUE"""),"Karen Moncrieff")</f>
        <v>Karen Moncrieff</v>
      </c>
      <c r="D1630" s="31">
        <f t="shared" si="1"/>
        <v>6.7</v>
      </c>
      <c r="E1630" s="4">
        <f t="shared" si="2"/>
        <v>1</v>
      </c>
      <c r="F1630" s="15"/>
      <c r="G1630" s="4"/>
    </row>
    <row r="1631" ht="14.25" customHeight="1">
      <c r="A1631" s="8" t="s">
        <v>3475</v>
      </c>
      <c r="B1631" s="8">
        <v>6.9</v>
      </c>
      <c r="C1631" s="4" t="str">
        <f>IFERROR(__xludf.DUMMYFUNCTION("""COMPUTED_VALUE"""),"JosÃ© Luis Valenzuela")</f>
        <v>JosÃ© Luis Valenzuela</v>
      </c>
      <c r="D1631" s="31">
        <f t="shared" si="1"/>
        <v>3.6</v>
      </c>
      <c r="E1631" s="4">
        <f t="shared" si="2"/>
        <v>1</v>
      </c>
      <c r="F1631" s="15"/>
      <c r="G1631" s="4"/>
    </row>
    <row r="1632" ht="14.25" customHeight="1">
      <c r="A1632" s="8" t="s">
        <v>727</v>
      </c>
      <c r="B1632" s="8">
        <v>7.8</v>
      </c>
      <c r="C1632" s="4" t="str">
        <f>IFERROR(__xludf.DUMMYFUNCTION("""COMPUTED_VALUE"""),"Goran Dukic")</f>
        <v>Goran Dukic</v>
      </c>
      <c r="D1632" s="31">
        <f t="shared" si="1"/>
        <v>7.4</v>
      </c>
      <c r="E1632" s="4">
        <f t="shared" si="2"/>
        <v>1</v>
      </c>
      <c r="F1632" s="15"/>
      <c r="G1632" s="4"/>
    </row>
    <row r="1633" ht="14.25" customHeight="1">
      <c r="A1633" s="8" t="s">
        <v>448</v>
      </c>
      <c r="B1633" s="8">
        <v>6.7</v>
      </c>
      <c r="C1633" s="4" t="str">
        <f>IFERROR(__xludf.DUMMYFUNCTION("""COMPUTED_VALUE"""),"Efram Potelle")</f>
        <v>Efram Potelle</v>
      </c>
      <c r="D1633" s="31">
        <f t="shared" si="1"/>
        <v>6.1</v>
      </c>
      <c r="E1633" s="4">
        <f t="shared" si="2"/>
        <v>1</v>
      </c>
      <c r="F1633" s="15"/>
      <c r="G1633" s="4"/>
    </row>
    <row r="1634" ht="14.25" customHeight="1">
      <c r="A1634" s="8" t="s">
        <v>3385</v>
      </c>
      <c r="B1634" s="8">
        <v>7.5</v>
      </c>
      <c r="C1634" s="4" t="str">
        <f>IFERROR(__xludf.DUMMYFUNCTION("""COMPUTED_VALUE"""),"Joshua Oppenheimer")</f>
        <v>Joshua Oppenheimer</v>
      </c>
      <c r="D1634" s="31">
        <f t="shared" si="1"/>
        <v>8.2</v>
      </c>
      <c r="E1634" s="4">
        <f t="shared" si="2"/>
        <v>1</v>
      </c>
      <c r="F1634" s="15"/>
      <c r="G1634" s="4"/>
    </row>
    <row r="1635" ht="14.25" customHeight="1">
      <c r="A1635" s="8" t="s">
        <v>48</v>
      </c>
      <c r="B1635" s="8">
        <v>7.4</v>
      </c>
      <c r="C1635" s="4" t="str">
        <f>IFERROR(__xludf.DUMMYFUNCTION("""COMPUTED_VALUE"""),"Alex Gibney")</f>
        <v>Alex Gibney</v>
      </c>
      <c r="D1635" s="31">
        <f t="shared" si="1"/>
        <v>7.7</v>
      </c>
      <c r="E1635" s="4">
        <f t="shared" si="2"/>
        <v>1</v>
      </c>
      <c r="F1635" s="15"/>
      <c r="G1635" s="4"/>
    </row>
    <row r="1636" ht="14.25" customHeight="1">
      <c r="A1636" s="8" t="s">
        <v>1087</v>
      </c>
      <c r="B1636" s="8">
        <v>5.2</v>
      </c>
      <c r="C1636" s="4" t="str">
        <f>IFERROR(__xludf.DUMMYFUNCTION("""COMPUTED_VALUE"""),"Paul Crowder")</f>
        <v>Paul Crowder</v>
      </c>
      <c r="D1636" s="31">
        <f t="shared" si="1"/>
        <v>7.3</v>
      </c>
      <c r="E1636" s="4">
        <f t="shared" si="2"/>
        <v>1</v>
      </c>
      <c r="F1636" s="15"/>
      <c r="G1636" s="4"/>
    </row>
    <row r="1637" ht="14.25" customHeight="1">
      <c r="A1637" s="8" t="s">
        <v>2161</v>
      </c>
      <c r="B1637" s="8">
        <v>7.6</v>
      </c>
      <c r="C1637" s="4" t="str">
        <f>IFERROR(__xludf.DUMMYFUNCTION("""COMPUTED_VALUE"""),"Anthony Powell")</f>
        <v>Anthony Powell</v>
      </c>
      <c r="D1637" s="31">
        <f t="shared" si="1"/>
        <v>7.6</v>
      </c>
      <c r="E1637" s="4">
        <f t="shared" si="2"/>
        <v>1</v>
      </c>
      <c r="F1637" s="15"/>
      <c r="G1637" s="4"/>
    </row>
    <row r="1638" ht="14.25" customHeight="1">
      <c r="A1638" s="8" t="s">
        <v>596</v>
      </c>
      <c r="B1638" s="8">
        <v>7.3</v>
      </c>
      <c r="C1638" s="4" t="str">
        <f>IFERROR(__xludf.DUMMYFUNCTION("""COMPUTED_VALUE"""),"Kief Davidson")</f>
        <v>Kief Davidson</v>
      </c>
      <c r="D1638" s="31">
        <f t="shared" si="1"/>
        <v>6.8</v>
      </c>
      <c r="E1638" s="4">
        <f t="shared" si="2"/>
        <v>1</v>
      </c>
      <c r="F1638" s="15"/>
      <c r="G1638" s="4"/>
    </row>
    <row r="1639" ht="14.25" customHeight="1">
      <c r="A1639" s="8" t="s">
        <v>300</v>
      </c>
      <c r="B1639" s="8">
        <v>6.6</v>
      </c>
      <c r="C1639" s="4" t="str">
        <f>IFERROR(__xludf.DUMMYFUNCTION("""COMPUTED_VALUE"""),"Johnny Remo")</f>
        <v>Johnny Remo</v>
      </c>
      <c r="D1639" s="31">
        <f t="shared" si="1"/>
        <v>5.6</v>
      </c>
      <c r="E1639" s="4">
        <f t="shared" si="2"/>
        <v>1</v>
      </c>
      <c r="F1639" s="15"/>
      <c r="G1639" s="4"/>
    </row>
    <row r="1640" ht="14.25" customHeight="1">
      <c r="A1640" s="8" t="s">
        <v>2444</v>
      </c>
      <c r="B1640" s="8">
        <v>6.8</v>
      </c>
      <c r="C1640" s="4" t="str">
        <f>IFERROR(__xludf.DUMMYFUNCTION("""COMPUTED_VALUE"""),"Vivek Agnihotri")</f>
        <v>Vivek Agnihotri</v>
      </c>
      <c r="D1640" s="31">
        <f t="shared" si="1"/>
        <v>4.8</v>
      </c>
      <c r="E1640" s="4">
        <f t="shared" si="2"/>
        <v>1</v>
      </c>
      <c r="F1640" s="15"/>
      <c r="G1640" s="4"/>
    </row>
    <row r="1641" ht="14.25" customHeight="1">
      <c r="A1641" s="8" t="s">
        <v>698</v>
      </c>
      <c r="B1641" s="8">
        <v>6.9</v>
      </c>
      <c r="C1641" s="4" t="str">
        <f>IFERROR(__xludf.DUMMYFUNCTION("""COMPUTED_VALUE"""),"Ti West")</f>
        <v>Ti West</v>
      </c>
      <c r="D1641" s="31">
        <f t="shared" si="1"/>
        <v>5.95</v>
      </c>
      <c r="E1641" s="4">
        <f t="shared" si="2"/>
        <v>2</v>
      </c>
      <c r="F1641" s="15"/>
      <c r="G1641" s="4"/>
    </row>
    <row r="1642" ht="14.25" customHeight="1">
      <c r="A1642" s="8" t="s">
        <v>758</v>
      </c>
      <c r="B1642" s="8">
        <v>5.8</v>
      </c>
      <c r="C1642" s="4" t="str">
        <f>IFERROR(__xludf.DUMMYFUNCTION("""COMPUTED_VALUE"""),"Nick Tomnay")</f>
        <v>Nick Tomnay</v>
      </c>
      <c r="D1642" s="31">
        <f t="shared" si="1"/>
        <v>6.8</v>
      </c>
      <c r="E1642" s="4">
        <f t="shared" si="2"/>
        <v>1</v>
      </c>
      <c r="F1642" s="15"/>
      <c r="G1642" s="4"/>
    </row>
    <row r="1643" ht="14.25" customHeight="1">
      <c r="A1643" s="8" t="s">
        <v>894</v>
      </c>
      <c r="B1643" s="8">
        <v>6.6</v>
      </c>
      <c r="C1643" s="4" t="str">
        <f>IFERROR(__xludf.DUMMYFUNCTION("""COMPUTED_VALUE"""),"Eric Nicholas")</f>
        <v>Eric Nicholas</v>
      </c>
      <c r="D1643" s="31">
        <f t="shared" si="1"/>
        <v>6.1</v>
      </c>
      <c r="E1643" s="4">
        <f t="shared" si="2"/>
        <v>1</v>
      </c>
      <c r="F1643" s="15"/>
      <c r="G1643" s="4"/>
    </row>
    <row r="1644" ht="14.25" customHeight="1">
      <c r="A1644" s="8" t="s">
        <v>3025</v>
      </c>
      <c r="B1644" s="8">
        <v>6.7</v>
      </c>
      <c r="C1644" s="4" t="str">
        <f>IFERROR(__xludf.DUMMYFUNCTION("""COMPUTED_VALUE"""),"Benjamin Dickinson")</f>
        <v>Benjamin Dickinson</v>
      </c>
      <c r="D1644" s="31">
        <f t="shared" si="1"/>
        <v>5.5</v>
      </c>
      <c r="E1644" s="4">
        <f t="shared" si="2"/>
        <v>1</v>
      </c>
      <c r="F1644" s="15"/>
      <c r="G1644" s="4"/>
    </row>
    <row r="1645" ht="14.25" customHeight="1">
      <c r="A1645" s="8" t="s">
        <v>1650</v>
      </c>
      <c r="B1645" s="8">
        <v>6.7</v>
      </c>
      <c r="C1645" s="4" t="str">
        <f>IFERROR(__xludf.DUMMYFUNCTION("""COMPUTED_VALUE"""),"Hal Haberman")</f>
        <v>Hal Haberman</v>
      </c>
      <c r="D1645" s="31">
        <f t="shared" si="1"/>
        <v>6.9</v>
      </c>
      <c r="E1645" s="4">
        <f t="shared" si="2"/>
        <v>1</v>
      </c>
      <c r="F1645" s="15"/>
      <c r="G1645" s="4"/>
    </row>
    <row r="1646" ht="14.25" customHeight="1">
      <c r="A1646" s="8" t="s">
        <v>2866</v>
      </c>
      <c r="B1646" s="8">
        <v>6.3</v>
      </c>
      <c r="C1646" s="4" t="str">
        <f>IFERROR(__xludf.DUMMYFUNCTION("""COMPUTED_VALUE"""),"Frank Whaley")</f>
        <v>Frank Whaley</v>
      </c>
      <c r="D1646" s="31">
        <f t="shared" si="1"/>
        <v>5.4</v>
      </c>
      <c r="E1646" s="4">
        <f t="shared" si="2"/>
        <v>1</v>
      </c>
      <c r="F1646" s="15"/>
      <c r="G1646" s="4"/>
    </row>
    <row r="1647" ht="14.25" customHeight="1">
      <c r="A1647" s="8" t="s">
        <v>295</v>
      </c>
      <c r="B1647" s="8">
        <v>7.7</v>
      </c>
      <c r="C1647" s="4" t="str">
        <f>IFERROR(__xludf.DUMMYFUNCTION("""COMPUTED_VALUE"""),"Elia Kazan")</f>
        <v>Elia Kazan</v>
      </c>
      <c r="D1647" s="31">
        <f t="shared" si="1"/>
        <v>8.2</v>
      </c>
      <c r="E1647" s="4">
        <f t="shared" si="2"/>
        <v>1</v>
      </c>
      <c r="F1647" s="15"/>
      <c r="G1647" s="4"/>
    </row>
    <row r="1648" ht="14.25" customHeight="1">
      <c r="A1648" s="8" t="s">
        <v>1716</v>
      </c>
      <c r="B1648" s="8">
        <v>6.1</v>
      </c>
      <c r="C1648" s="4" t="str">
        <f>IFERROR(__xludf.DUMMYFUNCTION("""COMPUTED_VALUE"""),"Kat Coiro")</f>
        <v>Kat Coiro</v>
      </c>
      <c r="D1648" s="31">
        <f t="shared" si="1"/>
        <v>5.7</v>
      </c>
      <c r="E1648" s="4">
        <f t="shared" si="2"/>
        <v>1</v>
      </c>
      <c r="F1648" s="15"/>
      <c r="G1648" s="4"/>
    </row>
    <row r="1649" ht="14.25" customHeight="1">
      <c r="A1649" s="8" t="s">
        <v>2205</v>
      </c>
      <c r="B1649" s="8">
        <v>4.9</v>
      </c>
      <c r="C1649" s="4" t="str">
        <f>IFERROR(__xludf.DUMMYFUNCTION("""COMPUTED_VALUE"""),"Cristian Mungiu")</f>
        <v>Cristian Mungiu</v>
      </c>
      <c r="D1649" s="31">
        <f t="shared" si="1"/>
        <v>7.9</v>
      </c>
      <c r="E1649" s="4">
        <f t="shared" si="2"/>
        <v>1</v>
      </c>
      <c r="F1649" s="15"/>
      <c r="G1649" s="4"/>
    </row>
    <row r="1650" ht="14.25" customHeight="1">
      <c r="A1650" s="8" t="s">
        <v>3508</v>
      </c>
      <c r="B1650" s="8">
        <v>6.2</v>
      </c>
      <c r="C1650" s="4" t="str">
        <f>IFERROR(__xludf.DUMMYFUNCTION("""COMPUTED_VALUE"""),"Ramaa Mosley")</f>
        <v>Ramaa Mosley</v>
      </c>
      <c r="D1650" s="31">
        <f t="shared" si="1"/>
        <v>6.4</v>
      </c>
      <c r="E1650" s="4">
        <f t="shared" si="2"/>
        <v>1</v>
      </c>
      <c r="F1650" s="15"/>
      <c r="G1650" s="4"/>
    </row>
    <row r="1651" ht="14.25" customHeight="1">
      <c r="A1651" s="8" t="s">
        <v>399</v>
      </c>
      <c r="B1651" s="8">
        <v>7.8</v>
      </c>
      <c r="C1651" s="4" t="str">
        <f>IFERROR(__xludf.DUMMYFUNCTION("""COMPUTED_VALUE"""),"C. Jay Cox")</f>
        <v>C. Jay Cox</v>
      </c>
      <c r="D1651" s="31">
        <f t="shared" si="1"/>
        <v>6.45</v>
      </c>
      <c r="E1651" s="4">
        <f t="shared" si="2"/>
        <v>2</v>
      </c>
      <c r="F1651" s="15"/>
      <c r="G1651" s="4"/>
    </row>
    <row r="1652" ht="14.25" customHeight="1">
      <c r="A1652" s="8" t="s">
        <v>80</v>
      </c>
      <c r="B1652" s="8">
        <v>8.2</v>
      </c>
      <c r="C1652" s="4" t="str">
        <f>IFERROR(__xludf.DUMMYFUNCTION("""COMPUTED_VALUE"""),"Jamie Travis")</f>
        <v>Jamie Travis</v>
      </c>
      <c r="D1652" s="31">
        <f t="shared" si="1"/>
        <v>6</v>
      </c>
      <c r="E1652" s="4">
        <f t="shared" si="2"/>
        <v>1</v>
      </c>
      <c r="F1652" s="15"/>
      <c r="G1652" s="4"/>
    </row>
    <row r="1653" ht="14.25" customHeight="1">
      <c r="A1653" s="8" t="s">
        <v>1437</v>
      </c>
      <c r="B1653" s="8">
        <v>6.9</v>
      </c>
      <c r="C1653" s="4" t="str">
        <f>IFERROR(__xludf.DUMMYFUNCTION("""COMPUTED_VALUE"""),"Rich Christiano")</f>
        <v>Rich Christiano</v>
      </c>
      <c r="D1653" s="31">
        <f t="shared" si="1"/>
        <v>5.6</v>
      </c>
      <c r="E1653" s="4">
        <f t="shared" si="2"/>
        <v>1</v>
      </c>
      <c r="F1653" s="15"/>
      <c r="G1653" s="4"/>
    </row>
    <row r="1654" ht="14.25" customHeight="1">
      <c r="A1654" s="8" t="s">
        <v>142</v>
      </c>
      <c r="B1654" s="8">
        <v>6.2</v>
      </c>
      <c r="C1654" s="4" t="str">
        <f>IFERROR(__xludf.DUMMYFUNCTION("""COMPUTED_VALUE"""),"Asghar Farhadi")</f>
        <v>Asghar Farhadi</v>
      </c>
      <c r="D1654" s="31">
        <f t="shared" si="1"/>
        <v>8.4</v>
      </c>
      <c r="E1654" s="4">
        <f t="shared" si="2"/>
        <v>1</v>
      </c>
      <c r="F1654" s="15"/>
      <c r="G1654" s="4"/>
    </row>
    <row r="1655" ht="14.25" customHeight="1">
      <c r="A1655" s="8" t="s">
        <v>3516</v>
      </c>
      <c r="B1655" s="8">
        <v>6.9</v>
      </c>
      <c r="C1655" s="4" t="str">
        <f>IFERROR(__xludf.DUMMYFUNCTION("""COMPUTED_VALUE"""),"Shane Dawson")</f>
        <v>Shane Dawson</v>
      </c>
      <c r="D1655" s="31">
        <f t="shared" si="1"/>
        <v>5.1</v>
      </c>
      <c r="E1655" s="4">
        <f t="shared" si="2"/>
        <v>1</v>
      </c>
      <c r="F1655" s="15"/>
      <c r="G1655" s="4"/>
    </row>
    <row r="1656" ht="14.25" customHeight="1">
      <c r="A1656" s="8" t="s">
        <v>3518</v>
      </c>
      <c r="B1656" s="8">
        <v>4.8</v>
      </c>
      <c r="C1656" s="4" t="str">
        <f>IFERROR(__xludf.DUMMYFUNCTION("""COMPUTED_VALUE"""),"Ryan Little")</f>
        <v>Ryan Little</v>
      </c>
      <c r="D1656" s="31">
        <f t="shared" si="1"/>
        <v>6.8</v>
      </c>
      <c r="E1656" s="4">
        <f t="shared" si="2"/>
        <v>1</v>
      </c>
      <c r="F1656" s="15"/>
      <c r="G1656" s="4"/>
    </row>
    <row r="1657" ht="14.25" customHeight="1">
      <c r="A1657" s="8" t="s">
        <v>1185</v>
      </c>
      <c r="B1657" s="8">
        <v>8.0</v>
      </c>
      <c r="C1657" s="4" t="str">
        <f>IFERROR(__xludf.DUMMYFUNCTION("""COMPUTED_VALUE"""),"Matt Maiellaro")</f>
        <v>Matt Maiellaro</v>
      </c>
      <c r="D1657" s="31">
        <f t="shared" si="1"/>
        <v>6.9</v>
      </c>
      <c r="E1657" s="4">
        <f t="shared" si="2"/>
        <v>1</v>
      </c>
      <c r="F1657" s="15"/>
      <c r="G1657" s="4"/>
    </row>
    <row r="1658" ht="14.25" customHeight="1">
      <c r="A1658" s="8" t="s">
        <v>1727</v>
      </c>
      <c r="B1658" s="8">
        <v>5.3</v>
      </c>
      <c r="C1658" s="4" t="str">
        <f>IFERROR(__xludf.DUMMYFUNCTION("""COMPUTED_VALUE"""),"Ben Wheatley")</f>
        <v>Ben Wheatley</v>
      </c>
      <c r="D1658" s="31">
        <f t="shared" si="1"/>
        <v>6.3</v>
      </c>
      <c r="E1658" s="4">
        <f t="shared" si="2"/>
        <v>1</v>
      </c>
      <c r="F1658" s="15"/>
      <c r="G1658" s="4"/>
    </row>
    <row r="1659" ht="14.25" customHeight="1">
      <c r="A1659" s="8" t="s">
        <v>827</v>
      </c>
      <c r="B1659" s="8">
        <v>6.7</v>
      </c>
      <c r="C1659" s="4" t="str">
        <f>IFERROR(__xludf.DUMMYFUNCTION("""COMPUTED_VALUE"""),"Oliver Blackburn")</f>
        <v>Oliver Blackburn</v>
      </c>
      <c r="D1659" s="31">
        <f t="shared" si="1"/>
        <v>5.2</v>
      </c>
      <c r="E1659" s="4">
        <f t="shared" si="2"/>
        <v>1</v>
      </c>
      <c r="F1659" s="15"/>
      <c r="G1659" s="4"/>
    </row>
    <row r="1660" ht="14.25" customHeight="1">
      <c r="A1660" s="8" t="s">
        <v>1669</v>
      </c>
      <c r="B1660" s="8">
        <v>5.4</v>
      </c>
      <c r="C1660" s="4" t="str">
        <f>IFERROR(__xludf.DUMMYFUNCTION("""COMPUTED_VALUE"""),"Ryan Fleck")</f>
        <v>Ryan Fleck</v>
      </c>
      <c r="D1660" s="31">
        <f t="shared" si="1"/>
        <v>7.2</v>
      </c>
      <c r="E1660" s="4">
        <f t="shared" si="2"/>
        <v>1</v>
      </c>
      <c r="F1660" s="15"/>
      <c r="G1660" s="4"/>
    </row>
    <row r="1661" ht="14.25" customHeight="1">
      <c r="A1661" s="8" t="s">
        <v>3529</v>
      </c>
      <c r="B1661" s="8">
        <v>5.4</v>
      </c>
      <c r="C1661" s="4" t="str">
        <f>IFERROR(__xludf.DUMMYFUNCTION("""COMPUTED_VALUE"""),"Jennifer Wynne Farmer")</f>
        <v>Jennifer Wynne Farmer</v>
      </c>
      <c r="D1661" s="31">
        <f t="shared" si="1"/>
        <v>6.5</v>
      </c>
      <c r="E1661" s="4">
        <f t="shared" si="2"/>
        <v>1</v>
      </c>
      <c r="F1661" s="15"/>
      <c r="G1661" s="4"/>
    </row>
    <row r="1662" ht="14.25" customHeight="1">
      <c r="A1662" s="8" t="s">
        <v>2158</v>
      </c>
      <c r="B1662" s="8">
        <v>4.9</v>
      </c>
      <c r="C1662" s="4" t="str">
        <f>IFERROR(__xludf.DUMMYFUNCTION("""COMPUTED_VALUE"""),"Christopher Scott Cherot")</f>
        <v>Christopher Scott Cherot</v>
      </c>
      <c r="D1662" s="31">
        <f t="shared" si="1"/>
        <v>6.5</v>
      </c>
      <c r="E1662" s="4">
        <f t="shared" si="2"/>
        <v>1</v>
      </c>
      <c r="F1662" s="15"/>
      <c r="G1662" s="4"/>
    </row>
    <row r="1663" ht="14.25" customHeight="1">
      <c r="A1663" s="8" t="s">
        <v>2176</v>
      </c>
      <c r="B1663" s="8">
        <v>6.1</v>
      </c>
      <c r="C1663" s="4" t="str">
        <f>IFERROR(__xludf.DUMMYFUNCTION("""COMPUTED_VALUE"""),"Mark Sandrich")</f>
        <v>Mark Sandrich</v>
      </c>
      <c r="D1663" s="31">
        <f t="shared" si="1"/>
        <v>7.8</v>
      </c>
      <c r="E1663" s="4">
        <f t="shared" si="2"/>
        <v>1</v>
      </c>
      <c r="F1663" s="15"/>
      <c r="G1663" s="4"/>
    </row>
    <row r="1664" ht="14.25" customHeight="1">
      <c r="A1664" s="8" t="s">
        <v>2417</v>
      </c>
      <c r="B1664" s="8">
        <v>5.8</v>
      </c>
      <c r="C1664" s="4" t="str">
        <f>IFERROR(__xludf.DUMMYFUNCTION("""COMPUTED_VALUE"""),"Daniel Myrick")</f>
        <v>Daniel Myrick</v>
      </c>
      <c r="D1664" s="31">
        <f t="shared" si="1"/>
        <v>6.4</v>
      </c>
      <c r="E1664" s="4">
        <f t="shared" si="2"/>
        <v>1</v>
      </c>
      <c r="F1664" s="15"/>
      <c r="G1664" s="4"/>
    </row>
    <row r="1665" ht="14.25" customHeight="1">
      <c r="A1665" s="8" t="s">
        <v>208</v>
      </c>
      <c r="B1665" s="8">
        <v>7.0</v>
      </c>
      <c r="C1665" s="4" t="str">
        <f>IFERROR(__xludf.DUMMYFUNCTION("""COMPUTED_VALUE"""),"Michael Wadleigh")</f>
        <v>Michael Wadleigh</v>
      </c>
      <c r="D1665" s="31">
        <f t="shared" si="1"/>
        <v>8.1</v>
      </c>
      <c r="E1665" s="4">
        <f t="shared" si="2"/>
        <v>1</v>
      </c>
      <c r="F1665" s="15"/>
      <c r="G1665" s="4"/>
    </row>
    <row r="1666" ht="14.25" customHeight="1">
      <c r="A1666" s="8" t="s">
        <v>3540</v>
      </c>
      <c r="B1666" s="8">
        <v>6.5</v>
      </c>
      <c r="C1666" s="4" t="str">
        <f>IFERROR(__xludf.DUMMYFUNCTION("""COMPUTED_VALUE"""),"Scott Ziehl")</f>
        <v>Scott Ziehl</v>
      </c>
      <c r="D1666" s="31">
        <f t="shared" si="1"/>
        <v>6.6</v>
      </c>
      <c r="E1666" s="4">
        <f t="shared" si="2"/>
        <v>1</v>
      </c>
      <c r="F1666" s="15"/>
      <c r="G1666" s="4"/>
    </row>
    <row r="1667" ht="14.25" customHeight="1">
      <c r="A1667" s="8" t="s">
        <v>3542</v>
      </c>
      <c r="B1667" s="8">
        <v>6.6</v>
      </c>
      <c r="C1667" s="4" t="str">
        <f>IFERROR(__xludf.DUMMYFUNCTION("""COMPUTED_VALUE"""),"Joe Camp")</f>
        <v>Joe Camp</v>
      </c>
      <c r="D1667" s="31">
        <f t="shared" si="1"/>
        <v>6.1</v>
      </c>
      <c r="E1667" s="4">
        <f t="shared" si="2"/>
        <v>1</v>
      </c>
      <c r="F1667" s="15"/>
      <c r="G1667" s="4"/>
    </row>
    <row r="1668" ht="14.25" customHeight="1">
      <c r="A1668" s="8" t="s">
        <v>3544</v>
      </c>
      <c r="B1668" s="8">
        <v>5.7</v>
      </c>
      <c r="C1668" s="4" t="str">
        <f>IFERROR(__xludf.DUMMYFUNCTION("""COMPUTED_VALUE"""),"John 'Bud' Cardos")</f>
        <v>John 'Bud' Cardos</v>
      </c>
      <c r="D1668" s="31">
        <f t="shared" si="1"/>
        <v>5.9</v>
      </c>
      <c r="E1668" s="4">
        <f t="shared" si="2"/>
        <v>1</v>
      </c>
      <c r="F1668" s="15"/>
      <c r="G1668" s="4"/>
    </row>
    <row r="1669" ht="14.25" customHeight="1">
      <c r="A1669" s="8" t="s">
        <v>2444</v>
      </c>
      <c r="B1669" s="8">
        <v>6.6</v>
      </c>
      <c r="C1669" s="4" t="str">
        <f>IFERROR(__xludf.DUMMYFUNCTION("""COMPUTED_VALUE"""),"Brian Baugh")</f>
        <v>Brian Baugh</v>
      </c>
      <c r="D1669" s="31">
        <f t="shared" si="1"/>
        <v>7.1</v>
      </c>
      <c r="E1669" s="4">
        <f t="shared" si="2"/>
        <v>1</v>
      </c>
      <c r="F1669" s="15"/>
      <c r="G1669" s="4"/>
    </row>
    <row r="1670" ht="14.25" customHeight="1">
      <c r="A1670" s="8" t="s">
        <v>1314</v>
      </c>
      <c r="B1670" s="8">
        <v>7.0</v>
      </c>
      <c r="C1670" s="4" t="str">
        <f>IFERROR(__xludf.DUMMYFUNCTION("""COMPUTED_VALUE"""),"Barry W. Blaustein")</f>
        <v>Barry W. Blaustein</v>
      </c>
      <c r="D1670" s="31">
        <f t="shared" si="1"/>
        <v>7.6</v>
      </c>
      <c r="E1670" s="4">
        <f t="shared" si="2"/>
        <v>1</v>
      </c>
      <c r="F1670" s="15"/>
      <c r="G1670" s="4"/>
    </row>
    <row r="1671" ht="14.25" customHeight="1">
      <c r="A1671" s="8" t="s">
        <v>2549</v>
      </c>
      <c r="B1671" s="8">
        <v>7.4</v>
      </c>
      <c r="C1671" s="4" t="str">
        <f>IFERROR(__xludf.DUMMYFUNCTION("""COMPUTED_VALUE"""),"Kurt Hale")</f>
        <v>Kurt Hale</v>
      </c>
      <c r="D1671" s="31">
        <f t="shared" si="1"/>
        <v>6.2</v>
      </c>
      <c r="E1671" s="4">
        <f t="shared" si="2"/>
        <v>2</v>
      </c>
      <c r="F1671" s="15"/>
      <c r="G1671" s="4"/>
    </row>
    <row r="1672" ht="14.25" customHeight="1">
      <c r="A1672" s="8" t="s">
        <v>3550</v>
      </c>
      <c r="B1672" s="8">
        <v>5.3</v>
      </c>
      <c r="C1672" s="4" t="str">
        <f>IFERROR(__xludf.DUMMYFUNCTION("""COMPUTED_VALUE"""),"Siddiq Barmak")</f>
        <v>Siddiq Barmak</v>
      </c>
      <c r="D1672" s="31">
        <f t="shared" si="1"/>
        <v>7.4</v>
      </c>
      <c r="E1672" s="4">
        <f t="shared" si="2"/>
        <v>1</v>
      </c>
      <c r="F1672" s="15"/>
      <c r="G1672" s="4"/>
    </row>
    <row r="1673" ht="14.25" customHeight="1">
      <c r="A1673" s="8" t="s">
        <v>3552</v>
      </c>
      <c r="B1673" s="8">
        <v>7.4</v>
      </c>
      <c r="C1673" s="4" t="str">
        <f>IFERROR(__xludf.DUMMYFUNCTION("""COMPUTED_VALUE"""),"Joseph Dorman")</f>
        <v>Joseph Dorman</v>
      </c>
      <c r="D1673" s="31">
        <f t="shared" si="1"/>
        <v>6.8</v>
      </c>
      <c r="E1673" s="4">
        <f t="shared" si="2"/>
        <v>1</v>
      </c>
      <c r="F1673" s="15"/>
      <c r="G1673" s="4"/>
    </row>
    <row r="1674" ht="14.25" customHeight="1">
      <c r="A1674" s="8" t="s">
        <v>3555</v>
      </c>
      <c r="B1674" s="8">
        <v>7.4</v>
      </c>
      <c r="C1674" s="4" t="str">
        <f>IFERROR(__xludf.DUMMYFUNCTION("""COMPUTED_VALUE"""),"Greg Harrison")</f>
        <v>Greg Harrison</v>
      </c>
      <c r="D1674" s="31">
        <f t="shared" si="1"/>
        <v>6</v>
      </c>
      <c r="E1674" s="4">
        <f t="shared" si="2"/>
        <v>2</v>
      </c>
      <c r="F1674" s="15"/>
      <c r="G1674" s="4"/>
    </row>
    <row r="1675" ht="14.25" customHeight="1">
      <c r="A1675" s="8" t="s">
        <v>348</v>
      </c>
      <c r="B1675" s="8">
        <v>6.8</v>
      </c>
      <c r="C1675" s="4" t="str">
        <f>IFERROR(__xludf.DUMMYFUNCTION("""COMPUTED_VALUE"""),"Jacob Aaron Estes")</f>
        <v>Jacob Aaron Estes</v>
      </c>
      <c r="D1675" s="31">
        <f t="shared" si="1"/>
        <v>7.3</v>
      </c>
      <c r="E1675" s="4">
        <f t="shared" si="2"/>
        <v>1</v>
      </c>
      <c r="F1675" s="15"/>
      <c r="G1675" s="4"/>
    </row>
    <row r="1676" ht="14.25" customHeight="1">
      <c r="A1676" s="8" t="s">
        <v>3559</v>
      </c>
      <c r="B1676" s="8">
        <v>7.2</v>
      </c>
      <c r="C1676" s="4" t="str">
        <f>IFERROR(__xludf.DUMMYFUNCTION("""COMPUTED_VALUE"""),"Eric Schaeffer")</f>
        <v>Eric Schaeffer</v>
      </c>
      <c r="D1676" s="31">
        <f t="shared" si="1"/>
        <v>6</v>
      </c>
      <c r="E1676" s="4">
        <f t="shared" si="2"/>
        <v>1</v>
      </c>
      <c r="F1676" s="15"/>
      <c r="G1676" s="4"/>
    </row>
    <row r="1677" ht="14.25" customHeight="1">
      <c r="A1677" s="8" t="s">
        <v>3561</v>
      </c>
      <c r="B1677" s="8">
        <v>6.0</v>
      </c>
      <c r="C1677" s="4" t="str">
        <f>IFERROR(__xludf.DUMMYFUNCTION("""COMPUTED_VALUE"""),"Neema Barnette")</f>
        <v>Neema Barnette</v>
      </c>
      <c r="D1677" s="31">
        <f t="shared" si="1"/>
        <v>5.3</v>
      </c>
      <c r="E1677" s="4">
        <f t="shared" si="2"/>
        <v>1</v>
      </c>
      <c r="F1677" s="15"/>
      <c r="G1677" s="4"/>
    </row>
    <row r="1678" ht="14.25" customHeight="1">
      <c r="A1678" s="8" t="s">
        <v>206</v>
      </c>
      <c r="B1678" s="8">
        <v>7.8</v>
      </c>
      <c r="C1678" s="4" t="str">
        <f>IFERROR(__xludf.DUMMYFUNCTION("""COMPUTED_VALUE"""),"Molly Bernstein")</f>
        <v>Molly Bernstein</v>
      </c>
      <c r="D1678" s="31">
        <f t="shared" si="1"/>
        <v>7.1</v>
      </c>
      <c r="E1678" s="4">
        <f t="shared" si="2"/>
        <v>1</v>
      </c>
      <c r="F1678" s="15"/>
      <c r="G1678" s="4"/>
    </row>
    <row r="1679" ht="14.25" customHeight="1">
      <c r="A1679" s="8" t="s">
        <v>2081</v>
      </c>
      <c r="B1679" s="8">
        <v>6.6</v>
      </c>
      <c r="C1679" s="4" t="str">
        <f>IFERROR(__xludf.DUMMYFUNCTION("""COMPUTED_VALUE"""),"Marius A. Markevicius")</f>
        <v>Marius A. Markevicius</v>
      </c>
      <c r="D1679" s="31">
        <f t="shared" si="1"/>
        <v>8.4</v>
      </c>
      <c r="E1679" s="4">
        <f t="shared" si="2"/>
        <v>1</v>
      </c>
      <c r="F1679" s="15"/>
      <c r="G1679" s="4"/>
    </row>
    <row r="1680" ht="14.25" customHeight="1">
      <c r="A1680" s="8" t="s">
        <v>2114</v>
      </c>
      <c r="B1680" s="8">
        <v>7.9</v>
      </c>
      <c r="C1680" s="4" t="str">
        <f>IFERROR(__xludf.DUMMYFUNCTION("""COMPUTED_VALUE"""),"Quentin Dupieux")</f>
        <v>Quentin Dupieux</v>
      </c>
      <c r="D1680" s="31">
        <f t="shared" si="1"/>
        <v>5.8</v>
      </c>
      <c r="E1680" s="4">
        <f t="shared" si="2"/>
        <v>1</v>
      </c>
      <c r="F1680" s="15"/>
      <c r="G1680" s="4"/>
    </row>
    <row r="1681" ht="14.25" customHeight="1">
      <c r="A1681" s="8" t="s">
        <v>3568</v>
      </c>
      <c r="B1681" s="8">
        <v>5.7</v>
      </c>
      <c r="C1681" s="4" t="str">
        <f>IFERROR(__xludf.DUMMYFUNCTION("""COMPUTED_VALUE"""),"Alex Smith")</f>
        <v>Alex Smith</v>
      </c>
      <c r="D1681" s="31">
        <f t="shared" si="1"/>
        <v>6.1</v>
      </c>
      <c r="E1681" s="4">
        <f t="shared" si="2"/>
        <v>1</v>
      </c>
      <c r="F1681" s="15"/>
      <c r="G1681" s="4"/>
    </row>
    <row r="1682" ht="14.25" customHeight="1">
      <c r="A1682" s="8" t="s">
        <v>85</v>
      </c>
      <c r="B1682" s="8">
        <v>7.1</v>
      </c>
      <c r="C1682" s="4" t="str">
        <f>IFERROR(__xludf.DUMMYFUNCTION("""COMPUTED_VALUE"""),"Gareth Edwards")</f>
        <v>Gareth Edwards</v>
      </c>
      <c r="D1682" s="31">
        <f t="shared" si="1"/>
        <v>6.4</v>
      </c>
      <c r="E1682" s="4">
        <f t="shared" si="2"/>
        <v>1</v>
      </c>
      <c r="F1682" s="15"/>
      <c r="G1682" s="4"/>
    </row>
    <row r="1683" ht="14.25" customHeight="1">
      <c r="A1683" s="8" t="s">
        <v>2814</v>
      </c>
      <c r="B1683" s="8">
        <v>5.6</v>
      </c>
      <c r="C1683" s="4" t="str">
        <f>IFERROR(__xludf.DUMMYFUNCTION("""COMPUTED_VALUE"""),"Sol Tryon")</f>
        <v>Sol Tryon</v>
      </c>
      <c r="D1683" s="31">
        <f t="shared" si="1"/>
        <v>6.5</v>
      </c>
      <c r="E1683" s="4">
        <f t="shared" si="2"/>
        <v>1</v>
      </c>
      <c r="F1683" s="15"/>
      <c r="G1683" s="4"/>
    </row>
    <row r="1684" ht="14.25" customHeight="1">
      <c r="A1684" s="8" t="s">
        <v>2407</v>
      </c>
      <c r="B1684" s="8">
        <v>7.8</v>
      </c>
      <c r="C1684" s="4" t="str">
        <f>IFERROR(__xludf.DUMMYFUNCTION("""COMPUTED_VALUE"""),"Alex Craig Mann")</f>
        <v>Alex Craig Mann</v>
      </c>
      <c r="D1684" s="31">
        <f t="shared" si="1"/>
        <v>4.6</v>
      </c>
      <c r="E1684" s="4">
        <f t="shared" si="2"/>
        <v>1</v>
      </c>
      <c r="F1684" s="15"/>
      <c r="G1684" s="4"/>
    </row>
    <row r="1685" ht="14.25" customHeight="1">
      <c r="A1685" s="8" t="s">
        <v>3575</v>
      </c>
      <c r="B1685" s="8">
        <v>7.9</v>
      </c>
      <c r="C1685" s="4" t="str">
        <f>IFERROR(__xludf.DUMMYFUNCTION("""COMPUTED_VALUE"""),"Catherine Gund")</f>
        <v>Catherine Gund</v>
      </c>
      <c r="D1685" s="31">
        <f t="shared" si="1"/>
        <v>6.8</v>
      </c>
      <c r="E1685" s="4">
        <f t="shared" si="2"/>
        <v>1</v>
      </c>
      <c r="F1685" s="15"/>
      <c r="G1685" s="4"/>
    </row>
    <row r="1686" ht="14.25" customHeight="1">
      <c r="A1686" s="8" t="s">
        <v>183</v>
      </c>
      <c r="B1686" s="8">
        <v>6.9</v>
      </c>
      <c r="C1686" s="4" t="str">
        <f>IFERROR(__xludf.DUMMYFUNCTION("""COMPUTED_VALUE"""),"Matty Rich")</f>
        <v>Matty Rich</v>
      </c>
      <c r="D1686" s="31">
        <f t="shared" si="1"/>
        <v>5.9</v>
      </c>
      <c r="E1686" s="4">
        <f t="shared" si="2"/>
        <v>1</v>
      </c>
      <c r="F1686" s="15"/>
      <c r="G1686" s="4"/>
    </row>
    <row r="1687" ht="14.25" customHeight="1">
      <c r="A1687" s="8" t="s">
        <v>439</v>
      </c>
      <c r="B1687" s="8">
        <v>7.7</v>
      </c>
      <c r="C1687" s="4" t="str">
        <f>IFERROR(__xludf.DUMMYFUNCTION("""COMPUTED_VALUE"""),"Hans Canosa")</f>
        <v>Hans Canosa</v>
      </c>
      <c r="D1687" s="31">
        <f t="shared" si="1"/>
        <v>7.1</v>
      </c>
      <c r="E1687" s="4">
        <f t="shared" si="2"/>
        <v>1</v>
      </c>
      <c r="F1687" s="15"/>
      <c r="G1687" s="4"/>
    </row>
    <row r="1688" ht="14.25" customHeight="1">
      <c r="A1688" s="8" t="s">
        <v>3580</v>
      </c>
      <c r="B1688" s="8">
        <v>6.9</v>
      </c>
      <c r="C1688" s="4" t="str">
        <f>IFERROR(__xludf.DUMMYFUNCTION("""COMPUTED_VALUE"""),"Lloyd Kaufman")</f>
        <v>Lloyd Kaufman</v>
      </c>
      <c r="D1688" s="31">
        <f t="shared" si="1"/>
        <v>6.2</v>
      </c>
      <c r="E1688" s="4">
        <f t="shared" si="2"/>
        <v>1</v>
      </c>
      <c r="F1688" s="15"/>
      <c r="G1688" s="4"/>
    </row>
    <row r="1689" ht="14.25" customHeight="1">
      <c r="A1689" s="8" t="s">
        <v>3582</v>
      </c>
      <c r="B1689" s="8">
        <v>6.0</v>
      </c>
      <c r="C1689" s="4" t="str">
        <f>IFERROR(__xludf.DUMMYFUNCTION("""COMPUTED_VALUE"""),"Lloyd Bacon")</f>
        <v>Lloyd Bacon</v>
      </c>
      <c r="D1689" s="31">
        <f t="shared" si="1"/>
        <v>7.7</v>
      </c>
      <c r="E1689" s="4">
        <f t="shared" si="2"/>
        <v>1</v>
      </c>
      <c r="F1689" s="15"/>
      <c r="G1689" s="4"/>
    </row>
    <row r="1690" ht="14.25" customHeight="1">
      <c r="A1690" s="8" t="s">
        <v>2717</v>
      </c>
      <c r="B1690" s="8">
        <v>6.2</v>
      </c>
      <c r="C1690" s="4" t="str">
        <f>IFERROR(__xludf.DUMMYFUNCTION("""COMPUTED_VALUE"""),"Whit Stillman")</f>
        <v>Whit Stillman</v>
      </c>
      <c r="D1690" s="31">
        <f t="shared" si="1"/>
        <v>7.5</v>
      </c>
      <c r="E1690" s="4">
        <f t="shared" si="2"/>
        <v>1</v>
      </c>
      <c r="F1690" s="15"/>
      <c r="G1690" s="4"/>
    </row>
    <row r="1691" ht="14.25" customHeight="1">
      <c r="A1691" s="8" t="s">
        <v>3586</v>
      </c>
      <c r="B1691" s="8">
        <v>5.9</v>
      </c>
      <c r="C1691" s="4" t="str">
        <f>IFERROR(__xludf.DUMMYFUNCTION("""COMPUTED_VALUE"""),"Kay Pollak")</f>
        <v>Kay Pollak</v>
      </c>
      <c r="D1691" s="31">
        <f t="shared" si="1"/>
        <v>7.6</v>
      </c>
      <c r="E1691" s="4">
        <f t="shared" si="2"/>
        <v>1</v>
      </c>
      <c r="F1691" s="15"/>
      <c r="G1691" s="4"/>
    </row>
    <row r="1692" ht="14.25" customHeight="1">
      <c r="A1692" s="8" t="s">
        <v>3589</v>
      </c>
      <c r="B1692" s="8">
        <v>6.8</v>
      </c>
      <c r="C1692" s="4" t="str">
        <f>IFERROR(__xludf.DUMMYFUNCTION("""COMPUTED_VALUE"""),"Oren Peli")</f>
        <v>Oren Peli</v>
      </c>
      <c r="D1692" s="31">
        <f t="shared" si="1"/>
        <v>6.3</v>
      </c>
      <c r="E1692" s="4">
        <f t="shared" si="2"/>
        <v>1</v>
      </c>
      <c r="F1692" s="15"/>
      <c r="G1692" s="4"/>
    </row>
    <row r="1693" ht="14.25" customHeight="1">
      <c r="A1693" s="8" t="s">
        <v>1980</v>
      </c>
      <c r="B1693" s="8">
        <v>3.6</v>
      </c>
      <c r="C1693" s="4" t="str">
        <f>IFERROR(__xludf.DUMMYFUNCTION("""COMPUTED_VALUE"""),"Sue Corcoran")</f>
        <v>Sue Corcoran</v>
      </c>
      <c r="D1693" s="31">
        <f t="shared" si="1"/>
        <v>4.7</v>
      </c>
      <c r="E1693" s="4">
        <f t="shared" si="2"/>
        <v>1</v>
      </c>
      <c r="F1693" s="15"/>
      <c r="G1693" s="4"/>
    </row>
    <row r="1694" ht="14.25" customHeight="1">
      <c r="A1694" s="8" t="s">
        <v>3592</v>
      </c>
      <c r="B1694" s="8">
        <v>6.7</v>
      </c>
      <c r="C1694" s="4" t="str">
        <f>IFERROR(__xludf.DUMMYFUNCTION("""COMPUTED_VALUE"""),"Jonathan Caouette")</f>
        <v>Jonathan Caouette</v>
      </c>
      <c r="D1694" s="31">
        <f t="shared" si="1"/>
        <v>7.2</v>
      </c>
      <c r="E1694" s="4">
        <f t="shared" si="2"/>
        <v>1</v>
      </c>
      <c r="F1694" s="15"/>
      <c r="G1694" s="4"/>
    </row>
    <row r="1695" ht="14.25" customHeight="1">
      <c r="A1695" s="8" t="s">
        <v>3049</v>
      </c>
      <c r="B1695" s="8">
        <v>6.3</v>
      </c>
      <c r="C1695" s="4" t="str">
        <f>IFERROR(__xludf.DUMMYFUNCTION("""COMPUTED_VALUE"""),"Ray Griggs")</f>
        <v>Ray Griggs</v>
      </c>
      <c r="D1695" s="31">
        <f t="shared" si="1"/>
        <v>5.1</v>
      </c>
      <c r="E1695" s="4">
        <f t="shared" si="2"/>
        <v>1</v>
      </c>
      <c r="F1695" s="15"/>
      <c r="G1695" s="4"/>
    </row>
    <row r="1696" ht="14.25" customHeight="1">
      <c r="A1696" s="8" t="s">
        <v>552</v>
      </c>
      <c r="B1696" s="8">
        <v>6.4</v>
      </c>
      <c r="C1696" s="4" t="str">
        <f>IFERROR(__xludf.DUMMYFUNCTION("""COMPUTED_VALUE"""),"Lucio Fulci")</f>
        <v>Lucio Fulci</v>
      </c>
      <c r="D1696" s="31">
        <f t="shared" si="1"/>
        <v>6.9</v>
      </c>
      <c r="E1696" s="4">
        <f t="shared" si="2"/>
        <v>1</v>
      </c>
      <c r="F1696" s="15"/>
      <c r="G1696" s="4"/>
    </row>
    <row r="1697" ht="14.25" customHeight="1">
      <c r="A1697" s="8" t="s">
        <v>875</v>
      </c>
      <c r="B1697" s="8">
        <v>6.4</v>
      </c>
      <c r="C1697" s="4" t="str">
        <f>IFERROR(__xludf.DUMMYFUNCTION("""COMPUTED_VALUE"""),"Roger Nygard")</f>
        <v>Roger Nygard</v>
      </c>
      <c r="D1697" s="31">
        <f t="shared" si="1"/>
        <v>7</v>
      </c>
      <c r="E1697" s="4">
        <f t="shared" si="2"/>
        <v>1</v>
      </c>
      <c r="F1697" s="15"/>
      <c r="G1697" s="4"/>
    </row>
    <row r="1698" ht="14.25" customHeight="1">
      <c r="A1698" s="8" t="s">
        <v>1274</v>
      </c>
      <c r="B1698" s="8">
        <v>5.7</v>
      </c>
      <c r="C1698" s="4" t="str">
        <f>IFERROR(__xludf.DUMMYFUNCTION("""COMPUTED_VALUE"""),"Harry Beaumont")</f>
        <v>Harry Beaumont</v>
      </c>
      <c r="D1698" s="31">
        <f t="shared" si="1"/>
        <v>6.3</v>
      </c>
      <c r="E1698" s="4">
        <f t="shared" si="2"/>
        <v>1</v>
      </c>
      <c r="F1698" s="15"/>
      <c r="G1698" s="4"/>
    </row>
    <row r="1699" ht="14.25" customHeight="1">
      <c r="A1699" s="8" t="s">
        <v>2786</v>
      </c>
      <c r="B1699" s="8">
        <v>6.2</v>
      </c>
      <c r="C1699" s="4" t="str">
        <f>IFERROR(__xludf.DUMMYFUNCTION("""COMPUTED_VALUE"""),"Franck Khalfoun")</f>
        <v>Franck Khalfoun</v>
      </c>
      <c r="D1699" s="31">
        <f t="shared" si="1"/>
        <v>6.1</v>
      </c>
      <c r="E1699" s="4">
        <f t="shared" si="2"/>
        <v>1</v>
      </c>
      <c r="F1699" s="15"/>
      <c r="G1699" s="4"/>
    </row>
    <row r="1700" ht="14.25" customHeight="1">
      <c r="A1700" s="8" t="s">
        <v>1319</v>
      </c>
      <c r="B1700" s="8">
        <v>5.2</v>
      </c>
      <c r="C1700" s="4" t="str">
        <f>IFERROR(__xludf.DUMMYFUNCTION("""COMPUTED_VALUE"""),"Mor Loushy")</f>
        <v>Mor Loushy</v>
      </c>
      <c r="D1700" s="31">
        <f t="shared" si="1"/>
        <v>7.2</v>
      </c>
      <c r="E1700" s="4">
        <f t="shared" si="2"/>
        <v>1</v>
      </c>
      <c r="F1700" s="15"/>
      <c r="G1700" s="4"/>
    </row>
    <row r="1701" ht="14.25" customHeight="1">
      <c r="A1701" s="8" t="s">
        <v>863</v>
      </c>
      <c r="B1701" s="8">
        <v>6.1</v>
      </c>
      <c r="C1701" s="4" t="str">
        <f>IFERROR(__xludf.DUMMYFUNCTION("""COMPUTED_VALUE"""),"Henry Alex Rubin")</f>
        <v>Henry Alex Rubin</v>
      </c>
      <c r="D1701" s="31">
        <f t="shared" si="1"/>
        <v>7.8</v>
      </c>
      <c r="E1701" s="4">
        <f t="shared" si="2"/>
        <v>1</v>
      </c>
      <c r="F1701" s="15"/>
      <c r="G1701" s="4"/>
    </row>
    <row r="1702" ht="14.25" customHeight="1">
      <c r="A1702" s="8" t="s">
        <v>1314</v>
      </c>
      <c r="B1702" s="8">
        <v>7.1</v>
      </c>
      <c r="C1702" s="4" t="str">
        <f>IFERROR(__xludf.DUMMYFUNCTION("""COMPUTED_VALUE"""),"Sam Firstenberg")</f>
        <v>Sam Firstenberg</v>
      </c>
      <c r="D1702" s="31">
        <f t="shared" si="1"/>
        <v>4.7</v>
      </c>
      <c r="E1702" s="4">
        <f t="shared" si="2"/>
        <v>1</v>
      </c>
      <c r="F1702" s="15"/>
      <c r="G1702" s="4"/>
    </row>
    <row r="1703" ht="14.25" customHeight="1">
      <c r="A1703" s="8" t="s">
        <v>1841</v>
      </c>
      <c r="B1703" s="8">
        <v>7.2</v>
      </c>
      <c r="C1703" s="4" t="str">
        <f>IFERROR(__xludf.DUMMYFUNCTION("""COMPUTED_VALUE"""),"Gregory Widen")</f>
        <v>Gregory Widen</v>
      </c>
      <c r="D1703" s="31">
        <f t="shared" si="1"/>
        <v>6.6</v>
      </c>
      <c r="E1703" s="4">
        <f t="shared" si="2"/>
        <v>1</v>
      </c>
      <c r="F1703" s="15"/>
      <c r="G1703" s="4"/>
    </row>
    <row r="1704" ht="14.25" customHeight="1">
      <c r="A1704" s="8" t="s">
        <v>3607</v>
      </c>
      <c r="B1704" s="8">
        <v>6.5</v>
      </c>
      <c r="C1704" s="4" t="str">
        <f>IFERROR(__xludf.DUMMYFUNCTION("""COMPUTED_VALUE"""),"Kelly Reichardt")</f>
        <v>Kelly Reichardt</v>
      </c>
      <c r="D1704" s="31">
        <f t="shared" si="1"/>
        <v>6.9</v>
      </c>
      <c r="E1704" s="4">
        <f t="shared" si="2"/>
        <v>2</v>
      </c>
      <c r="F1704" s="15"/>
      <c r="G1704" s="4"/>
    </row>
    <row r="1705" ht="14.25" customHeight="1">
      <c r="A1705" s="8" t="s">
        <v>1117</v>
      </c>
      <c r="B1705" s="8">
        <v>6.0</v>
      </c>
      <c r="C1705" s="4" t="str">
        <f>IFERROR(__xludf.DUMMYFUNCTION("""COMPUTED_VALUE"""),"Michael Roemer")</f>
        <v>Michael Roemer</v>
      </c>
      <c r="D1705" s="31">
        <f t="shared" si="1"/>
        <v>8.1</v>
      </c>
      <c r="E1705" s="4">
        <f t="shared" si="2"/>
        <v>1</v>
      </c>
      <c r="F1705" s="15"/>
      <c r="G1705" s="4"/>
    </row>
    <row r="1706" ht="14.25" customHeight="1">
      <c r="A1706" s="8" t="s">
        <v>2176</v>
      </c>
      <c r="B1706" s="8">
        <v>7.0</v>
      </c>
      <c r="C1706" s="4" t="str">
        <f>IFERROR(__xludf.DUMMYFUNCTION("""COMPUTED_VALUE"""),"Eddie O'Flaherty")</f>
        <v>Eddie O'Flaherty</v>
      </c>
      <c r="D1706" s="31">
        <f t="shared" si="1"/>
        <v>6.6</v>
      </c>
      <c r="E1706" s="4">
        <f t="shared" si="2"/>
        <v>1</v>
      </c>
      <c r="F1706" s="15"/>
      <c r="G1706" s="4"/>
    </row>
    <row r="1707" ht="14.25" customHeight="1">
      <c r="A1707" s="8" t="s">
        <v>1281</v>
      </c>
      <c r="B1707" s="8">
        <v>7.0</v>
      </c>
      <c r="C1707" s="4" t="str">
        <f>IFERROR(__xludf.DUMMYFUNCTION("""COMPUTED_VALUE"""),"Bruce Dellis")</f>
        <v>Bruce Dellis</v>
      </c>
      <c r="D1707" s="31">
        <f t="shared" si="1"/>
        <v>4.8</v>
      </c>
      <c r="E1707" s="4">
        <f t="shared" si="2"/>
        <v>1</v>
      </c>
      <c r="F1707" s="15"/>
      <c r="G1707" s="4"/>
    </row>
    <row r="1708" ht="14.25" customHeight="1">
      <c r="A1708" s="8" t="s">
        <v>1174</v>
      </c>
      <c r="B1708" s="8">
        <v>7.5</v>
      </c>
      <c r="C1708" s="4" t="str">
        <f>IFERROR(__xludf.DUMMYFUNCTION("""COMPUTED_VALUE"""),"Craig Zobel")</f>
        <v>Craig Zobel</v>
      </c>
      <c r="D1708" s="31">
        <f t="shared" si="1"/>
        <v>6.4</v>
      </c>
      <c r="E1708" s="4">
        <f t="shared" si="2"/>
        <v>1</v>
      </c>
      <c r="F1708" s="15"/>
      <c r="G1708" s="4"/>
    </row>
    <row r="1709" ht="14.25" customHeight="1">
      <c r="A1709" s="8" t="s">
        <v>552</v>
      </c>
      <c r="B1709" s="8">
        <v>6.6</v>
      </c>
      <c r="C1709" s="4" t="str">
        <f>IFERROR(__xludf.DUMMYFUNCTION("""COMPUTED_VALUE"""),"Maria Maggenti")</f>
        <v>Maria Maggenti</v>
      </c>
      <c r="D1709" s="31">
        <f t="shared" si="1"/>
        <v>6.5</v>
      </c>
      <c r="E1709" s="4">
        <f t="shared" si="2"/>
        <v>1</v>
      </c>
      <c r="F1709" s="15"/>
      <c r="G1709" s="4"/>
    </row>
    <row r="1710" ht="14.25" customHeight="1">
      <c r="A1710" s="8" t="s">
        <v>3457</v>
      </c>
      <c r="B1710" s="8">
        <v>7.4</v>
      </c>
      <c r="C1710" s="4" t="str">
        <f>IFERROR(__xludf.DUMMYFUNCTION("""COMPUTED_VALUE"""),"Piyush Dinker Pandya")</f>
        <v>Piyush Dinker Pandya</v>
      </c>
      <c r="D1710" s="31">
        <f t="shared" si="1"/>
        <v>6.7</v>
      </c>
      <c r="E1710" s="4">
        <f t="shared" si="2"/>
        <v>1</v>
      </c>
      <c r="F1710" s="15"/>
      <c r="G1710" s="4"/>
    </row>
    <row r="1711" ht="14.25" customHeight="1">
      <c r="A1711" s="8" t="s">
        <v>2511</v>
      </c>
      <c r="B1711" s="8">
        <v>6.5</v>
      </c>
      <c r="C1711" s="4" t="str">
        <f>IFERROR(__xludf.DUMMYFUNCTION("""COMPUTED_VALUE"""),"Emma-Kate Croghan")</f>
        <v>Emma-Kate Croghan</v>
      </c>
      <c r="D1711" s="31">
        <f t="shared" si="1"/>
        <v>6.4</v>
      </c>
      <c r="E1711" s="4">
        <f t="shared" si="2"/>
        <v>1</v>
      </c>
      <c r="F1711" s="15"/>
      <c r="G1711" s="4"/>
    </row>
    <row r="1712" ht="14.25" customHeight="1">
      <c r="A1712" s="8" t="s">
        <v>2331</v>
      </c>
      <c r="B1712" s="8">
        <v>6.2</v>
      </c>
      <c r="C1712" s="4" t="str">
        <f>IFERROR(__xludf.DUMMYFUNCTION("""COMPUTED_VALUE"""),"Bill Plympton")</f>
        <v>Bill Plympton</v>
      </c>
      <c r="D1712" s="31">
        <f t="shared" si="1"/>
        <v>7</v>
      </c>
      <c r="E1712" s="4">
        <f t="shared" si="2"/>
        <v>1</v>
      </c>
      <c r="F1712" s="15"/>
      <c r="G1712" s="4"/>
    </row>
    <row r="1713" ht="14.25" customHeight="1">
      <c r="A1713" s="8" t="s">
        <v>1736</v>
      </c>
      <c r="B1713" s="8">
        <v>7.8</v>
      </c>
      <c r="C1713" s="4" t="str">
        <f>IFERROR(__xludf.DUMMYFUNCTION("""COMPUTED_VALUE"""),"Drake Doremus")</f>
        <v>Drake Doremus</v>
      </c>
      <c r="D1713" s="31">
        <f t="shared" si="1"/>
        <v>6.7</v>
      </c>
      <c r="E1713" s="4">
        <f t="shared" si="2"/>
        <v>1</v>
      </c>
      <c r="F1713" s="15"/>
      <c r="G1713" s="4"/>
    </row>
    <row r="1714" ht="14.25" customHeight="1">
      <c r="A1714" s="8" t="s">
        <v>1757</v>
      </c>
      <c r="B1714" s="8">
        <v>5.2</v>
      </c>
      <c r="C1714" s="4" t="str">
        <f>IFERROR(__xludf.DUMMYFUNCTION("""COMPUTED_VALUE"""),"Hilary Brougher")</f>
        <v>Hilary Brougher</v>
      </c>
      <c r="D1714" s="31">
        <f t="shared" si="1"/>
        <v>6.3</v>
      </c>
      <c r="E1714" s="4">
        <f t="shared" si="2"/>
        <v>1</v>
      </c>
      <c r="F1714" s="15"/>
      <c r="G1714" s="4"/>
    </row>
    <row r="1715" ht="14.25" customHeight="1">
      <c r="A1715" s="8" t="s">
        <v>121</v>
      </c>
      <c r="B1715" s="8">
        <v>6.5</v>
      </c>
      <c r="C1715" s="4" t="str">
        <f>IFERROR(__xludf.DUMMYFUNCTION("""COMPUTED_VALUE"""),"Tom Putnam")</f>
        <v>Tom Putnam</v>
      </c>
      <c r="D1715" s="31">
        <f t="shared" si="1"/>
        <v>7.5</v>
      </c>
      <c r="E1715" s="4">
        <f t="shared" si="2"/>
        <v>1</v>
      </c>
      <c r="F1715" s="15"/>
      <c r="G1715" s="4"/>
    </row>
    <row r="1716" ht="14.25" customHeight="1">
      <c r="A1716" s="8" t="s">
        <v>724</v>
      </c>
      <c r="B1716" s="8">
        <v>6.5</v>
      </c>
      <c r="C1716" s="4" t="str">
        <f>IFERROR(__xludf.DUMMYFUNCTION("""COMPUTED_VALUE"""),"Jon Shear")</f>
        <v>Jon Shear</v>
      </c>
      <c r="D1716" s="31">
        <f t="shared" si="1"/>
        <v>7</v>
      </c>
      <c r="E1716" s="4">
        <f t="shared" si="2"/>
        <v>1</v>
      </c>
      <c r="F1716" s="15"/>
      <c r="G1716" s="4"/>
    </row>
    <row r="1717" ht="14.25" customHeight="1">
      <c r="A1717" s="8" t="s">
        <v>1376</v>
      </c>
      <c r="B1717" s="8">
        <v>5.2</v>
      </c>
      <c r="C1717" s="4" t="str">
        <f>IFERROR(__xludf.DUMMYFUNCTION("""COMPUTED_VALUE"""),"EugÃ¨ne LouriÃ©")</f>
        <v>EugÃ¨ne LouriÃ©</v>
      </c>
      <c r="D1717" s="31">
        <f t="shared" si="1"/>
        <v>6.7</v>
      </c>
      <c r="E1717" s="4">
        <f t="shared" si="2"/>
        <v>1</v>
      </c>
      <c r="F1717" s="15"/>
      <c r="G1717" s="4"/>
    </row>
    <row r="1718" ht="14.25" customHeight="1">
      <c r="A1718" s="8" t="s">
        <v>1485</v>
      </c>
      <c r="B1718" s="8">
        <v>7.2</v>
      </c>
      <c r="C1718" s="4" t="str">
        <f>IFERROR(__xludf.DUMMYFUNCTION("""COMPUTED_VALUE"""),"Maurizio Benazzo")</f>
        <v>Maurizio Benazzo</v>
      </c>
      <c r="D1718" s="31">
        <f t="shared" si="1"/>
        <v>7.2</v>
      </c>
      <c r="E1718" s="4">
        <f t="shared" si="2"/>
        <v>1</v>
      </c>
      <c r="F1718" s="15"/>
      <c r="G1718" s="4"/>
    </row>
    <row r="1719" ht="14.25" customHeight="1">
      <c r="A1719" s="8" t="s">
        <v>2179</v>
      </c>
      <c r="B1719" s="8">
        <v>7.1</v>
      </c>
      <c r="C1719" s="4" t="str">
        <f>IFERROR(__xludf.DUMMYFUNCTION("""COMPUTED_VALUE"""),"David G. Evans")</f>
        <v>David G. Evans</v>
      </c>
      <c r="D1719" s="31">
        <f t="shared" si="1"/>
        <v>6.4</v>
      </c>
      <c r="E1719" s="4">
        <f t="shared" si="2"/>
        <v>1</v>
      </c>
      <c r="F1719" s="15"/>
      <c r="G1719" s="4"/>
    </row>
    <row r="1720" ht="14.25" customHeight="1">
      <c r="A1720" s="8" t="s">
        <v>3630</v>
      </c>
      <c r="B1720" s="8">
        <v>4.5</v>
      </c>
      <c r="C1720" s="4" t="str">
        <f>IFERROR(__xludf.DUMMYFUNCTION("""COMPUTED_VALUE"""),"Sherman Alexie")</f>
        <v>Sherman Alexie</v>
      </c>
      <c r="D1720" s="31">
        <f t="shared" si="1"/>
        <v>6.9</v>
      </c>
      <c r="E1720" s="4">
        <f t="shared" si="2"/>
        <v>1</v>
      </c>
      <c r="F1720" s="15"/>
      <c r="G1720" s="4"/>
    </row>
    <row r="1721" ht="14.25" customHeight="1">
      <c r="A1721" s="8" t="s">
        <v>1349</v>
      </c>
      <c r="B1721" s="8">
        <v>5.7</v>
      </c>
      <c r="C1721" s="4" t="str">
        <f>IFERROR(__xludf.DUMMYFUNCTION("""COMPUTED_VALUE"""),"Justin Dillon")</f>
        <v>Justin Dillon</v>
      </c>
      <c r="D1721" s="31">
        <f t="shared" si="1"/>
        <v>7.5</v>
      </c>
      <c r="E1721" s="4">
        <f t="shared" si="2"/>
        <v>1</v>
      </c>
      <c r="F1721" s="15"/>
      <c r="G1721" s="4"/>
    </row>
    <row r="1722" ht="14.25" customHeight="1">
      <c r="A1722" s="8" t="s">
        <v>3635</v>
      </c>
      <c r="B1722" s="8">
        <v>6.0</v>
      </c>
      <c r="C1722" s="4" t="str">
        <f>IFERROR(__xludf.DUMMYFUNCTION("""COMPUTED_VALUE"""),"Ricki Stern")</f>
        <v>Ricki Stern</v>
      </c>
      <c r="D1722" s="31">
        <f t="shared" si="1"/>
        <v>7.7</v>
      </c>
      <c r="E1722" s="4">
        <f t="shared" si="2"/>
        <v>1</v>
      </c>
      <c r="F1722" s="15"/>
      <c r="G1722" s="4"/>
    </row>
    <row r="1723" ht="14.25" customHeight="1">
      <c r="A1723" s="8" t="s">
        <v>2071</v>
      </c>
      <c r="B1723" s="8">
        <v>6.4</v>
      </c>
      <c r="C1723" s="4" t="str">
        <f>IFERROR(__xludf.DUMMYFUNCTION("""COMPUTED_VALUE"""),"Majid Majidi")</f>
        <v>Majid Majidi</v>
      </c>
      <c r="D1723" s="31">
        <f t="shared" si="1"/>
        <v>8.5</v>
      </c>
      <c r="E1723" s="4">
        <f t="shared" si="2"/>
        <v>1</v>
      </c>
      <c r="F1723" s="15"/>
      <c r="G1723" s="4"/>
    </row>
    <row r="1724" ht="14.25" customHeight="1">
      <c r="A1724" s="8" t="s">
        <v>1727</v>
      </c>
      <c r="B1724" s="8">
        <v>5.2</v>
      </c>
      <c r="C1724" s="4" t="str">
        <f>IFERROR(__xludf.DUMMYFUNCTION("""COMPUTED_VALUE"""),"Andrew Haigh")</f>
        <v>Andrew Haigh</v>
      </c>
      <c r="D1724" s="31">
        <f t="shared" si="1"/>
        <v>7.7</v>
      </c>
      <c r="E1724" s="4">
        <f t="shared" si="2"/>
        <v>1</v>
      </c>
      <c r="F1724" s="15"/>
      <c r="G1724" s="4"/>
    </row>
    <row r="1725" ht="14.25" customHeight="1">
      <c r="A1725" s="8" t="s">
        <v>3641</v>
      </c>
      <c r="B1725" s="8">
        <v>4.3</v>
      </c>
      <c r="C1725" s="4" t="str">
        <f>IFERROR(__xludf.DUMMYFUNCTION("""COMPUTED_VALUE"""),"Mike Cahill")</f>
        <v>Mike Cahill</v>
      </c>
      <c r="D1725" s="31">
        <f t="shared" si="1"/>
        <v>7</v>
      </c>
      <c r="E1725" s="4">
        <f t="shared" si="2"/>
        <v>1</v>
      </c>
      <c r="F1725" s="15"/>
      <c r="G1725" s="4"/>
    </row>
    <row r="1726" ht="14.25" customHeight="1">
      <c r="A1726" s="8" t="s">
        <v>3645</v>
      </c>
      <c r="B1726" s="8">
        <v>6.1</v>
      </c>
      <c r="C1726" s="4" t="str">
        <f>IFERROR(__xludf.DUMMYFUNCTION("""COMPUTED_VALUE"""),"Melvin Van Peebles")</f>
        <v>Melvin Van Peebles</v>
      </c>
      <c r="D1726" s="31">
        <f t="shared" si="1"/>
        <v>5.5</v>
      </c>
      <c r="E1726" s="4">
        <f t="shared" si="2"/>
        <v>1</v>
      </c>
      <c r="F1726" s="15"/>
      <c r="G1726" s="4"/>
    </row>
    <row r="1727" ht="14.25" customHeight="1">
      <c r="A1727" s="8" t="s">
        <v>3268</v>
      </c>
      <c r="B1727" s="8">
        <v>6.8</v>
      </c>
      <c r="C1727" s="4" t="str">
        <f>IFERROR(__xludf.DUMMYFUNCTION("""COMPUTED_VALUE"""),"Robinson Devor")</f>
        <v>Robinson Devor</v>
      </c>
      <c r="D1727" s="31">
        <f t="shared" si="1"/>
        <v>7.3</v>
      </c>
      <c r="E1727" s="4">
        <f t="shared" si="2"/>
        <v>1</v>
      </c>
      <c r="F1727" s="15"/>
      <c r="G1727" s="4"/>
    </row>
    <row r="1728" ht="14.25" customHeight="1">
      <c r="A1728" s="8" t="s">
        <v>3650</v>
      </c>
      <c r="B1728" s="8">
        <v>5.2</v>
      </c>
      <c r="C1728" s="4" t="str">
        <f>IFERROR(__xludf.DUMMYFUNCTION("""COMPUTED_VALUE"""),"Michel Orion Scott")</f>
        <v>Michel Orion Scott</v>
      </c>
      <c r="D1728" s="31">
        <f t="shared" si="1"/>
        <v>7.4</v>
      </c>
      <c r="E1728" s="4">
        <f t="shared" si="2"/>
        <v>1</v>
      </c>
      <c r="F1728" s="15"/>
      <c r="G1728" s="4"/>
    </row>
    <row r="1729" ht="14.25" customHeight="1">
      <c r="A1729" s="8" t="s">
        <v>1026</v>
      </c>
      <c r="B1729" s="8">
        <v>6.5</v>
      </c>
      <c r="C1729" s="4" t="str">
        <f>IFERROR(__xludf.DUMMYFUNCTION("""COMPUTED_VALUE"""),"Dena Seidel")</f>
        <v>Dena Seidel</v>
      </c>
      <c r="D1729" s="31">
        <f t="shared" si="1"/>
        <v>7</v>
      </c>
      <c r="E1729" s="4">
        <f t="shared" si="2"/>
        <v>1</v>
      </c>
      <c r="F1729" s="15"/>
      <c r="G1729" s="4"/>
    </row>
    <row r="1730" ht="14.25" customHeight="1">
      <c r="A1730" s="8" t="s">
        <v>3655</v>
      </c>
      <c r="B1730" s="8">
        <v>7.5</v>
      </c>
      <c r="C1730" s="4" t="str">
        <f>IFERROR(__xludf.DUMMYFUNCTION("""COMPUTED_VALUE"""),"Sara Newens")</f>
        <v>Sara Newens</v>
      </c>
      <c r="D1730" s="31">
        <f t="shared" si="1"/>
        <v>7.1</v>
      </c>
      <c r="E1730" s="4">
        <f t="shared" si="2"/>
        <v>1</v>
      </c>
      <c r="F1730" s="15"/>
      <c r="G1730" s="4"/>
    </row>
    <row r="1731" ht="14.25" customHeight="1">
      <c r="A1731" s="8" t="s">
        <v>1322</v>
      </c>
      <c r="B1731" s="8">
        <v>7.1</v>
      </c>
      <c r="C1731" s="4" t="str">
        <f>IFERROR(__xludf.DUMMYFUNCTION("""COMPUTED_VALUE"""),"Lynn Shelton")</f>
        <v>Lynn Shelton</v>
      </c>
      <c r="D1731" s="31">
        <f t="shared" si="1"/>
        <v>6.7</v>
      </c>
      <c r="E1731" s="4">
        <f t="shared" si="2"/>
        <v>1</v>
      </c>
      <c r="F1731" s="15"/>
      <c r="G1731" s="4"/>
    </row>
    <row r="1732" ht="14.25" customHeight="1">
      <c r="A1732" s="8" t="s">
        <v>524</v>
      </c>
      <c r="B1732" s="8">
        <v>6.9</v>
      </c>
      <c r="C1732" s="4" t="str">
        <f>IFERROR(__xludf.DUMMYFUNCTION("""COMPUTED_VALUE"""),"Travis Cluff")</f>
        <v>Travis Cluff</v>
      </c>
      <c r="D1732" s="31">
        <f t="shared" si="1"/>
        <v>4.2</v>
      </c>
      <c r="E1732" s="4">
        <f t="shared" si="2"/>
        <v>1</v>
      </c>
      <c r="F1732" s="15"/>
      <c r="G1732" s="4"/>
    </row>
    <row r="1733" ht="14.25" customHeight="1">
      <c r="A1733" s="8" t="s">
        <v>1274</v>
      </c>
      <c r="B1733" s="8">
        <v>8.0</v>
      </c>
      <c r="C1733" s="4" t="str">
        <f>IFERROR(__xludf.DUMMYFUNCTION("""COMPUTED_VALUE"""),"Robert Townsend")</f>
        <v>Robert Townsend</v>
      </c>
      <c r="D1733" s="31">
        <f t="shared" si="1"/>
        <v>7</v>
      </c>
      <c r="E1733" s="4">
        <f t="shared" si="2"/>
        <v>1</v>
      </c>
      <c r="F1733" s="15"/>
      <c r="G1733" s="4"/>
    </row>
    <row r="1734" ht="14.25" customHeight="1">
      <c r="A1734" s="8" t="s">
        <v>1506</v>
      </c>
      <c r="B1734" s="8">
        <v>8.2</v>
      </c>
      <c r="C1734" s="4" t="str">
        <f>IFERROR(__xludf.DUMMYFUNCTION("""COMPUTED_VALUE"""),"Larry Blamire")</f>
        <v>Larry Blamire</v>
      </c>
      <c r="D1734" s="31">
        <f t="shared" si="1"/>
        <v>7</v>
      </c>
      <c r="E1734" s="4">
        <f t="shared" si="2"/>
        <v>1</v>
      </c>
      <c r="F1734" s="15"/>
      <c r="G1734" s="4"/>
    </row>
    <row r="1735" ht="14.25" customHeight="1">
      <c r="A1735" s="8" t="s">
        <v>324</v>
      </c>
      <c r="B1735" s="8">
        <v>6.4</v>
      </c>
      <c r="C1735" s="4" t="str">
        <f>IFERROR(__xludf.DUMMYFUNCTION("""COMPUTED_VALUE"""),"E.L. Katz")</f>
        <v>E.L. Katz</v>
      </c>
      <c r="D1735" s="31">
        <f t="shared" si="1"/>
        <v>6.8</v>
      </c>
      <c r="E1735" s="4">
        <f t="shared" si="2"/>
        <v>1</v>
      </c>
      <c r="F1735" s="15"/>
      <c r="G1735" s="4"/>
    </row>
    <row r="1736" ht="14.25" customHeight="1">
      <c r="A1736" s="8" t="s">
        <v>2007</v>
      </c>
      <c r="B1736" s="8">
        <v>7.9</v>
      </c>
      <c r="C1736" s="4" t="str">
        <f>IFERROR(__xludf.DUMMYFUNCTION("""COMPUTED_VALUE"""),"Myles Berkowitz")</f>
        <v>Myles Berkowitz</v>
      </c>
      <c r="D1736" s="31">
        <f t="shared" si="1"/>
        <v>5.3</v>
      </c>
      <c r="E1736" s="4">
        <f t="shared" si="2"/>
        <v>1</v>
      </c>
      <c r="F1736" s="15"/>
      <c r="G1736" s="4"/>
    </row>
    <row r="1737" ht="14.25" customHeight="1">
      <c r="A1737" s="8" t="s">
        <v>3666</v>
      </c>
      <c r="B1737" s="8">
        <v>6.7</v>
      </c>
      <c r="C1737" s="4" t="str">
        <f>IFERROR(__xludf.DUMMYFUNCTION("""COMPUTED_VALUE"""),"Brandon Trost")</f>
        <v>Brandon Trost</v>
      </c>
      <c r="D1737" s="31">
        <f t="shared" si="1"/>
        <v>5.6</v>
      </c>
      <c r="E1737" s="4">
        <f t="shared" si="2"/>
        <v>1</v>
      </c>
      <c r="F1737" s="15"/>
      <c r="G1737" s="4"/>
    </row>
    <row r="1738" ht="14.25" customHeight="1">
      <c r="A1738" s="8" t="s">
        <v>957</v>
      </c>
      <c r="B1738" s="8">
        <v>6.1</v>
      </c>
      <c r="C1738" s="4" t="str">
        <f>IFERROR(__xludf.DUMMYFUNCTION("""COMPUTED_VALUE"""),"Joe Swanberg")</f>
        <v>Joe Swanberg</v>
      </c>
      <c r="D1738" s="31">
        <f t="shared" si="1"/>
        <v>5.6</v>
      </c>
      <c r="E1738" s="4">
        <f t="shared" si="2"/>
        <v>1</v>
      </c>
      <c r="F1738" s="15"/>
      <c r="G1738" s="4"/>
    </row>
    <row r="1739" ht="14.25" customHeight="1">
      <c r="A1739" s="8" t="s">
        <v>168</v>
      </c>
      <c r="B1739" s="8">
        <v>8.9</v>
      </c>
      <c r="C1739" s="4" t="str">
        <f>IFERROR(__xludf.DUMMYFUNCTION("""COMPUTED_VALUE"""),"Lena Dunham")</f>
        <v>Lena Dunham</v>
      </c>
      <c r="D1739" s="31">
        <f t="shared" si="1"/>
        <v>6.3</v>
      </c>
      <c r="E1739" s="4">
        <f t="shared" si="2"/>
        <v>1</v>
      </c>
      <c r="F1739" s="15"/>
      <c r="G1739" s="4"/>
    </row>
    <row r="1740" ht="14.25" customHeight="1">
      <c r="A1740" s="8" t="s">
        <v>3346</v>
      </c>
      <c r="B1740" s="8">
        <v>8.1</v>
      </c>
      <c r="C1740" s="4" t="str">
        <f>IFERROR(__xludf.DUMMYFUNCTION("""COMPUTED_VALUE"""),"Kevin Jordan")</f>
        <v>Kevin Jordan</v>
      </c>
      <c r="D1740" s="31">
        <f t="shared" si="1"/>
        <v>7.6</v>
      </c>
      <c r="E1740" s="4">
        <f t="shared" si="2"/>
        <v>1</v>
      </c>
      <c r="F1740" s="15"/>
      <c r="G1740" s="4"/>
    </row>
    <row r="1741" ht="14.25" customHeight="1">
      <c r="A1741" s="8" t="s">
        <v>467</v>
      </c>
      <c r="B1741" s="8">
        <v>6.2</v>
      </c>
      <c r="C1741" s="4" t="str">
        <f>IFERROR(__xludf.DUMMYFUNCTION("""COMPUTED_VALUE"""),"Mike Bruce")</f>
        <v>Mike Bruce</v>
      </c>
      <c r="D1741" s="31">
        <f t="shared" si="1"/>
        <v>4.1</v>
      </c>
      <c r="E1741" s="4">
        <f t="shared" si="2"/>
        <v>1</v>
      </c>
      <c r="F1741" s="15"/>
      <c r="G1741" s="4"/>
    </row>
    <row r="1742" ht="14.25" customHeight="1">
      <c r="A1742" s="8" t="s">
        <v>657</v>
      </c>
      <c r="B1742" s="8">
        <v>4.9</v>
      </c>
      <c r="C1742" s="4" t="str">
        <f>IFERROR(__xludf.DUMMYFUNCTION("""COMPUTED_VALUE"""),"James Bidgood")</f>
        <v>James Bidgood</v>
      </c>
      <c r="D1742" s="31">
        <f t="shared" si="1"/>
        <v>6.7</v>
      </c>
      <c r="E1742" s="4">
        <f t="shared" si="2"/>
        <v>1</v>
      </c>
      <c r="F1742" s="15"/>
      <c r="G1742" s="4"/>
    </row>
    <row r="1743" ht="14.25" customHeight="1">
      <c r="A1743" s="8" t="s">
        <v>3049</v>
      </c>
      <c r="B1743" s="8">
        <v>5.8</v>
      </c>
      <c r="C1743" s="4" t="str">
        <f>IFERROR(__xludf.DUMMYFUNCTION("""COMPUTED_VALUE"""),"Daryl Wein")</f>
        <v>Daryl Wein</v>
      </c>
      <c r="D1743" s="31">
        <f t="shared" si="1"/>
        <v>6.2</v>
      </c>
      <c r="E1743" s="4">
        <f t="shared" si="2"/>
        <v>1</v>
      </c>
      <c r="F1743" s="15"/>
      <c r="G1743" s="4"/>
    </row>
    <row r="1744" ht="14.25" customHeight="1">
      <c r="A1744" s="8" t="s">
        <v>2337</v>
      </c>
      <c r="B1744" s="8">
        <v>6.0</v>
      </c>
      <c r="C1744" s="4" t="str">
        <f>IFERROR(__xludf.DUMMYFUNCTION("""COMPUTED_VALUE"""),"Jafar Panahi")</f>
        <v>Jafar Panahi</v>
      </c>
      <c r="D1744" s="31">
        <f t="shared" si="1"/>
        <v>7.5</v>
      </c>
      <c r="E1744" s="4">
        <f t="shared" si="2"/>
        <v>1</v>
      </c>
      <c r="F1744" s="15"/>
      <c r="G1744" s="4"/>
    </row>
    <row r="1745" ht="14.25" customHeight="1">
      <c r="A1745" s="8" t="s">
        <v>247</v>
      </c>
      <c r="B1745" s="8">
        <v>7.0</v>
      </c>
      <c r="C1745" s="4" t="str">
        <f>IFERROR(__xludf.DUMMYFUNCTION("""COMPUTED_VALUE"""),"Kiyoshi Kurosawa")</f>
        <v>Kiyoshi Kurosawa</v>
      </c>
      <c r="D1745" s="31">
        <f t="shared" si="1"/>
        <v>7.4</v>
      </c>
      <c r="E1745" s="4">
        <f t="shared" si="2"/>
        <v>1</v>
      </c>
      <c r="F1745" s="15"/>
      <c r="G1745" s="4"/>
    </row>
    <row r="1746" ht="14.25" customHeight="1">
      <c r="A1746" s="8" t="s">
        <v>3681</v>
      </c>
      <c r="B1746" s="8">
        <v>6.0</v>
      </c>
      <c r="C1746" s="4" t="str">
        <f>IFERROR(__xludf.DUMMYFUNCTION("""COMPUTED_VALUE"""),"Shane Carruth")</f>
        <v>Shane Carruth</v>
      </c>
      <c r="D1746" s="31">
        <f t="shared" si="1"/>
        <v>7</v>
      </c>
      <c r="E1746" s="4">
        <f t="shared" si="2"/>
        <v>1</v>
      </c>
      <c r="F1746" s="15"/>
      <c r="G1746" s="4"/>
    </row>
    <row r="1747" ht="14.25" customHeight="1">
      <c r="A1747" s="8" t="s">
        <v>950</v>
      </c>
      <c r="B1747" s="8">
        <v>7.9</v>
      </c>
      <c r="C1747" s="4" t="str">
        <f>IFERROR(__xludf.DUMMYFUNCTION("""COMPUTED_VALUE"""),"Neill Dela Llana")</f>
        <v>Neill Dela Llana</v>
      </c>
      <c r="D1747" s="31">
        <f t="shared" si="1"/>
        <v>6.3</v>
      </c>
      <c r="E1747" s="4">
        <f t="shared" si="2"/>
        <v>1</v>
      </c>
      <c r="F1747" s="15"/>
      <c r="G1747" s="4"/>
    </row>
    <row r="1748" ht="14.25" customHeight="1">
      <c r="A1748" s="8" t="s">
        <v>2831</v>
      </c>
      <c r="B1748" s="8">
        <v>8.1</v>
      </c>
      <c r="C1748" s="4"/>
      <c r="D1748" s="31"/>
      <c r="E1748" s="4"/>
      <c r="F1748" s="15"/>
      <c r="G1748" s="4"/>
    </row>
    <row r="1749" ht="14.25" customHeight="1">
      <c r="A1749" s="8" t="s">
        <v>563</v>
      </c>
      <c r="B1749" s="8">
        <v>6.2</v>
      </c>
      <c r="C1749" s="4"/>
      <c r="D1749" s="31"/>
      <c r="E1749" s="4"/>
      <c r="F1749" s="15"/>
      <c r="G1749" s="4"/>
    </row>
    <row r="1750" ht="14.25" customHeight="1">
      <c r="A1750" s="8" t="s">
        <v>3688</v>
      </c>
      <c r="B1750" s="8">
        <v>6.7</v>
      </c>
      <c r="C1750" s="4"/>
      <c r="D1750" s="31"/>
      <c r="E1750" s="4"/>
      <c r="F1750" s="15"/>
      <c r="G1750" s="4"/>
    </row>
    <row r="1751" ht="14.25" customHeight="1">
      <c r="A1751" s="8" t="s">
        <v>3025</v>
      </c>
      <c r="B1751" s="8">
        <v>7.3</v>
      </c>
      <c r="C1751" s="4"/>
      <c r="D1751" s="31"/>
      <c r="E1751" s="4"/>
      <c r="F1751" s="15"/>
      <c r="G1751" s="4"/>
    </row>
    <row r="1752" ht="14.25" customHeight="1">
      <c r="A1752" s="8" t="s">
        <v>3692</v>
      </c>
      <c r="B1752" s="8">
        <v>4.6</v>
      </c>
      <c r="C1752" s="4"/>
      <c r="D1752" s="31"/>
      <c r="E1752" s="4"/>
      <c r="F1752" s="15"/>
      <c r="G1752" s="4"/>
    </row>
    <row r="1753" ht="14.25" customHeight="1">
      <c r="A1753" s="8" t="s">
        <v>2068</v>
      </c>
      <c r="B1753" s="8">
        <v>6.1</v>
      </c>
      <c r="C1753" s="4"/>
      <c r="D1753" s="31"/>
      <c r="E1753" s="4"/>
      <c r="F1753" s="15"/>
      <c r="G1753" s="4"/>
    </row>
    <row r="1754" ht="14.25" customHeight="1">
      <c r="A1754" s="8" t="s">
        <v>1117</v>
      </c>
      <c r="B1754" s="8">
        <v>6.2</v>
      </c>
      <c r="C1754" s="4"/>
      <c r="D1754" s="31"/>
      <c r="E1754" s="4"/>
      <c r="F1754" s="15"/>
      <c r="G1754" s="4"/>
    </row>
    <row r="1755" ht="14.25" customHeight="1">
      <c r="A1755" s="8" t="s">
        <v>2382</v>
      </c>
      <c r="B1755" s="8">
        <v>7.8</v>
      </c>
      <c r="C1755" s="4"/>
      <c r="D1755" s="31"/>
      <c r="E1755" s="4"/>
      <c r="F1755" s="15"/>
      <c r="G1755" s="4"/>
    </row>
    <row r="1756" ht="14.25" customHeight="1">
      <c r="A1756" s="8" t="s">
        <v>1404</v>
      </c>
      <c r="B1756" s="8">
        <v>6.1</v>
      </c>
      <c r="C1756" s="4"/>
      <c r="D1756" s="31"/>
      <c r="E1756" s="4"/>
      <c r="F1756" s="15"/>
      <c r="G1756" s="4"/>
    </row>
    <row r="1757" ht="14.25" customHeight="1">
      <c r="A1757" s="8" t="s">
        <v>2209</v>
      </c>
      <c r="B1757" s="8">
        <v>5.8</v>
      </c>
      <c r="C1757" s="4"/>
      <c r="D1757" s="31"/>
      <c r="E1757" s="4"/>
      <c r="F1757" s="15"/>
      <c r="G1757" s="4"/>
    </row>
    <row r="1758" ht="14.25" customHeight="1">
      <c r="A1758" s="8" t="s">
        <v>2866</v>
      </c>
      <c r="B1758" s="8">
        <v>6.5</v>
      </c>
      <c r="C1758" s="4"/>
      <c r="D1758" s="31"/>
      <c r="E1758" s="4"/>
      <c r="F1758" s="15"/>
      <c r="G1758" s="4"/>
    </row>
    <row r="1759" ht="14.25" customHeight="1">
      <c r="A1759" s="8" t="s">
        <v>3705</v>
      </c>
      <c r="B1759" s="8">
        <v>7.2</v>
      </c>
      <c r="C1759" s="4"/>
      <c r="D1759" s="31"/>
      <c r="E1759" s="4"/>
      <c r="F1759" s="15"/>
      <c r="G1759" s="4"/>
    </row>
    <row r="1760" ht="14.25" customHeight="1">
      <c r="A1760" s="8" t="s">
        <v>54</v>
      </c>
      <c r="B1760" s="8">
        <v>7.8</v>
      </c>
      <c r="C1760" s="4"/>
      <c r="D1760" s="31"/>
      <c r="E1760" s="4"/>
      <c r="F1760" s="15"/>
      <c r="G1760" s="4"/>
    </row>
    <row r="1761" ht="14.25" customHeight="1">
      <c r="A1761" s="8" t="s">
        <v>3709</v>
      </c>
      <c r="B1761" s="8">
        <v>4.7</v>
      </c>
      <c r="C1761" s="4"/>
      <c r="D1761" s="31"/>
      <c r="E1761" s="4"/>
      <c r="F1761" s="15"/>
      <c r="G1761" s="4"/>
    </row>
    <row r="1762" ht="14.25" customHeight="1">
      <c r="A1762" s="8" t="s">
        <v>3711</v>
      </c>
      <c r="B1762" s="8">
        <v>6.8</v>
      </c>
      <c r="C1762" s="4"/>
      <c r="D1762" s="31"/>
      <c r="E1762" s="4"/>
      <c r="F1762" s="15"/>
      <c r="G1762" s="4"/>
    </row>
    <row r="1763" ht="14.25" customHeight="1">
      <c r="A1763" s="8" t="s">
        <v>3713</v>
      </c>
      <c r="B1763" s="8">
        <v>5.9</v>
      </c>
      <c r="C1763" s="4"/>
      <c r="D1763" s="31"/>
      <c r="E1763" s="4"/>
      <c r="F1763" s="15"/>
      <c r="G1763" s="4"/>
    </row>
    <row r="1764" ht="14.25" customHeight="1">
      <c r="A1764" s="8" t="s">
        <v>727</v>
      </c>
      <c r="B1764" s="8">
        <v>7.2</v>
      </c>
      <c r="C1764" s="4"/>
      <c r="D1764" s="31"/>
      <c r="E1764" s="4"/>
      <c r="F1764" s="15"/>
      <c r="G1764" s="4"/>
    </row>
    <row r="1765" ht="14.25" customHeight="1">
      <c r="A1765" s="8" t="s">
        <v>208</v>
      </c>
      <c r="B1765" s="8">
        <v>8.7</v>
      </c>
      <c r="C1765" s="4"/>
      <c r="D1765" s="31"/>
      <c r="E1765" s="4"/>
      <c r="F1765" s="15"/>
      <c r="G1765" s="4"/>
    </row>
    <row r="1766" ht="14.25" customHeight="1">
      <c r="A1766" s="8" t="s">
        <v>1783</v>
      </c>
      <c r="B1766" s="8">
        <v>5.0</v>
      </c>
      <c r="C1766" s="4"/>
      <c r="D1766" s="31"/>
      <c r="E1766" s="4"/>
      <c r="F1766" s="15"/>
      <c r="G1766" s="4"/>
    </row>
    <row r="1767" ht="14.25" customHeight="1">
      <c r="A1767" s="8" t="s">
        <v>2829</v>
      </c>
      <c r="B1767" s="8">
        <v>6.6</v>
      </c>
      <c r="C1767" s="4"/>
      <c r="D1767" s="31"/>
      <c r="E1767" s="4"/>
      <c r="F1767" s="15"/>
      <c r="G1767" s="4"/>
    </row>
    <row r="1768" ht="14.25" customHeight="1">
      <c r="A1768" s="8" t="s">
        <v>950</v>
      </c>
      <c r="B1768" s="8">
        <v>8.3</v>
      </c>
      <c r="C1768" s="4"/>
      <c r="D1768" s="31"/>
      <c r="E1768" s="4"/>
      <c r="F1768" s="15"/>
      <c r="G1768" s="4"/>
    </row>
    <row r="1769" ht="14.25" customHeight="1">
      <c r="A1769" s="8" t="s">
        <v>2014</v>
      </c>
      <c r="B1769" s="8">
        <v>6.7</v>
      </c>
      <c r="C1769" s="4"/>
      <c r="D1769" s="31"/>
      <c r="E1769" s="4"/>
      <c r="F1769" s="15"/>
      <c r="G1769" s="4"/>
    </row>
    <row r="1770" ht="14.25" customHeight="1">
      <c r="A1770" s="8" t="s">
        <v>3723</v>
      </c>
      <c r="B1770" s="8">
        <v>7.8</v>
      </c>
      <c r="C1770" s="4"/>
      <c r="D1770" s="31"/>
      <c r="E1770" s="4"/>
      <c r="F1770" s="15"/>
      <c r="G1770" s="4"/>
    </row>
    <row r="1771" ht="14.25" customHeight="1">
      <c r="A1771" s="8" t="s">
        <v>1558</v>
      </c>
      <c r="B1771" s="8">
        <v>6.5</v>
      </c>
      <c r="C1771" s="4"/>
      <c r="D1771" s="31"/>
      <c r="E1771" s="4"/>
      <c r="F1771" s="15"/>
      <c r="G1771" s="4"/>
    </row>
    <row r="1772" ht="14.25" customHeight="1">
      <c r="A1772" s="8" t="s">
        <v>113</v>
      </c>
      <c r="B1772" s="8">
        <v>6.1</v>
      </c>
      <c r="C1772" s="4"/>
      <c r="D1772" s="31"/>
      <c r="E1772" s="4"/>
      <c r="F1772" s="15"/>
      <c r="G1772" s="4"/>
    </row>
    <row r="1773" ht="14.25" customHeight="1">
      <c r="A1773" s="8" t="s">
        <v>2820</v>
      </c>
      <c r="B1773" s="8">
        <v>8.1</v>
      </c>
      <c r="C1773" s="4"/>
      <c r="D1773" s="31"/>
      <c r="E1773" s="4"/>
      <c r="F1773" s="15"/>
      <c r="G1773" s="4"/>
    </row>
    <row r="1774" ht="14.25" customHeight="1">
      <c r="A1774" s="8" t="s">
        <v>3730</v>
      </c>
      <c r="B1774" s="8">
        <v>5.2</v>
      </c>
      <c r="C1774" s="4"/>
      <c r="D1774" s="31"/>
      <c r="E1774" s="4"/>
      <c r="F1774" s="15"/>
      <c r="G1774" s="4"/>
    </row>
    <row r="1775" ht="14.25" customHeight="1">
      <c r="A1775" s="8" t="s">
        <v>3732</v>
      </c>
      <c r="B1775" s="8">
        <v>5.6</v>
      </c>
      <c r="C1775" s="4"/>
      <c r="D1775" s="31"/>
      <c r="E1775" s="4"/>
      <c r="F1775" s="15"/>
      <c r="G1775" s="4"/>
    </row>
    <row r="1776" ht="14.25" customHeight="1">
      <c r="A1776" s="8" t="s">
        <v>3550</v>
      </c>
      <c r="B1776" s="8">
        <v>5.8</v>
      </c>
      <c r="C1776" s="4"/>
      <c r="D1776" s="31"/>
      <c r="E1776" s="4"/>
      <c r="F1776" s="15"/>
      <c r="G1776" s="4"/>
    </row>
    <row r="1777" ht="14.25" customHeight="1">
      <c r="A1777" s="8" t="s">
        <v>2506</v>
      </c>
      <c r="B1777" s="8">
        <v>6.6</v>
      </c>
      <c r="C1777" s="4"/>
      <c r="D1777" s="31"/>
      <c r="E1777" s="4"/>
      <c r="F1777" s="15"/>
      <c r="G1777" s="4"/>
    </row>
    <row r="1778" ht="14.25" customHeight="1">
      <c r="A1778" s="8" t="s">
        <v>3737</v>
      </c>
      <c r="B1778" s="8">
        <v>6.6</v>
      </c>
      <c r="C1778" s="4"/>
      <c r="D1778" s="31"/>
      <c r="E1778" s="4"/>
      <c r="F1778" s="15"/>
      <c r="G1778" s="4"/>
    </row>
    <row r="1779" ht="14.25" customHeight="1">
      <c r="A1779" s="8" t="s">
        <v>3739</v>
      </c>
      <c r="B1779" s="8">
        <v>5.5</v>
      </c>
      <c r="C1779" s="4"/>
      <c r="D1779" s="31"/>
      <c r="E1779" s="4"/>
      <c r="F1779" s="15"/>
      <c r="G1779" s="4"/>
    </row>
    <row r="1780" ht="14.25" customHeight="1">
      <c r="A1780" s="8" t="s">
        <v>3394</v>
      </c>
      <c r="B1780" s="8">
        <v>7.0</v>
      </c>
      <c r="C1780" s="4"/>
      <c r="D1780" s="31"/>
      <c r="E1780" s="4"/>
      <c r="F1780" s="15"/>
      <c r="G1780" s="4"/>
    </row>
    <row r="1781" ht="14.25" customHeight="1">
      <c r="A1781" s="8" t="s">
        <v>502</v>
      </c>
      <c r="B1781" s="8">
        <v>6.5</v>
      </c>
      <c r="C1781" s="4"/>
      <c r="D1781" s="31"/>
      <c r="E1781" s="4"/>
      <c r="F1781" s="15"/>
      <c r="G1781" s="4"/>
    </row>
    <row r="1782" ht="14.25" customHeight="1">
      <c r="A1782" s="8" t="s">
        <v>2695</v>
      </c>
      <c r="B1782" s="8">
        <v>5.8</v>
      </c>
      <c r="C1782" s="4"/>
      <c r="D1782" s="31"/>
      <c r="E1782" s="4"/>
      <c r="F1782" s="15"/>
      <c r="G1782" s="4"/>
    </row>
    <row r="1783" ht="14.25" customHeight="1">
      <c r="A1783" s="8" t="s">
        <v>3745</v>
      </c>
      <c r="B1783" s="8">
        <v>5.6</v>
      </c>
      <c r="C1783" s="4"/>
      <c r="D1783" s="31"/>
      <c r="E1783" s="4"/>
      <c r="F1783" s="15"/>
      <c r="G1783" s="4"/>
    </row>
    <row r="1784" ht="14.25" customHeight="1">
      <c r="A1784" s="8" t="s">
        <v>3748</v>
      </c>
      <c r="B1784" s="8">
        <v>5.6</v>
      </c>
      <c r="C1784" s="4"/>
      <c r="D1784" s="31"/>
      <c r="E1784" s="4"/>
      <c r="F1784" s="15"/>
      <c r="G1784" s="4"/>
    </row>
    <row r="1785" ht="14.25" customHeight="1">
      <c r="A1785" s="8" t="s">
        <v>1404</v>
      </c>
      <c r="B1785" s="8">
        <v>5.8</v>
      </c>
      <c r="C1785" s="4"/>
      <c r="D1785" s="31"/>
      <c r="E1785" s="4"/>
      <c r="F1785" s="15"/>
      <c r="G1785" s="4"/>
    </row>
    <row r="1786" ht="14.25" customHeight="1">
      <c r="A1786" s="8" t="s">
        <v>2635</v>
      </c>
      <c r="B1786" s="8">
        <v>7.6</v>
      </c>
      <c r="C1786" s="4"/>
      <c r="D1786" s="31"/>
      <c r="E1786" s="4"/>
      <c r="F1786" s="15"/>
      <c r="G1786" s="4"/>
    </row>
    <row r="1787" ht="14.25" customHeight="1">
      <c r="A1787" s="8" t="s">
        <v>2068</v>
      </c>
      <c r="B1787" s="8">
        <v>6.4</v>
      </c>
      <c r="C1787" s="4"/>
      <c r="D1787" s="31"/>
      <c r="E1787" s="4"/>
      <c r="F1787" s="15"/>
      <c r="G1787" s="4"/>
    </row>
    <row r="1788" ht="14.25" customHeight="1">
      <c r="A1788" s="8" t="s">
        <v>3753</v>
      </c>
      <c r="B1788" s="8">
        <v>6.3</v>
      </c>
      <c r="C1788" s="4"/>
      <c r="D1788" s="31"/>
      <c r="E1788" s="4"/>
      <c r="F1788" s="15"/>
      <c r="G1788" s="4"/>
    </row>
    <row r="1789" ht="14.25" customHeight="1">
      <c r="A1789" s="8" t="s">
        <v>3756</v>
      </c>
      <c r="B1789" s="8">
        <v>4.6</v>
      </c>
      <c r="C1789" s="4"/>
      <c r="D1789" s="31"/>
      <c r="E1789" s="4"/>
      <c r="F1789" s="15"/>
      <c r="G1789" s="4"/>
    </row>
    <row r="1790" ht="14.25" customHeight="1">
      <c r="A1790" s="8" t="s">
        <v>3759</v>
      </c>
      <c r="B1790" s="8">
        <v>6.5</v>
      </c>
      <c r="C1790" s="4"/>
      <c r="D1790" s="31"/>
      <c r="E1790" s="4"/>
      <c r="F1790" s="15"/>
      <c r="G1790" s="4"/>
    </row>
    <row r="1791" ht="14.25" customHeight="1">
      <c r="A1791" s="8" t="s">
        <v>3761</v>
      </c>
      <c r="B1791" s="8">
        <v>7.5</v>
      </c>
      <c r="C1791" s="4"/>
      <c r="D1791" s="31"/>
      <c r="E1791" s="4"/>
      <c r="F1791" s="15"/>
      <c r="G1791" s="4"/>
    </row>
    <row r="1792" ht="14.25" customHeight="1">
      <c r="A1792" s="8" t="s">
        <v>1928</v>
      </c>
      <c r="B1792" s="8">
        <v>7.5</v>
      </c>
      <c r="C1792" s="4"/>
      <c r="D1792" s="31"/>
      <c r="E1792" s="4"/>
      <c r="F1792" s="15"/>
      <c r="G1792" s="4"/>
    </row>
    <row r="1793" ht="14.25" customHeight="1">
      <c r="A1793" s="8" t="s">
        <v>3049</v>
      </c>
      <c r="B1793" s="8">
        <v>5.3</v>
      </c>
      <c r="C1793" s="4"/>
      <c r="D1793" s="31"/>
      <c r="E1793" s="4"/>
      <c r="F1793" s="15"/>
      <c r="G1793" s="4"/>
    </row>
    <row r="1794" ht="14.25" customHeight="1">
      <c r="A1794" s="8" t="s">
        <v>3768</v>
      </c>
      <c r="B1794" s="8">
        <v>7.5</v>
      </c>
      <c r="C1794" s="4"/>
      <c r="D1794" s="31"/>
      <c r="E1794" s="4"/>
      <c r="F1794" s="15"/>
      <c r="G1794" s="4"/>
    </row>
    <row r="1795" ht="14.25" customHeight="1">
      <c r="A1795" s="8" t="s">
        <v>3771</v>
      </c>
      <c r="B1795" s="8">
        <v>3.3</v>
      </c>
      <c r="C1795" s="4"/>
      <c r="D1795" s="31"/>
      <c r="E1795" s="4"/>
      <c r="F1795" s="15"/>
      <c r="G1795" s="4"/>
    </row>
    <row r="1796" ht="14.25" customHeight="1">
      <c r="A1796" s="8" t="s">
        <v>3774</v>
      </c>
      <c r="B1796" s="8">
        <v>3.5</v>
      </c>
      <c r="C1796" s="4"/>
      <c r="D1796" s="31"/>
      <c r="E1796" s="4"/>
      <c r="F1796" s="15"/>
      <c r="G1796" s="4"/>
    </row>
    <row r="1797" ht="14.25" customHeight="1">
      <c r="A1797" s="8" t="s">
        <v>1331</v>
      </c>
      <c r="B1797" s="8">
        <v>9.3</v>
      </c>
      <c r="C1797" s="4"/>
      <c r="D1797" s="31"/>
      <c r="E1797" s="4"/>
      <c r="F1797" s="15"/>
      <c r="G1797" s="4"/>
    </row>
    <row r="1798" ht="14.25" customHeight="1">
      <c r="A1798" s="8" t="s">
        <v>2365</v>
      </c>
      <c r="B1798" s="8">
        <v>4.8</v>
      </c>
      <c r="C1798" s="4"/>
      <c r="D1798" s="31"/>
      <c r="E1798" s="4"/>
      <c r="F1798" s="15"/>
      <c r="G1798" s="4"/>
    </row>
    <row r="1799" ht="14.25" customHeight="1">
      <c r="A1799" s="8" t="s">
        <v>1428</v>
      </c>
      <c r="B1799" s="8">
        <v>6.9</v>
      </c>
      <c r="C1799" s="4"/>
      <c r="D1799" s="31"/>
      <c r="E1799" s="4"/>
      <c r="F1799" s="15"/>
      <c r="G1799" s="4"/>
    </row>
    <row r="1800" ht="14.25" customHeight="1">
      <c r="A1800" s="8" t="s">
        <v>860</v>
      </c>
      <c r="B1800" s="8">
        <v>6.0</v>
      </c>
      <c r="C1800" s="4"/>
      <c r="D1800" s="31"/>
      <c r="E1800" s="4"/>
      <c r="F1800" s="15"/>
      <c r="G1800" s="4"/>
    </row>
    <row r="1801" ht="14.25" customHeight="1">
      <c r="A1801" s="8" t="s">
        <v>3783</v>
      </c>
      <c r="B1801" s="8">
        <v>7.3</v>
      </c>
      <c r="C1801" s="4"/>
      <c r="D1801" s="31"/>
      <c r="E1801" s="4"/>
      <c r="F1801" s="15"/>
      <c r="G1801" s="4"/>
    </row>
    <row r="1802" ht="14.25" customHeight="1">
      <c r="A1802" s="8" t="s">
        <v>3785</v>
      </c>
      <c r="B1802" s="8">
        <v>6.6</v>
      </c>
      <c r="C1802" s="4"/>
      <c r="D1802" s="31"/>
      <c r="E1802" s="4"/>
      <c r="F1802" s="15"/>
      <c r="G1802" s="4"/>
    </row>
    <row r="1803" ht="14.25" customHeight="1">
      <c r="A1803" s="8" t="s">
        <v>3788</v>
      </c>
      <c r="B1803" s="8">
        <v>7.5</v>
      </c>
      <c r="C1803" s="4"/>
      <c r="D1803" s="31"/>
      <c r="E1803" s="4"/>
      <c r="F1803" s="15"/>
      <c r="G1803" s="4"/>
    </row>
    <row r="1804" ht="14.25" customHeight="1">
      <c r="A1804" s="8" t="s">
        <v>2048</v>
      </c>
      <c r="B1804" s="8">
        <v>6.9</v>
      </c>
      <c r="C1804" s="4"/>
      <c r="D1804" s="31"/>
      <c r="E1804" s="4"/>
      <c r="F1804" s="15"/>
      <c r="G1804" s="4"/>
    </row>
    <row r="1805" ht="14.25" customHeight="1">
      <c r="A1805" s="8" t="s">
        <v>3792</v>
      </c>
      <c r="B1805" s="8">
        <v>6.8</v>
      </c>
      <c r="C1805" s="4"/>
      <c r="D1805" s="31"/>
      <c r="E1805" s="4"/>
      <c r="F1805" s="15"/>
      <c r="G1805" s="4"/>
    </row>
    <row r="1806" ht="14.25" customHeight="1">
      <c r="A1806" s="8" t="s">
        <v>3025</v>
      </c>
      <c r="B1806" s="8">
        <v>6.3</v>
      </c>
      <c r="C1806" s="4"/>
      <c r="D1806" s="31"/>
      <c r="E1806" s="4"/>
      <c r="F1806" s="15"/>
      <c r="G1806" s="4"/>
    </row>
    <row r="1807" ht="14.25" customHeight="1">
      <c r="A1807" s="8" t="s">
        <v>3795</v>
      </c>
      <c r="B1807" s="8">
        <v>6.4</v>
      </c>
      <c r="C1807" s="4"/>
      <c r="D1807" s="31"/>
      <c r="E1807" s="4"/>
      <c r="F1807" s="15"/>
      <c r="G1807" s="4"/>
    </row>
    <row r="1808" ht="14.25" customHeight="1">
      <c r="A1808" s="8" t="s">
        <v>3797</v>
      </c>
      <c r="B1808" s="8">
        <v>5.6</v>
      </c>
      <c r="C1808" s="4"/>
      <c r="D1808" s="31"/>
      <c r="E1808" s="4"/>
      <c r="F1808" s="15"/>
      <c r="G1808" s="4"/>
    </row>
    <row r="1809" ht="14.25" customHeight="1">
      <c r="A1809" s="8" t="s">
        <v>3800</v>
      </c>
      <c r="B1809" s="8">
        <v>6.3</v>
      </c>
      <c r="C1809" s="4"/>
      <c r="D1809" s="31"/>
      <c r="E1809" s="4"/>
      <c r="F1809" s="15"/>
      <c r="G1809" s="4"/>
    </row>
    <row r="1810" ht="14.25" customHeight="1">
      <c r="A1810" s="8" t="s">
        <v>2820</v>
      </c>
      <c r="B1810" s="8">
        <v>7.3</v>
      </c>
      <c r="C1810" s="4"/>
      <c r="D1810" s="31"/>
      <c r="E1810" s="4"/>
      <c r="F1810" s="15"/>
      <c r="G1810" s="4"/>
    </row>
    <row r="1811" ht="14.25" customHeight="1">
      <c r="A1811" s="8" t="s">
        <v>3804</v>
      </c>
      <c r="B1811" s="8">
        <v>6.6</v>
      </c>
      <c r="C1811" s="4"/>
      <c r="D1811" s="31"/>
      <c r="E1811" s="4"/>
      <c r="F1811" s="15"/>
      <c r="G1811" s="4"/>
    </row>
    <row r="1812" ht="14.25" customHeight="1">
      <c r="A1812" s="8" t="s">
        <v>3806</v>
      </c>
      <c r="B1812" s="8">
        <v>4.6</v>
      </c>
      <c r="C1812" s="4"/>
      <c r="D1812" s="31"/>
      <c r="E1812" s="4"/>
      <c r="F1812" s="15"/>
      <c r="G1812" s="4"/>
    </row>
    <row r="1813" ht="14.25" customHeight="1">
      <c r="A1813" s="8" t="s">
        <v>411</v>
      </c>
      <c r="B1813" s="8">
        <v>5.1</v>
      </c>
      <c r="C1813" s="4"/>
      <c r="D1813" s="31"/>
      <c r="E1813" s="4"/>
      <c r="F1813" s="15"/>
      <c r="G1813" s="4"/>
    </row>
    <row r="1814" ht="14.25" customHeight="1">
      <c r="A1814" s="8" t="s">
        <v>3812</v>
      </c>
      <c r="B1814" s="8">
        <v>5.6</v>
      </c>
      <c r="C1814" s="4"/>
      <c r="D1814" s="31"/>
      <c r="E1814" s="4"/>
      <c r="F1814" s="15"/>
      <c r="G1814" s="4"/>
    </row>
    <row r="1815" ht="14.25" customHeight="1">
      <c r="A1815" s="8" t="s">
        <v>3815</v>
      </c>
      <c r="B1815" s="8">
        <v>5.3</v>
      </c>
      <c r="C1815" s="4"/>
      <c r="D1815" s="31"/>
      <c r="E1815" s="4"/>
      <c r="F1815" s="15"/>
      <c r="G1815" s="4"/>
    </row>
    <row r="1816" ht="14.25" customHeight="1">
      <c r="A1816" s="8" t="s">
        <v>3819</v>
      </c>
      <c r="B1816" s="8">
        <v>5.6</v>
      </c>
      <c r="C1816" s="4"/>
      <c r="D1816" s="31"/>
      <c r="E1816" s="4"/>
      <c r="F1816" s="15"/>
      <c r="G1816" s="4"/>
    </row>
    <row r="1817" ht="14.25" customHeight="1">
      <c r="A1817" s="8" t="s">
        <v>3821</v>
      </c>
      <c r="B1817" s="8">
        <v>5.9</v>
      </c>
      <c r="C1817" s="4"/>
      <c r="D1817" s="31"/>
      <c r="E1817" s="4"/>
      <c r="F1817" s="15"/>
      <c r="G1817" s="4"/>
    </row>
    <row r="1818" ht="14.25" customHeight="1">
      <c r="A1818" s="8" t="s">
        <v>3824</v>
      </c>
      <c r="B1818" s="8">
        <v>4.7</v>
      </c>
      <c r="C1818" s="4"/>
      <c r="D1818" s="31"/>
      <c r="E1818" s="4"/>
      <c r="F1818" s="15"/>
      <c r="G1818" s="4"/>
    </row>
    <row r="1819" ht="14.25" customHeight="1">
      <c r="A1819" s="8" t="s">
        <v>2511</v>
      </c>
      <c r="B1819" s="8">
        <v>4.8</v>
      </c>
      <c r="C1819" s="4"/>
      <c r="D1819" s="31"/>
      <c r="E1819" s="4"/>
      <c r="F1819" s="15"/>
      <c r="G1819" s="4"/>
    </row>
    <row r="1820" ht="14.25" customHeight="1">
      <c r="A1820" s="8" t="s">
        <v>2954</v>
      </c>
      <c r="B1820" s="8">
        <v>6.8</v>
      </c>
      <c r="C1820" s="4"/>
      <c r="D1820" s="31"/>
      <c r="E1820" s="4"/>
      <c r="F1820" s="15"/>
      <c r="G1820" s="4"/>
    </row>
    <row r="1821" ht="14.25" customHeight="1">
      <c r="A1821" s="8" t="s">
        <v>3831</v>
      </c>
      <c r="B1821" s="8">
        <v>5.4</v>
      </c>
      <c r="C1821" s="4"/>
      <c r="D1821" s="31"/>
      <c r="E1821" s="4"/>
      <c r="F1821" s="15"/>
      <c r="G1821" s="4"/>
    </row>
    <row r="1822" ht="14.25" customHeight="1">
      <c r="A1822" s="8" t="s">
        <v>3833</v>
      </c>
      <c r="B1822" s="8">
        <v>5.1</v>
      </c>
      <c r="C1822" s="4"/>
      <c r="D1822" s="31"/>
      <c r="E1822" s="4"/>
      <c r="F1822" s="15"/>
      <c r="G1822" s="4"/>
    </row>
    <row r="1823" ht="14.25" customHeight="1">
      <c r="A1823" s="8" t="s">
        <v>2050</v>
      </c>
      <c r="B1823" s="8">
        <v>7.0</v>
      </c>
      <c r="C1823" s="4"/>
      <c r="D1823" s="31"/>
      <c r="E1823" s="4"/>
      <c r="F1823" s="15"/>
      <c r="G1823" s="4"/>
    </row>
    <row r="1824" ht="14.25" customHeight="1">
      <c r="A1824" s="8" t="s">
        <v>2331</v>
      </c>
      <c r="B1824" s="8">
        <v>4.0</v>
      </c>
      <c r="C1824" s="4"/>
      <c r="D1824" s="31"/>
      <c r="E1824" s="4"/>
      <c r="F1824" s="15"/>
      <c r="G1824" s="4"/>
    </row>
    <row r="1825" ht="14.25" customHeight="1">
      <c r="A1825" s="8" t="s">
        <v>1900</v>
      </c>
      <c r="B1825" s="8">
        <v>7.3</v>
      </c>
      <c r="C1825" s="4"/>
      <c r="D1825" s="31"/>
      <c r="E1825" s="4"/>
      <c r="F1825" s="15"/>
      <c r="G1825" s="4"/>
    </row>
    <row r="1826" ht="14.25" customHeight="1">
      <c r="A1826" s="8" t="s">
        <v>1117</v>
      </c>
      <c r="B1826" s="8">
        <v>6.8</v>
      </c>
      <c r="C1826" s="4"/>
      <c r="D1826" s="31"/>
      <c r="E1826" s="4"/>
      <c r="F1826" s="15"/>
      <c r="G1826" s="4"/>
    </row>
    <row r="1827" ht="14.25" customHeight="1">
      <c r="A1827" s="8" t="s">
        <v>1640</v>
      </c>
      <c r="B1827" s="8">
        <v>7.0</v>
      </c>
      <c r="C1827" s="4"/>
      <c r="D1827" s="31"/>
      <c r="E1827" s="4"/>
      <c r="F1827" s="15"/>
      <c r="G1827" s="4"/>
    </row>
    <row r="1828" ht="14.25" customHeight="1">
      <c r="A1828" s="8" t="s">
        <v>2447</v>
      </c>
      <c r="B1828" s="8">
        <v>7.1</v>
      </c>
      <c r="C1828" s="4"/>
      <c r="D1828" s="31"/>
      <c r="E1828" s="4"/>
      <c r="F1828" s="15"/>
      <c r="G1828" s="4"/>
    </row>
    <row r="1829" ht="14.25" customHeight="1">
      <c r="A1829" s="8" t="s">
        <v>3845</v>
      </c>
      <c r="B1829" s="8">
        <v>6.9</v>
      </c>
      <c r="C1829" s="4"/>
      <c r="D1829" s="31"/>
      <c r="E1829" s="4"/>
      <c r="F1829" s="15"/>
      <c r="G1829" s="4"/>
    </row>
    <row r="1830" ht="14.25" customHeight="1">
      <c r="A1830" s="8" t="s">
        <v>2158</v>
      </c>
      <c r="B1830" s="8">
        <v>7.3</v>
      </c>
      <c r="C1830" s="4"/>
      <c r="D1830" s="31"/>
      <c r="E1830" s="4"/>
      <c r="F1830" s="15"/>
      <c r="G1830" s="4"/>
    </row>
    <row r="1831" ht="14.25" customHeight="1">
      <c r="A1831" s="8" t="s">
        <v>3385</v>
      </c>
      <c r="B1831" s="8">
        <v>8.2</v>
      </c>
      <c r="C1831" s="4"/>
      <c r="D1831" s="31"/>
      <c r="E1831" s="4"/>
      <c r="F1831" s="15"/>
      <c r="G1831" s="4"/>
    </row>
    <row r="1832" ht="14.25" customHeight="1">
      <c r="A1832" s="8" t="s">
        <v>2038</v>
      </c>
      <c r="B1832" s="8">
        <v>7.1</v>
      </c>
      <c r="C1832" s="4"/>
      <c r="D1832" s="31"/>
      <c r="E1832" s="4"/>
      <c r="F1832" s="15"/>
      <c r="G1832" s="4"/>
    </row>
    <row r="1833" ht="14.25" customHeight="1">
      <c r="A1833" s="8" t="s">
        <v>1933</v>
      </c>
      <c r="B1833" s="8">
        <v>7.7</v>
      </c>
      <c r="C1833" s="4"/>
      <c r="D1833" s="31"/>
      <c r="E1833" s="4"/>
      <c r="F1833" s="15"/>
      <c r="G1833" s="4"/>
    </row>
    <row r="1834" ht="14.25" customHeight="1">
      <c r="A1834" s="8" t="s">
        <v>3327</v>
      </c>
      <c r="B1834" s="8">
        <v>6.5</v>
      </c>
      <c r="C1834" s="4"/>
      <c r="D1834" s="31"/>
      <c r="E1834" s="4"/>
      <c r="F1834" s="15"/>
      <c r="G1834" s="4"/>
    </row>
    <row r="1835" ht="14.25" customHeight="1">
      <c r="A1835" s="8" t="s">
        <v>2090</v>
      </c>
      <c r="B1835" s="8">
        <v>4.9</v>
      </c>
      <c r="C1835" s="4"/>
      <c r="D1835" s="31"/>
      <c r="E1835" s="4"/>
      <c r="F1835" s="15"/>
      <c r="G1835" s="4"/>
    </row>
    <row r="1836" ht="14.25" customHeight="1">
      <c r="A1836" s="8" t="s">
        <v>3858</v>
      </c>
      <c r="B1836" s="8">
        <v>6.4</v>
      </c>
      <c r="C1836" s="4"/>
      <c r="D1836" s="31"/>
      <c r="E1836" s="4"/>
      <c r="F1836" s="15"/>
      <c r="G1836" s="4"/>
    </row>
    <row r="1837" ht="14.25" customHeight="1">
      <c r="A1837" s="8" t="s">
        <v>3861</v>
      </c>
      <c r="B1837" s="8">
        <v>5.9</v>
      </c>
      <c r="C1837" s="4"/>
      <c r="D1837" s="31"/>
      <c r="E1837" s="4"/>
      <c r="F1837" s="15"/>
      <c r="G1837" s="4"/>
    </row>
    <row r="1838" ht="14.25" customHeight="1">
      <c r="A1838" s="8" t="s">
        <v>3864</v>
      </c>
      <c r="B1838" s="8">
        <v>6.2</v>
      </c>
      <c r="C1838" s="4"/>
      <c r="D1838" s="31"/>
      <c r="E1838" s="4"/>
      <c r="F1838" s="15"/>
      <c r="G1838" s="4"/>
    </row>
    <row r="1839" ht="14.25" customHeight="1">
      <c r="A1839" s="8" t="s">
        <v>1773</v>
      </c>
      <c r="B1839" s="8">
        <v>5.8</v>
      </c>
      <c r="C1839" s="4"/>
      <c r="D1839" s="31"/>
      <c r="E1839" s="4"/>
      <c r="F1839" s="15"/>
      <c r="G1839" s="4"/>
    </row>
    <row r="1840" ht="14.25" customHeight="1">
      <c r="A1840" s="8" t="s">
        <v>3025</v>
      </c>
      <c r="B1840" s="8">
        <v>6.7</v>
      </c>
      <c r="C1840" s="4"/>
      <c r="D1840" s="31"/>
      <c r="E1840" s="4"/>
      <c r="F1840" s="15"/>
      <c r="G1840" s="4"/>
    </row>
    <row r="1841" ht="14.25" customHeight="1">
      <c r="A1841" s="8" t="s">
        <v>3869</v>
      </c>
      <c r="B1841" s="8">
        <v>5.9</v>
      </c>
      <c r="C1841" s="4"/>
      <c r="D1841" s="31"/>
      <c r="E1841" s="4"/>
      <c r="F1841" s="15"/>
      <c r="G1841" s="4"/>
    </row>
    <row r="1842" ht="14.25" customHeight="1">
      <c r="A1842" s="8" t="s">
        <v>3872</v>
      </c>
      <c r="B1842" s="8">
        <v>7.3</v>
      </c>
      <c r="C1842" s="4"/>
      <c r="D1842" s="31"/>
      <c r="E1842" s="4"/>
      <c r="F1842" s="15"/>
      <c r="G1842" s="4"/>
    </row>
    <row r="1843" ht="14.25" customHeight="1">
      <c r="A1843" s="8" t="s">
        <v>3874</v>
      </c>
      <c r="B1843" s="8">
        <v>4.1</v>
      </c>
      <c r="C1843" s="4"/>
      <c r="D1843" s="31"/>
      <c r="E1843" s="4"/>
      <c r="F1843" s="15"/>
      <c r="G1843" s="4"/>
    </row>
    <row r="1844" ht="14.25" customHeight="1">
      <c r="A1844" s="8" t="s">
        <v>3204</v>
      </c>
      <c r="B1844" s="8">
        <v>4.9</v>
      </c>
      <c r="C1844" s="4"/>
      <c r="D1844" s="31"/>
      <c r="E1844" s="4"/>
      <c r="F1844" s="15"/>
      <c r="G1844" s="4"/>
    </row>
    <row r="1845" ht="14.25" customHeight="1">
      <c r="A1845" s="8" t="s">
        <v>620</v>
      </c>
      <c r="B1845" s="8">
        <v>7.9</v>
      </c>
      <c r="C1845" s="4"/>
      <c r="D1845" s="31"/>
      <c r="E1845" s="4"/>
      <c r="F1845" s="15"/>
      <c r="G1845" s="4"/>
    </row>
    <row r="1846" ht="14.25" customHeight="1">
      <c r="A1846" s="8" t="s">
        <v>2331</v>
      </c>
      <c r="B1846" s="8">
        <v>5.6</v>
      </c>
      <c r="C1846" s="4"/>
      <c r="D1846" s="31"/>
      <c r="E1846" s="4"/>
      <c r="F1846" s="15"/>
      <c r="G1846" s="4"/>
    </row>
    <row r="1847" ht="14.25" customHeight="1">
      <c r="A1847" s="8" t="s">
        <v>3879</v>
      </c>
      <c r="B1847" s="8">
        <v>5.2</v>
      </c>
      <c r="C1847" s="4"/>
      <c r="D1847" s="31"/>
      <c r="E1847" s="4"/>
      <c r="F1847" s="15"/>
      <c r="G1847" s="4"/>
    </row>
    <row r="1848" ht="14.25" customHeight="1">
      <c r="A1848" s="8" t="s">
        <v>3881</v>
      </c>
      <c r="B1848" s="8">
        <v>4.1</v>
      </c>
      <c r="C1848" s="4"/>
      <c r="D1848" s="31"/>
      <c r="E1848" s="4"/>
      <c r="F1848" s="15"/>
      <c r="G1848" s="4"/>
    </row>
    <row r="1849" ht="14.25" customHeight="1">
      <c r="A1849" s="8" t="s">
        <v>3655</v>
      </c>
      <c r="B1849" s="8">
        <v>6.6</v>
      </c>
      <c r="C1849" s="4"/>
      <c r="D1849" s="31"/>
      <c r="E1849" s="4"/>
      <c r="F1849" s="15"/>
      <c r="G1849" s="4"/>
    </row>
    <row r="1850" ht="14.25" customHeight="1">
      <c r="A1850" s="8" t="s">
        <v>1800</v>
      </c>
      <c r="B1850" s="8">
        <v>2.9</v>
      </c>
      <c r="C1850" s="4"/>
      <c r="D1850" s="31"/>
      <c r="E1850" s="4"/>
      <c r="F1850" s="15"/>
      <c r="G1850" s="4"/>
    </row>
    <row r="1851" ht="14.25" customHeight="1">
      <c r="A1851" s="8" t="s">
        <v>3888</v>
      </c>
      <c r="B1851" s="8">
        <v>6.5</v>
      </c>
      <c r="C1851" s="4"/>
      <c r="D1851" s="31"/>
      <c r="E1851" s="4"/>
      <c r="F1851" s="15"/>
      <c r="G1851" s="4"/>
    </row>
    <row r="1852" ht="14.25" customHeight="1">
      <c r="A1852" s="8" t="s">
        <v>3890</v>
      </c>
      <c r="B1852" s="8">
        <v>7.2</v>
      </c>
      <c r="C1852" s="4"/>
      <c r="D1852" s="31"/>
      <c r="E1852" s="4"/>
      <c r="F1852" s="15"/>
      <c r="G1852" s="4"/>
    </row>
    <row r="1853" ht="14.25" customHeight="1">
      <c r="A1853" s="8" t="s">
        <v>3582</v>
      </c>
      <c r="B1853" s="8">
        <v>6.8</v>
      </c>
      <c r="C1853" s="4"/>
      <c r="D1853" s="31"/>
      <c r="E1853" s="4"/>
      <c r="F1853" s="15"/>
      <c r="G1853" s="4"/>
    </row>
    <row r="1854" ht="14.25" customHeight="1">
      <c r="A1854" s="8" t="s">
        <v>3894</v>
      </c>
      <c r="B1854" s="8">
        <v>7.8</v>
      </c>
      <c r="C1854" s="4"/>
      <c r="D1854" s="31"/>
      <c r="E1854" s="4"/>
      <c r="F1854" s="15"/>
      <c r="G1854" s="4"/>
    </row>
    <row r="1855" ht="14.25" customHeight="1">
      <c r="A1855" s="8" t="s">
        <v>3897</v>
      </c>
      <c r="B1855" s="8">
        <v>6.7</v>
      </c>
      <c r="C1855" s="4"/>
      <c r="D1855" s="31"/>
      <c r="E1855" s="4"/>
      <c r="F1855" s="15"/>
      <c r="G1855" s="4"/>
    </row>
    <row r="1856" ht="14.25" customHeight="1">
      <c r="A1856" s="8" t="s">
        <v>3759</v>
      </c>
      <c r="B1856" s="8">
        <v>7.1</v>
      </c>
      <c r="C1856" s="4"/>
      <c r="D1856" s="31"/>
      <c r="E1856" s="4"/>
      <c r="F1856" s="15"/>
      <c r="G1856" s="4"/>
    </row>
    <row r="1857" ht="14.25" customHeight="1">
      <c r="A1857" s="8" t="s">
        <v>1535</v>
      </c>
      <c r="B1857" s="8">
        <v>5.7</v>
      </c>
      <c r="C1857" s="4"/>
      <c r="D1857" s="31"/>
      <c r="E1857" s="4"/>
      <c r="F1857" s="15"/>
      <c r="G1857" s="4"/>
    </row>
    <row r="1858" ht="14.25" customHeight="1">
      <c r="A1858" s="8" t="s">
        <v>80</v>
      </c>
      <c r="B1858" s="8">
        <v>5.3</v>
      </c>
      <c r="C1858" s="4"/>
      <c r="D1858" s="31"/>
      <c r="E1858" s="4"/>
      <c r="F1858" s="15"/>
      <c r="G1858" s="4"/>
    </row>
    <row r="1859" ht="14.25" customHeight="1">
      <c r="A1859" s="8" t="s">
        <v>3904</v>
      </c>
      <c r="B1859" s="8">
        <v>6.5</v>
      </c>
      <c r="C1859" s="4"/>
      <c r="D1859" s="31"/>
      <c r="E1859" s="4"/>
      <c r="F1859" s="15"/>
      <c r="G1859" s="4"/>
    </row>
    <row r="1860" ht="14.25" customHeight="1">
      <c r="A1860" s="8" t="s">
        <v>2251</v>
      </c>
      <c r="B1860" s="8">
        <v>7.7</v>
      </c>
      <c r="C1860" s="4"/>
      <c r="D1860" s="31"/>
      <c r="E1860" s="4"/>
      <c r="F1860" s="15"/>
      <c r="G1860" s="4"/>
    </row>
    <row r="1861" ht="14.25" customHeight="1">
      <c r="A1861" s="8" t="s">
        <v>1789</v>
      </c>
      <c r="B1861" s="8">
        <v>6.1</v>
      </c>
      <c r="C1861" s="4"/>
      <c r="D1861" s="31"/>
      <c r="E1861" s="4"/>
      <c r="F1861" s="15"/>
      <c r="G1861" s="4"/>
    </row>
    <row r="1862" ht="14.25" customHeight="1">
      <c r="A1862" s="8" t="s">
        <v>914</v>
      </c>
      <c r="B1862" s="8">
        <v>7.3</v>
      </c>
      <c r="C1862" s="4"/>
      <c r="D1862" s="31"/>
      <c r="E1862" s="4"/>
      <c r="F1862" s="15"/>
      <c r="G1862" s="4"/>
    </row>
    <row r="1863" ht="14.25" customHeight="1">
      <c r="A1863" s="8" t="s">
        <v>1061</v>
      </c>
      <c r="B1863" s="8">
        <v>7.2</v>
      </c>
      <c r="C1863" s="4"/>
      <c r="D1863" s="31"/>
      <c r="E1863" s="4"/>
      <c r="F1863" s="15"/>
      <c r="G1863" s="4"/>
    </row>
    <row r="1864" ht="14.25" customHeight="1">
      <c r="A1864" s="8" t="s">
        <v>787</v>
      </c>
      <c r="B1864" s="8">
        <v>5.3</v>
      </c>
      <c r="C1864" s="4"/>
      <c r="D1864" s="31"/>
      <c r="E1864" s="4"/>
      <c r="F1864" s="15"/>
      <c r="G1864" s="4"/>
    </row>
    <row r="1865" ht="14.25" customHeight="1">
      <c r="A1865" s="8" t="s">
        <v>2511</v>
      </c>
      <c r="B1865" s="8">
        <v>6.1</v>
      </c>
      <c r="C1865" s="4"/>
      <c r="D1865" s="31"/>
      <c r="E1865" s="4"/>
      <c r="F1865" s="15"/>
      <c r="G1865" s="4"/>
    </row>
    <row r="1866" ht="14.25" customHeight="1">
      <c r="A1866" s="8" t="s">
        <v>3385</v>
      </c>
      <c r="B1866" s="8">
        <v>5.8</v>
      </c>
      <c r="C1866" s="4"/>
      <c r="D1866" s="31"/>
      <c r="E1866" s="4"/>
      <c r="F1866" s="15"/>
      <c r="G1866" s="4"/>
    </row>
    <row r="1867" ht="14.25" customHeight="1">
      <c r="A1867" s="8" t="s">
        <v>563</v>
      </c>
      <c r="B1867" s="8">
        <v>5.7</v>
      </c>
      <c r="C1867" s="4"/>
      <c r="D1867" s="31"/>
      <c r="E1867" s="4"/>
      <c r="F1867" s="15"/>
      <c r="G1867" s="4"/>
    </row>
    <row r="1868" ht="14.25" customHeight="1">
      <c r="A1868" s="8" t="s">
        <v>2775</v>
      </c>
      <c r="B1868" s="8">
        <v>6.7</v>
      </c>
      <c r="C1868" s="4"/>
      <c r="D1868" s="31"/>
      <c r="E1868" s="4"/>
      <c r="F1868" s="15"/>
      <c r="G1868" s="4"/>
    </row>
    <row r="1869" ht="14.25" customHeight="1">
      <c r="A1869" s="8" t="s">
        <v>3916</v>
      </c>
      <c r="B1869" s="8">
        <v>6.5</v>
      </c>
      <c r="C1869" s="4"/>
      <c r="D1869" s="31"/>
      <c r="E1869" s="4"/>
      <c r="F1869" s="15"/>
      <c r="G1869" s="4"/>
    </row>
    <row r="1870" ht="14.25" customHeight="1">
      <c r="A1870" s="8" t="s">
        <v>1065</v>
      </c>
      <c r="B1870" s="8">
        <v>7.2</v>
      </c>
      <c r="C1870" s="4"/>
      <c r="D1870" s="31"/>
      <c r="E1870" s="4"/>
      <c r="F1870" s="15"/>
      <c r="G1870" s="4"/>
    </row>
    <row r="1871" ht="14.25" customHeight="1">
      <c r="A1871" s="8" t="s">
        <v>1150</v>
      </c>
      <c r="B1871" s="8">
        <v>7.6</v>
      </c>
      <c r="C1871" s="4"/>
      <c r="D1871" s="31"/>
      <c r="E1871" s="4"/>
      <c r="F1871" s="15"/>
      <c r="G1871" s="4"/>
    </row>
    <row r="1872" ht="14.25" customHeight="1">
      <c r="A1872" s="8" t="s">
        <v>3110</v>
      </c>
      <c r="B1872" s="8">
        <v>4.6</v>
      </c>
      <c r="C1872" s="4"/>
      <c r="D1872" s="31"/>
      <c r="E1872" s="4"/>
      <c r="F1872" s="15"/>
      <c r="G1872" s="4"/>
    </row>
    <row r="1873" ht="14.25" customHeight="1">
      <c r="A1873" s="8" t="s">
        <v>3921</v>
      </c>
      <c r="B1873" s="8">
        <v>6.9</v>
      </c>
      <c r="C1873" s="4"/>
      <c r="D1873" s="31"/>
      <c r="E1873" s="4"/>
      <c r="F1873" s="15"/>
      <c r="G1873" s="4"/>
    </row>
    <row r="1874" ht="14.25" customHeight="1">
      <c r="A1874" s="8" t="s">
        <v>2839</v>
      </c>
      <c r="B1874" s="8">
        <v>6.6</v>
      </c>
      <c r="C1874" s="4"/>
      <c r="D1874" s="31"/>
      <c r="E1874" s="4"/>
      <c r="F1874" s="15"/>
      <c r="G1874" s="4"/>
    </row>
    <row r="1875" ht="14.25" customHeight="1">
      <c r="A1875" s="8" t="s">
        <v>3926</v>
      </c>
      <c r="B1875" s="8">
        <v>6.3</v>
      </c>
      <c r="C1875" s="4"/>
      <c r="D1875" s="31"/>
      <c r="E1875" s="4"/>
      <c r="F1875" s="15"/>
      <c r="G1875" s="4"/>
    </row>
    <row r="1876" ht="14.25" customHeight="1">
      <c r="A1876" s="8" t="s">
        <v>3928</v>
      </c>
      <c r="B1876" s="8">
        <v>6.2</v>
      </c>
      <c r="C1876" s="4"/>
      <c r="D1876" s="31"/>
      <c r="E1876" s="4"/>
      <c r="F1876" s="15"/>
      <c r="G1876" s="4"/>
    </row>
    <row r="1877" ht="14.25" customHeight="1">
      <c r="A1877" s="8" t="s">
        <v>3931</v>
      </c>
      <c r="B1877" s="8">
        <v>5.3</v>
      </c>
      <c r="C1877" s="4"/>
      <c r="D1877" s="31"/>
      <c r="E1877" s="4"/>
      <c r="F1877" s="15"/>
      <c r="G1877" s="4"/>
    </row>
    <row r="1878" ht="14.25" customHeight="1">
      <c r="A1878" s="8" t="s">
        <v>596</v>
      </c>
      <c r="B1878" s="8">
        <v>7.3</v>
      </c>
      <c r="C1878" s="4"/>
      <c r="D1878" s="31"/>
      <c r="E1878" s="4"/>
      <c r="F1878" s="15"/>
      <c r="G1878" s="4"/>
    </row>
    <row r="1879" ht="14.25" customHeight="1">
      <c r="A1879" s="8" t="s">
        <v>1265</v>
      </c>
      <c r="B1879" s="8">
        <v>5.6</v>
      </c>
      <c r="C1879" s="4"/>
      <c r="D1879" s="31"/>
      <c r="E1879" s="4"/>
      <c r="F1879" s="15"/>
      <c r="G1879" s="4"/>
    </row>
    <row r="1880" ht="14.25" customHeight="1">
      <c r="A1880" s="8" t="s">
        <v>1594</v>
      </c>
      <c r="B1880" s="8">
        <v>6.2</v>
      </c>
      <c r="C1880" s="4"/>
      <c r="D1880" s="31"/>
      <c r="E1880" s="4"/>
      <c r="F1880" s="15"/>
      <c r="G1880" s="4"/>
    </row>
    <row r="1881" ht="14.25" customHeight="1">
      <c r="A1881" s="8" t="s">
        <v>3937</v>
      </c>
      <c r="B1881" s="8">
        <v>5.2</v>
      </c>
      <c r="C1881" s="4"/>
      <c r="D1881" s="31"/>
      <c r="E1881" s="4"/>
      <c r="F1881" s="15"/>
      <c r="G1881" s="4"/>
    </row>
    <row r="1882" ht="14.25" customHeight="1">
      <c r="A1882" s="8" t="s">
        <v>1665</v>
      </c>
      <c r="B1882" s="8">
        <v>5.3</v>
      </c>
      <c r="C1882" s="4"/>
      <c r="D1882" s="31"/>
      <c r="E1882" s="4"/>
      <c r="F1882" s="15"/>
      <c r="G1882" s="4"/>
    </row>
    <row r="1883" ht="14.25" customHeight="1">
      <c r="A1883" s="8" t="s">
        <v>1292</v>
      </c>
      <c r="B1883" s="8">
        <v>5.4</v>
      </c>
      <c r="C1883" s="4"/>
      <c r="D1883" s="31"/>
      <c r="E1883" s="4"/>
      <c r="F1883" s="15"/>
      <c r="G1883" s="4"/>
    </row>
    <row r="1884" ht="14.25" customHeight="1">
      <c r="A1884" s="8" t="s">
        <v>3944</v>
      </c>
      <c r="B1884" s="8">
        <v>4.9</v>
      </c>
      <c r="C1884" s="4"/>
      <c r="D1884" s="31"/>
      <c r="E1884" s="4"/>
      <c r="F1884" s="15"/>
      <c r="G1884" s="4"/>
    </row>
    <row r="1885" ht="14.25" customHeight="1">
      <c r="A1885" s="8" t="s">
        <v>2969</v>
      </c>
      <c r="B1885" s="8">
        <v>5.5</v>
      </c>
      <c r="C1885" s="4"/>
      <c r="D1885" s="31"/>
      <c r="E1885" s="4"/>
      <c r="F1885" s="15"/>
      <c r="G1885" s="4"/>
    </row>
    <row r="1886" ht="14.25" customHeight="1">
      <c r="A1886" s="8" t="s">
        <v>52</v>
      </c>
      <c r="B1886" s="8">
        <v>6.7</v>
      </c>
      <c r="C1886" s="4"/>
      <c r="D1886" s="31"/>
      <c r="E1886" s="4"/>
      <c r="F1886" s="15"/>
      <c r="G1886" s="4"/>
    </row>
    <row r="1887" ht="14.25" customHeight="1">
      <c r="A1887" s="8" t="s">
        <v>3948</v>
      </c>
      <c r="B1887" s="8">
        <v>3.9</v>
      </c>
      <c r="C1887" s="4"/>
      <c r="D1887" s="31"/>
      <c r="E1887" s="4"/>
      <c r="F1887" s="15"/>
      <c r="G1887" s="4"/>
    </row>
    <row r="1888" ht="14.25" customHeight="1">
      <c r="A1888" s="8" t="s">
        <v>3950</v>
      </c>
      <c r="B1888" s="8">
        <v>7.2</v>
      </c>
      <c r="C1888" s="4"/>
      <c r="D1888" s="31"/>
      <c r="E1888" s="4"/>
      <c r="F1888" s="15"/>
      <c r="G1888" s="4"/>
    </row>
    <row r="1889" ht="14.25" customHeight="1">
      <c r="A1889" s="8" t="s">
        <v>3954</v>
      </c>
      <c r="B1889" s="8">
        <v>5.1</v>
      </c>
      <c r="C1889" s="4"/>
      <c r="D1889" s="31"/>
      <c r="E1889" s="4"/>
      <c r="F1889" s="15"/>
      <c r="G1889" s="4"/>
    </row>
    <row r="1890" ht="14.25" customHeight="1">
      <c r="A1890" s="8" t="s">
        <v>3077</v>
      </c>
      <c r="B1890" s="8">
        <v>6.5</v>
      </c>
      <c r="C1890" s="4"/>
      <c r="D1890" s="31"/>
      <c r="E1890" s="4"/>
      <c r="F1890" s="15"/>
      <c r="G1890" s="4"/>
    </row>
    <row r="1891" ht="14.25" customHeight="1">
      <c r="A1891" s="8" t="s">
        <v>3073</v>
      </c>
      <c r="B1891" s="8">
        <v>8.2</v>
      </c>
      <c r="C1891" s="4"/>
      <c r="D1891" s="31"/>
      <c r="E1891" s="4"/>
      <c r="F1891" s="15"/>
      <c r="G1891" s="4"/>
    </row>
    <row r="1892" ht="14.25" customHeight="1">
      <c r="A1892" s="8" t="s">
        <v>1716</v>
      </c>
      <c r="B1892" s="8">
        <v>7.7</v>
      </c>
      <c r="C1892" s="4"/>
      <c r="D1892" s="31"/>
      <c r="E1892" s="4"/>
      <c r="F1892" s="15"/>
      <c r="G1892" s="4"/>
    </row>
    <row r="1893" ht="14.25" customHeight="1">
      <c r="A1893" s="8" t="s">
        <v>73</v>
      </c>
      <c r="B1893" s="8">
        <v>7.2</v>
      </c>
      <c r="C1893" s="4"/>
      <c r="D1893" s="31"/>
      <c r="E1893" s="4"/>
      <c r="F1893" s="15"/>
      <c r="G1893" s="4"/>
    </row>
    <row r="1894" ht="14.25" customHeight="1">
      <c r="A1894" s="8" t="s">
        <v>677</v>
      </c>
      <c r="B1894" s="8">
        <v>6.1</v>
      </c>
      <c r="C1894" s="4"/>
      <c r="D1894" s="31"/>
      <c r="E1894" s="4"/>
      <c r="F1894" s="15"/>
      <c r="G1894" s="4"/>
    </row>
    <row r="1895" ht="14.25" customHeight="1">
      <c r="A1895" s="8" t="s">
        <v>2853</v>
      </c>
      <c r="B1895" s="8">
        <v>8.8</v>
      </c>
      <c r="C1895" s="4"/>
      <c r="D1895" s="31"/>
      <c r="E1895" s="4"/>
      <c r="F1895" s="15"/>
      <c r="G1895" s="4"/>
    </row>
    <row r="1896" ht="14.25" customHeight="1">
      <c r="A1896" s="8" t="s">
        <v>121</v>
      </c>
      <c r="B1896" s="8">
        <v>6.8</v>
      </c>
      <c r="C1896" s="4"/>
      <c r="D1896" s="31"/>
      <c r="E1896" s="4"/>
      <c r="F1896" s="15"/>
      <c r="G1896" s="4"/>
    </row>
    <row r="1897" ht="14.25" customHeight="1">
      <c r="A1897" s="8" t="s">
        <v>2271</v>
      </c>
      <c r="B1897" s="8">
        <v>6.8</v>
      </c>
      <c r="C1897" s="4"/>
      <c r="D1897" s="31"/>
      <c r="E1897" s="4"/>
      <c r="F1897" s="15"/>
      <c r="G1897" s="4"/>
    </row>
    <row r="1898" ht="14.25" customHeight="1">
      <c r="A1898" s="8" t="s">
        <v>2209</v>
      </c>
      <c r="B1898" s="8">
        <v>6.7</v>
      </c>
      <c r="C1898" s="4"/>
      <c r="D1898" s="31"/>
      <c r="E1898" s="4"/>
      <c r="F1898" s="15"/>
      <c r="G1898" s="4"/>
    </row>
    <row r="1899" ht="14.25" customHeight="1">
      <c r="A1899" s="8" t="s">
        <v>1387</v>
      </c>
      <c r="B1899" s="8">
        <v>7.1</v>
      </c>
      <c r="C1899" s="4"/>
      <c r="D1899" s="31"/>
      <c r="E1899" s="4"/>
      <c r="F1899" s="15"/>
      <c r="G1899" s="4"/>
    </row>
    <row r="1900" ht="14.25" customHeight="1">
      <c r="A1900" s="8" t="s">
        <v>583</v>
      </c>
      <c r="B1900" s="8">
        <v>7.1</v>
      </c>
      <c r="C1900" s="4"/>
      <c r="D1900" s="31"/>
      <c r="E1900" s="4"/>
      <c r="F1900" s="15"/>
      <c r="G1900" s="4"/>
    </row>
    <row r="1901" ht="14.25" customHeight="1">
      <c r="A1901" s="8" t="s">
        <v>3968</v>
      </c>
      <c r="B1901" s="8">
        <v>6.1</v>
      </c>
      <c r="C1901" s="4"/>
      <c r="D1901" s="31"/>
      <c r="E1901" s="4"/>
      <c r="F1901" s="15"/>
      <c r="G1901" s="4"/>
    </row>
    <row r="1902" ht="14.25" customHeight="1">
      <c r="A1902" s="8" t="s">
        <v>749</v>
      </c>
      <c r="B1902" s="8">
        <v>8.0</v>
      </c>
      <c r="C1902" s="4"/>
      <c r="D1902" s="31"/>
      <c r="E1902" s="4"/>
      <c r="F1902" s="15"/>
      <c r="G1902" s="4"/>
    </row>
    <row r="1903" ht="14.25" customHeight="1">
      <c r="A1903" s="8" t="s">
        <v>3788</v>
      </c>
      <c r="B1903" s="8">
        <v>7.5</v>
      </c>
      <c r="C1903" s="4"/>
      <c r="D1903" s="31"/>
      <c r="E1903" s="4"/>
      <c r="F1903" s="15"/>
      <c r="G1903" s="4"/>
    </row>
    <row r="1904" ht="14.25" customHeight="1">
      <c r="A1904" s="8" t="s">
        <v>1803</v>
      </c>
      <c r="B1904" s="8">
        <v>6.6</v>
      </c>
      <c r="C1904" s="4"/>
      <c r="D1904" s="31"/>
      <c r="E1904" s="4"/>
      <c r="F1904" s="15"/>
      <c r="G1904" s="4"/>
    </row>
    <row r="1905" ht="14.25" customHeight="1">
      <c r="A1905" s="8" t="s">
        <v>3972</v>
      </c>
      <c r="B1905" s="8">
        <v>5.4</v>
      </c>
      <c r="C1905" s="4"/>
      <c r="D1905" s="31"/>
      <c r="E1905" s="4"/>
      <c r="F1905" s="15"/>
      <c r="G1905" s="4"/>
    </row>
    <row r="1906" ht="14.25" customHeight="1">
      <c r="A1906" s="8" t="s">
        <v>1873</v>
      </c>
      <c r="B1906" s="8">
        <v>6.1</v>
      </c>
      <c r="C1906" s="4"/>
      <c r="D1906" s="31"/>
      <c r="E1906" s="4"/>
      <c r="F1906" s="15"/>
      <c r="G1906" s="4"/>
    </row>
    <row r="1907" ht="14.25" customHeight="1">
      <c r="A1907" s="8" t="s">
        <v>3975</v>
      </c>
      <c r="B1907" s="8">
        <v>5.6</v>
      </c>
      <c r="C1907" s="4"/>
      <c r="D1907" s="31"/>
      <c r="E1907" s="4"/>
      <c r="F1907" s="15"/>
      <c r="G1907" s="4"/>
    </row>
    <row r="1908" ht="14.25" customHeight="1">
      <c r="A1908" s="8" t="s">
        <v>639</v>
      </c>
      <c r="B1908" s="8">
        <v>5.8</v>
      </c>
      <c r="C1908" s="4"/>
      <c r="D1908" s="31"/>
      <c r="E1908" s="4"/>
      <c r="F1908" s="15"/>
      <c r="G1908" s="4"/>
    </row>
    <row r="1909" ht="14.25" customHeight="1">
      <c r="A1909" s="8" t="s">
        <v>3979</v>
      </c>
      <c r="B1909" s="8">
        <v>2.8</v>
      </c>
      <c r="C1909" s="4"/>
      <c r="D1909" s="31"/>
      <c r="E1909" s="4"/>
      <c r="F1909" s="15"/>
      <c r="G1909" s="4"/>
    </row>
    <row r="1910" ht="14.25" customHeight="1">
      <c r="A1910" s="8" t="s">
        <v>3982</v>
      </c>
      <c r="B1910" s="8">
        <v>6.7</v>
      </c>
      <c r="C1910" s="4"/>
      <c r="D1910" s="31"/>
      <c r="E1910" s="4"/>
      <c r="F1910" s="15"/>
      <c r="G1910" s="4"/>
    </row>
    <row r="1911" ht="14.25" customHeight="1">
      <c r="A1911" s="8" t="s">
        <v>3984</v>
      </c>
      <c r="B1911" s="8">
        <v>5.1</v>
      </c>
      <c r="C1911" s="4"/>
      <c r="D1911" s="31"/>
      <c r="E1911" s="4"/>
      <c r="F1911" s="15"/>
      <c r="G1911" s="4"/>
    </row>
    <row r="1912" ht="14.25" customHeight="1">
      <c r="A1912" s="8" t="s">
        <v>2038</v>
      </c>
      <c r="B1912" s="8">
        <v>7.2</v>
      </c>
      <c r="C1912" s="4"/>
      <c r="D1912" s="31"/>
      <c r="E1912" s="4"/>
      <c r="F1912" s="15"/>
      <c r="G1912" s="4"/>
    </row>
    <row r="1913" ht="14.25" customHeight="1">
      <c r="A1913" s="8" t="s">
        <v>2365</v>
      </c>
      <c r="B1913" s="8">
        <v>6.0</v>
      </c>
      <c r="C1913" s="4"/>
      <c r="D1913" s="31"/>
      <c r="E1913" s="4"/>
      <c r="F1913" s="15"/>
      <c r="G1913" s="4"/>
    </row>
    <row r="1914" ht="14.25" customHeight="1">
      <c r="A1914" s="8" t="s">
        <v>3991</v>
      </c>
      <c r="B1914" s="8">
        <v>6.7</v>
      </c>
      <c r="C1914" s="4"/>
      <c r="D1914" s="31"/>
      <c r="E1914" s="4"/>
      <c r="F1914" s="15"/>
      <c r="G1914" s="4"/>
    </row>
    <row r="1915" ht="14.25" customHeight="1">
      <c r="A1915" s="8" t="s">
        <v>2251</v>
      </c>
      <c r="B1915" s="8">
        <v>6.2</v>
      </c>
      <c r="C1915" s="4"/>
      <c r="D1915" s="31"/>
      <c r="E1915" s="4"/>
      <c r="F1915" s="15"/>
      <c r="G1915" s="4"/>
    </row>
    <row r="1916" ht="14.25" customHeight="1">
      <c r="A1916" s="8" t="s">
        <v>3996</v>
      </c>
      <c r="B1916" s="8">
        <v>6.2</v>
      </c>
      <c r="C1916" s="4"/>
      <c r="D1916" s="31"/>
      <c r="E1916" s="4"/>
      <c r="F1916" s="15"/>
      <c r="G1916" s="4"/>
    </row>
    <row r="1917" ht="14.25" customHeight="1">
      <c r="A1917" s="8" t="s">
        <v>1440</v>
      </c>
      <c r="B1917" s="8">
        <v>6.8</v>
      </c>
      <c r="C1917" s="4"/>
      <c r="D1917" s="31"/>
      <c r="E1917" s="4"/>
      <c r="F1917" s="15"/>
      <c r="G1917" s="4"/>
    </row>
    <row r="1918" ht="14.25" customHeight="1">
      <c r="A1918" s="8" t="s">
        <v>4001</v>
      </c>
      <c r="B1918" s="8">
        <v>7.1</v>
      </c>
      <c r="C1918" s="4"/>
      <c r="D1918" s="31"/>
      <c r="E1918" s="4"/>
      <c r="F1918" s="15"/>
      <c r="G1918" s="4"/>
    </row>
    <row r="1919" ht="14.25" customHeight="1">
      <c r="A1919" s="8" t="s">
        <v>4004</v>
      </c>
      <c r="B1919" s="8">
        <v>7.1</v>
      </c>
      <c r="C1919" s="4"/>
      <c r="D1919" s="31"/>
      <c r="E1919" s="4"/>
      <c r="F1919" s="15"/>
      <c r="G1919" s="4"/>
    </row>
    <row r="1920" ht="14.25" customHeight="1">
      <c r="A1920" s="8" t="s">
        <v>1277</v>
      </c>
      <c r="B1920" s="8">
        <v>7.0</v>
      </c>
      <c r="C1920" s="4"/>
      <c r="D1920" s="31"/>
      <c r="E1920" s="4"/>
      <c r="F1920" s="15"/>
      <c r="G1920" s="4"/>
    </row>
    <row r="1921" ht="14.25" customHeight="1">
      <c r="A1921" s="8" t="s">
        <v>1428</v>
      </c>
      <c r="B1921" s="8">
        <v>7.1</v>
      </c>
      <c r="C1921" s="4"/>
      <c r="D1921" s="31"/>
      <c r="E1921" s="4"/>
      <c r="F1921" s="15"/>
      <c r="G1921" s="4"/>
    </row>
    <row r="1922" ht="14.25" customHeight="1">
      <c r="A1922" s="8" t="s">
        <v>1712</v>
      </c>
      <c r="B1922" s="8">
        <v>6.4</v>
      </c>
      <c r="C1922" s="4"/>
      <c r="D1922" s="31"/>
      <c r="E1922" s="4"/>
      <c r="F1922" s="15"/>
      <c r="G1922" s="4"/>
    </row>
    <row r="1923" ht="14.25" customHeight="1">
      <c r="A1923" s="8" t="s">
        <v>868</v>
      </c>
      <c r="B1923" s="8">
        <v>7.0</v>
      </c>
      <c r="C1923" s="4"/>
      <c r="D1923" s="31"/>
      <c r="E1923" s="4"/>
      <c r="F1923" s="15"/>
      <c r="G1923" s="4"/>
    </row>
    <row r="1924" ht="14.25" customHeight="1">
      <c r="A1924" s="8" t="s">
        <v>2068</v>
      </c>
      <c r="B1924" s="8">
        <v>6.2</v>
      </c>
      <c r="C1924" s="4"/>
      <c r="D1924" s="31"/>
      <c r="E1924" s="4"/>
      <c r="F1924" s="15"/>
      <c r="G1924" s="4"/>
    </row>
    <row r="1925" ht="14.25" customHeight="1">
      <c r="A1925" s="8" t="s">
        <v>1506</v>
      </c>
      <c r="B1925" s="8">
        <v>7.5</v>
      </c>
      <c r="C1925" s="4"/>
      <c r="D1925" s="31"/>
      <c r="E1925" s="4"/>
      <c r="F1925" s="15"/>
      <c r="G1925" s="4"/>
    </row>
    <row r="1926" ht="14.25" customHeight="1">
      <c r="A1926" s="8" t="s">
        <v>2954</v>
      </c>
      <c r="B1926" s="8">
        <v>4.8</v>
      </c>
      <c r="C1926" s="4"/>
      <c r="D1926" s="31"/>
      <c r="E1926" s="4"/>
      <c r="F1926" s="15"/>
      <c r="G1926" s="4"/>
    </row>
    <row r="1927" ht="14.25" customHeight="1">
      <c r="A1927" s="8" t="s">
        <v>3025</v>
      </c>
      <c r="B1927" s="8">
        <v>7.3</v>
      </c>
      <c r="C1927" s="4"/>
      <c r="D1927" s="31"/>
      <c r="E1927" s="4"/>
      <c r="F1927" s="15"/>
      <c r="G1927" s="4"/>
    </row>
    <row r="1928" ht="14.25" customHeight="1">
      <c r="A1928" s="8" t="s">
        <v>2668</v>
      </c>
      <c r="B1928" s="8">
        <v>5.8</v>
      </c>
      <c r="C1928" s="4"/>
      <c r="D1928" s="31"/>
      <c r="E1928" s="4"/>
      <c r="F1928" s="15"/>
      <c r="G1928" s="4"/>
    </row>
    <row r="1929" ht="14.25" customHeight="1">
      <c r="A1929" s="8" t="s">
        <v>4018</v>
      </c>
      <c r="B1929" s="8">
        <v>7.6</v>
      </c>
      <c r="C1929" s="4"/>
      <c r="D1929" s="31"/>
      <c r="E1929" s="4"/>
      <c r="F1929" s="15"/>
      <c r="G1929" s="4"/>
    </row>
    <row r="1930" ht="14.25" customHeight="1">
      <c r="A1930" s="8" t="s">
        <v>4020</v>
      </c>
      <c r="B1930" s="8">
        <v>5.6</v>
      </c>
      <c r="C1930" s="4"/>
      <c r="D1930" s="31"/>
      <c r="E1930" s="4"/>
      <c r="F1930" s="15"/>
      <c r="G1930" s="4"/>
    </row>
    <row r="1931" ht="14.25" customHeight="1">
      <c r="A1931" s="8" t="s">
        <v>674</v>
      </c>
      <c r="B1931" s="8">
        <v>7.0</v>
      </c>
      <c r="C1931" s="4"/>
      <c r="D1931" s="31"/>
      <c r="E1931" s="4"/>
      <c r="F1931" s="15"/>
      <c r="G1931" s="4"/>
    </row>
    <row r="1932" ht="14.25" customHeight="1">
      <c r="A1932" s="8" t="s">
        <v>1440</v>
      </c>
      <c r="B1932" s="8">
        <v>6.6</v>
      </c>
      <c r="C1932" s="4"/>
      <c r="D1932" s="31"/>
      <c r="E1932" s="4"/>
      <c r="F1932" s="15"/>
      <c r="G1932" s="4"/>
    </row>
    <row r="1933" ht="14.25" customHeight="1">
      <c r="A1933" s="8" t="s">
        <v>639</v>
      </c>
      <c r="B1933" s="8">
        <v>6.5</v>
      </c>
      <c r="C1933" s="4"/>
      <c r="D1933" s="31"/>
      <c r="E1933" s="4"/>
      <c r="F1933" s="15"/>
      <c r="G1933" s="4"/>
    </row>
    <row r="1934" ht="14.25" customHeight="1">
      <c r="A1934" s="8" t="s">
        <v>3457</v>
      </c>
      <c r="B1934" s="8">
        <v>7.4</v>
      </c>
      <c r="C1934" s="4"/>
      <c r="D1934" s="31"/>
      <c r="E1934" s="4"/>
      <c r="F1934" s="15"/>
      <c r="G1934" s="4"/>
    </row>
    <row r="1935" ht="14.25" customHeight="1">
      <c r="A1935" s="8" t="s">
        <v>4028</v>
      </c>
      <c r="B1935" s="8">
        <v>4.6</v>
      </c>
      <c r="C1935" s="4"/>
      <c r="D1935" s="31"/>
      <c r="E1935" s="4"/>
      <c r="F1935" s="15"/>
      <c r="G1935" s="4"/>
    </row>
    <row r="1936" ht="14.25" customHeight="1">
      <c r="A1936" s="8" t="s">
        <v>3063</v>
      </c>
      <c r="B1936" s="8">
        <v>6.4</v>
      </c>
      <c r="C1936" s="4"/>
      <c r="D1936" s="31"/>
      <c r="E1936" s="4"/>
      <c r="F1936" s="15"/>
      <c r="G1936" s="4"/>
    </row>
    <row r="1937" ht="14.25" customHeight="1">
      <c r="A1937" s="8" t="s">
        <v>2407</v>
      </c>
      <c r="B1937" s="8">
        <v>6.0</v>
      </c>
      <c r="C1937" s="4"/>
      <c r="D1937" s="31"/>
      <c r="E1937" s="4"/>
      <c r="F1937" s="15"/>
      <c r="G1937" s="4"/>
    </row>
    <row r="1938" ht="14.25" customHeight="1">
      <c r="A1938" s="8" t="s">
        <v>922</v>
      </c>
      <c r="B1938" s="8">
        <v>5.9</v>
      </c>
      <c r="C1938" s="4"/>
      <c r="D1938" s="31"/>
      <c r="E1938" s="4"/>
      <c r="F1938" s="15"/>
      <c r="G1938" s="4"/>
    </row>
    <row r="1939" ht="14.25" customHeight="1">
      <c r="A1939" s="8" t="s">
        <v>397</v>
      </c>
      <c r="B1939" s="8">
        <v>6.4</v>
      </c>
      <c r="C1939" s="4"/>
      <c r="D1939" s="31"/>
      <c r="E1939" s="4"/>
      <c r="F1939" s="15"/>
      <c r="G1939" s="4"/>
    </row>
    <row r="1940" ht="14.25" customHeight="1">
      <c r="A1940" s="8" t="s">
        <v>2048</v>
      </c>
      <c r="B1940" s="8">
        <v>6.6</v>
      </c>
      <c r="C1940" s="4"/>
      <c r="D1940" s="31"/>
      <c r="E1940" s="4"/>
      <c r="F1940" s="15"/>
      <c r="G1940" s="4"/>
    </row>
    <row r="1941" ht="14.25" customHeight="1">
      <c r="A1941" s="8" t="s">
        <v>2839</v>
      </c>
      <c r="B1941" s="8">
        <v>6.9</v>
      </c>
      <c r="C1941" s="4"/>
      <c r="D1941" s="31"/>
      <c r="E1941" s="4"/>
      <c r="F1941" s="15"/>
      <c r="G1941" s="4"/>
    </row>
    <row r="1942" ht="14.25" customHeight="1">
      <c r="A1942" s="8" t="s">
        <v>121</v>
      </c>
      <c r="B1942" s="8">
        <v>6.9</v>
      </c>
      <c r="C1942" s="4"/>
      <c r="D1942" s="31"/>
      <c r="E1942" s="4"/>
      <c r="F1942" s="15"/>
      <c r="G1942" s="4"/>
    </row>
    <row r="1943" ht="14.25" customHeight="1">
      <c r="A1943" s="8" t="s">
        <v>4039</v>
      </c>
      <c r="B1943" s="8">
        <v>5.8</v>
      </c>
      <c r="C1943" s="4"/>
      <c r="D1943" s="31"/>
      <c r="E1943" s="4"/>
      <c r="F1943" s="15"/>
      <c r="G1943" s="4"/>
    </row>
    <row r="1944" ht="14.25" customHeight="1">
      <c r="A1944" s="8" t="s">
        <v>2831</v>
      </c>
      <c r="B1944" s="8">
        <v>6.4</v>
      </c>
      <c r="C1944" s="4"/>
      <c r="D1944" s="31"/>
      <c r="E1944" s="4"/>
      <c r="F1944" s="15"/>
      <c r="G1944" s="4"/>
    </row>
    <row r="1945" ht="14.25" customHeight="1">
      <c r="A1945" s="8" t="s">
        <v>4043</v>
      </c>
      <c r="B1945" s="8">
        <v>5.3</v>
      </c>
      <c r="C1945" s="4"/>
      <c r="D1945" s="31"/>
      <c r="E1945" s="4"/>
      <c r="F1945" s="15"/>
      <c r="G1945" s="4"/>
    </row>
    <row r="1946" ht="14.25" customHeight="1">
      <c r="A1946" s="8" t="s">
        <v>2081</v>
      </c>
      <c r="B1946" s="8">
        <v>6.5</v>
      </c>
      <c r="C1946" s="4"/>
      <c r="D1946" s="31"/>
      <c r="E1946" s="4"/>
      <c r="F1946" s="15"/>
      <c r="G1946" s="4"/>
    </row>
    <row r="1947" ht="14.25" customHeight="1">
      <c r="A1947" s="8" t="s">
        <v>4046</v>
      </c>
      <c r="B1947" s="8">
        <v>5.7</v>
      </c>
      <c r="C1947" s="4"/>
      <c r="D1947" s="31"/>
      <c r="E1947" s="4"/>
      <c r="F1947" s="15"/>
      <c r="G1947" s="4"/>
    </row>
    <row r="1948" ht="14.25" customHeight="1">
      <c r="A1948" s="8" t="s">
        <v>1695</v>
      </c>
      <c r="B1948" s="8">
        <v>6.7</v>
      </c>
      <c r="C1948" s="4"/>
      <c r="D1948" s="31"/>
      <c r="E1948" s="4"/>
      <c r="F1948" s="15"/>
      <c r="G1948" s="4"/>
    </row>
    <row r="1949" ht="14.25" customHeight="1">
      <c r="A1949" s="8" t="s">
        <v>4049</v>
      </c>
      <c r="B1949" s="8">
        <v>3.9</v>
      </c>
      <c r="C1949" s="4"/>
      <c r="D1949" s="31"/>
      <c r="E1949" s="4"/>
      <c r="F1949" s="15"/>
      <c r="G1949" s="4"/>
    </row>
    <row r="1950" ht="14.25" customHeight="1">
      <c r="A1950" s="8" t="s">
        <v>4051</v>
      </c>
      <c r="B1950" s="8">
        <v>4.1</v>
      </c>
      <c r="C1950" s="4"/>
      <c r="D1950" s="31"/>
      <c r="E1950" s="4"/>
      <c r="F1950" s="15"/>
      <c r="G1950" s="4"/>
    </row>
    <row r="1951" ht="14.25" customHeight="1">
      <c r="A1951" s="8" t="s">
        <v>4053</v>
      </c>
      <c r="B1951" s="8">
        <v>6.2</v>
      </c>
      <c r="C1951" s="4"/>
      <c r="D1951" s="31"/>
      <c r="E1951" s="4"/>
      <c r="F1951" s="15"/>
      <c r="G1951" s="4"/>
    </row>
    <row r="1952" ht="14.25" customHeight="1">
      <c r="A1952" s="8" t="s">
        <v>2976</v>
      </c>
      <c r="B1952" s="8">
        <v>3.8</v>
      </c>
      <c r="C1952" s="4"/>
      <c r="D1952" s="31"/>
      <c r="E1952" s="4"/>
      <c r="F1952" s="15"/>
      <c r="G1952" s="4"/>
    </row>
    <row r="1953" ht="14.25" customHeight="1">
      <c r="A1953" s="8" t="s">
        <v>3544</v>
      </c>
      <c r="B1953" s="8">
        <v>5.1</v>
      </c>
      <c r="C1953" s="4"/>
      <c r="D1953" s="31"/>
      <c r="E1953" s="4"/>
      <c r="F1953" s="15"/>
      <c r="G1953" s="4"/>
    </row>
    <row r="1954" ht="14.25" customHeight="1">
      <c r="A1954" s="8" t="s">
        <v>542</v>
      </c>
      <c r="B1954" s="8">
        <v>7.8</v>
      </c>
      <c r="C1954" s="4"/>
      <c r="D1954" s="31"/>
      <c r="E1954" s="4"/>
      <c r="F1954" s="15"/>
      <c r="G1954" s="4"/>
    </row>
    <row r="1955" ht="14.25" customHeight="1">
      <c r="A1955" s="8" t="s">
        <v>4062</v>
      </c>
      <c r="B1955" s="8">
        <v>7.8</v>
      </c>
      <c r="C1955" s="4"/>
      <c r="D1955" s="31"/>
      <c r="E1955" s="4"/>
      <c r="F1955" s="15"/>
      <c r="G1955" s="4"/>
    </row>
    <row r="1956" ht="14.25" customHeight="1">
      <c r="A1956" s="8" t="s">
        <v>4066</v>
      </c>
      <c r="B1956" s="8">
        <v>6.1</v>
      </c>
      <c r="C1956" s="4"/>
      <c r="D1956" s="31"/>
      <c r="E1956" s="4"/>
      <c r="F1956" s="15"/>
      <c r="G1956" s="4"/>
    </row>
    <row r="1957" ht="14.25" customHeight="1">
      <c r="A1957" s="8" t="s">
        <v>3561</v>
      </c>
      <c r="B1957" s="8">
        <v>5.8</v>
      </c>
      <c r="C1957" s="4"/>
      <c r="D1957" s="31"/>
      <c r="E1957" s="4"/>
      <c r="F1957" s="15"/>
      <c r="G1957" s="4"/>
    </row>
    <row r="1958" ht="14.25" customHeight="1">
      <c r="A1958" s="8" t="s">
        <v>4069</v>
      </c>
      <c r="B1958" s="8">
        <v>6.3</v>
      </c>
      <c r="C1958" s="4"/>
      <c r="D1958" s="31"/>
      <c r="E1958" s="4"/>
      <c r="F1958" s="15"/>
      <c r="G1958" s="4"/>
    </row>
    <row r="1959" ht="14.25" customHeight="1">
      <c r="A1959" s="8" t="s">
        <v>4071</v>
      </c>
      <c r="B1959" s="8">
        <v>5.4</v>
      </c>
      <c r="C1959" s="4"/>
      <c r="D1959" s="31"/>
      <c r="E1959" s="4"/>
      <c r="F1959" s="15"/>
      <c r="G1959" s="4"/>
    </row>
    <row r="1960" ht="14.25" customHeight="1">
      <c r="A1960" s="8" t="s">
        <v>4073</v>
      </c>
      <c r="B1960" s="8">
        <v>7.3</v>
      </c>
      <c r="C1960" s="4"/>
      <c r="D1960" s="31"/>
      <c r="E1960" s="4"/>
      <c r="F1960" s="15"/>
      <c r="G1960" s="4"/>
    </row>
    <row r="1961" ht="14.25" customHeight="1">
      <c r="A1961" s="8" t="s">
        <v>1976</v>
      </c>
      <c r="B1961" s="8">
        <v>6.8</v>
      </c>
      <c r="C1961" s="4"/>
      <c r="D1961" s="31"/>
      <c r="E1961" s="4"/>
      <c r="F1961" s="15"/>
      <c r="G1961" s="4"/>
    </row>
    <row r="1962" ht="14.25" customHeight="1">
      <c r="A1962" s="8" t="s">
        <v>549</v>
      </c>
      <c r="B1962" s="8">
        <v>7.3</v>
      </c>
      <c r="C1962" s="4"/>
      <c r="D1962" s="31"/>
      <c r="E1962" s="4"/>
      <c r="F1962" s="15"/>
      <c r="G1962" s="4"/>
    </row>
    <row r="1963" ht="14.25" customHeight="1">
      <c r="A1963" s="8" t="s">
        <v>1036</v>
      </c>
      <c r="B1963" s="8">
        <v>6.5</v>
      </c>
      <c r="C1963" s="4"/>
      <c r="D1963" s="31"/>
      <c r="E1963" s="4"/>
      <c r="F1963" s="15"/>
      <c r="G1963" s="4"/>
    </row>
    <row r="1964" ht="14.25" customHeight="1">
      <c r="A1964" s="8" t="s">
        <v>2438</v>
      </c>
      <c r="B1964" s="8">
        <v>7.2</v>
      </c>
      <c r="C1964" s="4"/>
      <c r="D1964" s="31"/>
      <c r="E1964" s="4"/>
      <c r="F1964" s="15"/>
      <c r="G1964" s="4"/>
    </row>
    <row r="1965" ht="14.25" customHeight="1">
      <c r="A1965" s="8" t="s">
        <v>3268</v>
      </c>
      <c r="B1965" s="8">
        <v>6.3</v>
      </c>
      <c r="C1965" s="4"/>
      <c r="D1965" s="31"/>
      <c r="E1965" s="4"/>
      <c r="F1965" s="15"/>
      <c r="G1965" s="4"/>
    </row>
    <row r="1966" ht="14.25" customHeight="1">
      <c r="A1966" s="8" t="s">
        <v>1506</v>
      </c>
      <c r="B1966" s="8">
        <v>5.9</v>
      </c>
      <c r="C1966" s="4"/>
      <c r="D1966" s="31"/>
      <c r="E1966" s="4"/>
      <c r="F1966" s="15"/>
      <c r="G1966" s="4"/>
    </row>
    <row r="1967" ht="14.25" customHeight="1">
      <c r="A1967" s="8" t="s">
        <v>4084</v>
      </c>
      <c r="B1967" s="8">
        <v>7.8</v>
      </c>
      <c r="C1967" s="4"/>
      <c r="D1967" s="31"/>
      <c r="E1967" s="4"/>
      <c r="F1967" s="15"/>
      <c r="G1967" s="4"/>
    </row>
    <row r="1968" ht="14.25" customHeight="1">
      <c r="A1968" s="8" t="s">
        <v>820</v>
      </c>
      <c r="B1968" s="8">
        <v>7.4</v>
      </c>
      <c r="C1968" s="4"/>
      <c r="D1968" s="31"/>
      <c r="E1968" s="4"/>
      <c r="F1968" s="15"/>
      <c r="G1968" s="4"/>
    </row>
    <row r="1969" ht="14.25" customHeight="1">
      <c r="A1969" s="8" t="s">
        <v>4088</v>
      </c>
      <c r="B1969" s="8">
        <v>4.8</v>
      </c>
      <c r="C1969" s="4"/>
      <c r="D1969" s="31"/>
      <c r="E1969" s="4"/>
      <c r="F1969" s="15"/>
      <c r="G1969" s="4"/>
    </row>
    <row r="1970" ht="14.25" customHeight="1">
      <c r="A1970" s="8" t="s">
        <v>1665</v>
      </c>
      <c r="B1970" s="8">
        <v>6.3</v>
      </c>
      <c r="C1970" s="4"/>
      <c r="D1970" s="31"/>
      <c r="E1970" s="4"/>
      <c r="F1970" s="15"/>
      <c r="G1970" s="4"/>
    </row>
    <row r="1971" ht="14.25" customHeight="1">
      <c r="A1971" s="8" t="s">
        <v>1695</v>
      </c>
      <c r="B1971" s="8">
        <v>7.8</v>
      </c>
      <c r="C1971" s="4"/>
      <c r="D1971" s="31"/>
      <c r="E1971" s="4"/>
      <c r="F1971" s="15"/>
      <c r="G1971" s="4"/>
    </row>
    <row r="1972" ht="14.25" customHeight="1">
      <c r="A1972" s="8" t="s">
        <v>2195</v>
      </c>
      <c r="B1972" s="8">
        <v>7.5</v>
      </c>
      <c r="C1972" s="4"/>
      <c r="D1972" s="31"/>
      <c r="E1972" s="4"/>
      <c r="F1972" s="15"/>
      <c r="G1972" s="4"/>
    </row>
    <row r="1973" ht="14.25" customHeight="1">
      <c r="A1973" s="8" t="s">
        <v>472</v>
      </c>
      <c r="B1973" s="8">
        <v>6.8</v>
      </c>
      <c r="C1973" s="4"/>
      <c r="D1973" s="31"/>
      <c r="E1973" s="4"/>
      <c r="F1973" s="15"/>
      <c r="G1973" s="4"/>
    </row>
    <row r="1974" ht="14.25" customHeight="1">
      <c r="A1974" s="8" t="s">
        <v>3542</v>
      </c>
      <c r="B1974" s="8">
        <v>6.6</v>
      </c>
      <c r="C1974" s="4"/>
      <c r="D1974" s="31"/>
      <c r="E1974" s="4"/>
      <c r="F1974" s="15"/>
      <c r="G1974" s="4"/>
    </row>
    <row r="1975" ht="14.25" customHeight="1">
      <c r="A1975" s="8" t="s">
        <v>4097</v>
      </c>
      <c r="B1975" s="8">
        <v>4.6</v>
      </c>
      <c r="C1975" s="4"/>
      <c r="D1975" s="31"/>
      <c r="E1975" s="4"/>
      <c r="F1975" s="15"/>
      <c r="G1975" s="4"/>
    </row>
    <row r="1976" ht="14.25" customHeight="1">
      <c r="A1976" s="8" t="s">
        <v>21</v>
      </c>
      <c r="B1976" s="8">
        <v>7.1</v>
      </c>
      <c r="C1976" s="4"/>
      <c r="D1976" s="31"/>
      <c r="E1976" s="4"/>
      <c r="F1976" s="15"/>
      <c r="G1976" s="4"/>
    </row>
    <row r="1977" ht="14.25" customHeight="1">
      <c r="A1977" s="8" t="s">
        <v>4101</v>
      </c>
      <c r="B1977" s="8">
        <v>6.1</v>
      </c>
      <c r="C1977" s="4"/>
      <c r="D1977" s="31"/>
      <c r="E1977" s="4"/>
      <c r="F1977" s="15"/>
      <c r="G1977" s="4"/>
    </row>
    <row r="1978" ht="14.25" customHeight="1">
      <c r="A1978" s="8" t="s">
        <v>781</v>
      </c>
      <c r="B1978" s="8">
        <v>6.7</v>
      </c>
      <c r="C1978" s="4"/>
      <c r="D1978" s="31"/>
      <c r="E1978" s="4"/>
      <c r="F1978" s="15"/>
      <c r="G1978" s="4"/>
    </row>
    <row r="1979" ht="14.25" customHeight="1">
      <c r="A1979" s="8" t="s">
        <v>4104</v>
      </c>
      <c r="B1979" s="8">
        <v>7.1</v>
      </c>
      <c r="C1979" s="4"/>
      <c r="D1979" s="31"/>
      <c r="E1979" s="4"/>
      <c r="F1979" s="15"/>
      <c r="G1979" s="4"/>
    </row>
    <row r="1980" ht="14.25" customHeight="1">
      <c r="A1980" s="8" t="s">
        <v>4106</v>
      </c>
      <c r="B1980" s="8">
        <v>5.8</v>
      </c>
      <c r="C1980" s="4"/>
      <c r="D1980" s="31"/>
      <c r="E1980" s="4"/>
      <c r="F1980" s="15"/>
      <c r="G1980" s="4"/>
    </row>
    <row r="1981" ht="14.25" customHeight="1">
      <c r="A1981" s="8" t="s">
        <v>3592</v>
      </c>
      <c r="B1981" s="8">
        <v>6.7</v>
      </c>
      <c r="C1981" s="4"/>
      <c r="D1981" s="31"/>
      <c r="E1981" s="4"/>
      <c r="F1981" s="15"/>
      <c r="G1981" s="4"/>
    </row>
    <row r="1982" ht="14.25" customHeight="1">
      <c r="A1982" s="8" t="s">
        <v>4110</v>
      </c>
      <c r="B1982" s="8">
        <v>5.8</v>
      </c>
      <c r="C1982" s="4"/>
      <c r="D1982" s="31"/>
      <c r="E1982" s="4"/>
      <c r="F1982" s="15"/>
      <c r="G1982" s="4"/>
    </row>
    <row r="1983" ht="14.25" customHeight="1">
      <c r="A1983" s="8" t="s">
        <v>2170</v>
      </c>
      <c r="B1983" s="8">
        <v>6.8</v>
      </c>
      <c r="C1983" s="4"/>
      <c r="D1983" s="31"/>
      <c r="E1983" s="4"/>
      <c r="F1983" s="15"/>
      <c r="G1983" s="4"/>
    </row>
    <row r="1984" ht="14.25" customHeight="1">
      <c r="A1984" s="8" t="s">
        <v>168</v>
      </c>
      <c r="B1984" s="8">
        <v>8.5</v>
      </c>
      <c r="C1984" s="4"/>
      <c r="D1984" s="31"/>
      <c r="E1984" s="4"/>
      <c r="F1984" s="15"/>
      <c r="G1984" s="4"/>
    </row>
    <row r="1985" ht="14.25" customHeight="1">
      <c r="A1985" s="8" t="s">
        <v>524</v>
      </c>
      <c r="B1985" s="8">
        <v>6.6</v>
      </c>
      <c r="C1985" s="4"/>
      <c r="D1985" s="31"/>
      <c r="E1985" s="4"/>
      <c r="F1985" s="15"/>
      <c r="G1985" s="4"/>
    </row>
    <row r="1986" ht="14.25" customHeight="1">
      <c r="A1986" s="8" t="s">
        <v>168</v>
      </c>
      <c r="B1986" s="8">
        <v>7.7</v>
      </c>
      <c r="C1986" s="4"/>
      <c r="D1986" s="31"/>
      <c r="E1986" s="4"/>
      <c r="F1986" s="15"/>
      <c r="G1986" s="4"/>
    </row>
    <row r="1987" ht="14.25" customHeight="1">
      <c r="A1987" s="8" t="s">
        <v>4117</v>
      </c>
      <c r="B1987" s="8">
        <v>4.7</v>
      </c>
      <c r="C1987" s="4"/>
      <c r="D1987" s="31"/>
      <c r="E1987" s="4"/>
      <c r="F1987" s="15"/>
      <c r="G1987" s="4"/>
    </row>
    <row r="1988" ht="14.25" customHeight="1">
      <c r="A1988" s="8" t="s">
        <v>722</v>
      </c>
      <c r="B1988" s="8">
        <v>6.4</v>
      </c>
      <c r="C1988" s="4"/>
      <c r="D1988" s="31"/>
      <c r="E1988" s="4"/>
      <c r="F1988" s="15"/>
      <c r="G1988" s="4"/>
    </row>
    <row r="1989" ht="14.25" customHeight="1">
      <c r="A1989" s="8" t="s">
        <v>1087</v>
      </c>
      <c r="B1989" s="8">
        <v>5.5</v>
      </c>
      <c r="C1989" s="4"/>
      <c r="D1989" s="31"/>
      <c r="E1989" s="4"/>
      <c r="F1989" s="15"/>
      <c r="G1989" s="4"/>
    </row>
    <row r="1990" ht="14.25" customHeight="1">
      <c r="A1990" s="8" t="s">
        <v>1130</v>
      </c>
      <c r="B1990" s="8">
        <v>8.6</v>
      </c>
      <c r="C1990" s="4"/>
      <c r="D1990" s="31"/>
      <c r="E1990" s="4"/>
      <c r="F1990" s="15"/>
      <c r="G1990" s="4"/>
    </row>
    <row r="1991" ht="14.25" customHeight="1">
      <c r="A1991" s="8" t="s">
        <v>4125</v>
      </c>
      <c r="B1991" s="8">
        <v>7.0</v>
      </c>
      <c r="C1991" s="4"/>
      <c r="D1991" s="31"/>
      <c r="E1991" s="4"/>
      <c r="F1991" s="15"/>
      <c r="G1991" s="4"/>
    </row>
    <row r="1992" ht="14.25" customHeight="1">
      <c r="A1992" s="8" t="s">
        <v>4127</v>
      </c>
      <c r="B1992" s="8">
        <v>7.1</v>
      </c>
      <c r="C1992" s="4"/>
      <c r="D1992" s="31"/>
      <c r="E1992" s="4"/>
      <c r="F1992" s="15"/>
      <c r="G1992" s="4"/>
    </row>
    <row r="1993" ht="14.25" customHeight="1">
      <c r="A1993" s="8" t="s">
        <v>4131</v>
      </c>
      <c r="B1993" s="8">
        <v>5.7</v>
      </c>
      <c r="C1993" s="4"/>
      <c r="D1993" s="31"/>
      <c r="E1993" s="4"/>
      <c r="F1993" s="15"/>
      <c r="G1993" s="4"/>
    </row>
    <row r="1994" ht="14.25" customHeight="1">
      <c r="A1994" s="8" t="s">
        <v>657</v>
      </c>
      <c r="B1994" s="8">
        <v>3.7</v>
      </c>
      <c r="C1994" s="4"/>
      <c r="D1994" s="31"/>
      <c r="E1994" s="4"/>
      <c r="F1994" s="15"/>
      <c r="G1994" s="4"/>
    </row>
    <row r="1995" ht="14.25" customHeight="1">
      <c r="A1995" s="8" t="s">
        <v>145</v>
      </c>
      <c r="B1995" s="8">
        <v>7.5</v>
      </c>
      <c r="C1995" s="4"/>
      <c r="D1995" s="31"/>
      <c r="E1995" s="4"/>
      <c r="F1995" s="15"/>
      <c r="G1995" s="4"/>
    </row>
    <row r="1996" ht="14.25" customHeight="1">
      <c r="A1996" s="8" t="s">
        <v>1669</v>
      </c>
      <c r="B1996" s="8">
        <v>4.6</v>
      </c>
      <c r="C1996" s="4"/>
      <c r="D1996" s="31"/>
      <c r="E1996" s="4"/>
      <c r="F1996" s="15"/>
      <c r="G1996" s="4"/>
    </row>
    <row r="1997" ht="14.25" customHeight="1">
      <c r="A1997" s="8" t="s">
        <v>3455</v>
      </c>
      <c r="B1997" s="8">
        <v>4.9</v>
      </c>
      <c r="C1997" s="4"/>
      <c r="D1997" s="31"/>
      <c r="E1997" s="4"/>
      <c r="F1997" s="15"/>
      <c r="G1997" s="4"/>
    </row>
    <row r="1998" ht="14.25" customHeight="1">
      <c r="A1998" s="8" t="s">
        <v>1093</v>
      </c>
      <c r="B1998" s="8">
        <v>6.9</v>
      </c>
      <c r="C1998" s="4"/>
      <c r="D1998" s="31"/>
      <c r="E1998" s="4"/>
      <c r="F1998" s="15"/>
      <c r="G1998" s="4"/>
    </row>
    <row r="1999" ht="14.25" customHeight="1">
      <c r="A1999" s="8" t="s">
        <v>3582</v>
      </c>
      <c r="B1999" s="8">
        <v>7.1</v>
      </c>
      <c r="C1999" s="4"/>
      <c r="D1999" s="31"/>
      <c r="E1999" s="4"/>
      <c r="F1999" s="15"/>
      <c r="G1999" s="4"/>
    </row>
    <row r="2000" ht="14.25" customHeight="1">
      <c r="A2000" s="8" t="s">
        <v>983</v>
      </c>
      <c r="B2000" s="8">
        <v>5.8</v>
      </c>
      <c r="C2000" s="4"/>
      <c r="D2000" s="31"/>
      <c r="E2000" s="4"/>
      <c r="F2000" s="15"/>
      <c r="G2000" s="4"/>
    </row>
    <row r="2001" ht="14.25" customHeight="1">
      <c r="A2001" s="8" t="s">
        <v>1576</v>
      </c>
      <c r="B2001" s="8">
        <v>5.4</v>
      </c>
      <c r="C2001" s="4"/>
      <c r="D2001" s="31"/>
      <c r="E2001" s="4"/>
      <c r="F2001" s="15"/>
      <c r="G2001" s="4"/>
    </row>
    <row r="2002" ht="14.25" customHeight="1">
      <c r="A2002" s="8" t="s">
        <v>3242</v>
      </c>
      <c r="B2002" s="8">
        <v>7.3</v>
      </c>
      <c r="C2002" s="4"/>
      <c r="D2002" s="31"/>
      <c r="E2002" s="4"/>
      <c r="F2002" s="15"/>
      <c r="G2002" s="4"/>
    </row>
    <row r="2003" ht="14.25" customHeight="1">
      <c r="A2003" s="8" t="s">
        <v>1023</v>
      </c>
      <c r="B2003" s="8">
        <v>7.1</v>
      </c>
      <c r="C2003" s="4"/>
      <c r="D2003" s="31"/>
      <c r="E2003" s="4"/>
      <c r="F2003" s="15"/>
      <c r="G2003" s="4"/>
    </row>
    <row r="2004" ht="14.25" customHeight="1">
      <c r="A2004" s="8" t="s">
        <v>2455</v>
      </c>
      <c r="B2004" s="8">
        <v>5.8</v>
      </c>
      <c r="C2004" s="4"/>
      <c r="D2004" s="31"/>
      <c r="E2004" s="4"/>
      <c r="F2004" s="15"/>
      <c r="G2004" s="4"/>
    </row>
    <row r="2005" ht="14.25" customHeight="1">
      <c r="A2005" s="8" t="s">
        <v>4150</v>
      </c>
      <c r="B2005" s="8">
        <v>8.1</v>
      </c>
      <c r="C2005" s="4"/>
      <c r="D2005" s="31"/>
      <c r="E2005" s="4"/>
      <c r="F2005" s="15"/>
      <c r="G2005" s="4"/>
    </row>
    <row r="2006" ht="14.25" customHeight="1">
      <c r="A2006" s="8" t="s">
        <v>3360</v>
      </c>
      <c r="B2006" s="8">
        <v>5.7</v>
      </c>
      <c r="C2006" s="4"/>
      <c r="D2006" s="31"/>
      <c r="E2006" s="4"/>
      <c r="F2006" s="15"/>
      <c r="G2006" s="4"/>
    </row>
    <row r="2007" ht="14.25" customHeight="1">
      <c r="A2007" s="8" t="s">
        <v>3709</v>
      </c>
      <c r="B2007" s="8">
        <v>4.4</v>
      </c>
      <c r="C2007" s="4"/>
      <c r="D2007" s="31"/>
      <c r="E2007" s="4"/>
      <c r="F2007" s="15"/>
      <c r="G2007" s="4"/>
    </row>
    <row r="2008" ht="14.25" customHeight="1">
      <c r="A2008" s="8" t="s">
        <v>111</v>
      </c>
      <c r="B2008" s="8">
        <v>7.9</v>
      </c>
      <c r="C2008" s="4"/>
      <c r="D2008" s="31"/>
      <c r="E2008" s="4"/>
      <c r="F2008" s="15"/>
      <c r="G2008" s="4"/>
    </row>
    <row r="2009" ht="14.25" customHeight="1">
      <c r="A2009" s="8" t="s">
        <v>4157</v>
      </c>
      <c r="B2009" s="8">
        <v>7.6</v>
      </c>
      <c r="C2009" s="4"/>
      <c r="D2009" s="31"/>
      <c r="E2009" s="4"/>
      <c r="F2009" s="15"/>
      <c r="G2009" s="4"/>
    </row>
    <row r="2010" ht="14.25" customHeight="1">
      <c r="A2010" s="8" t="s">
        <v>3709</v>
      </c>
      <c r="B2010" s="8">
        <v>4.8</v>
      </c>
      <c r="C2010" s="4"/>
      <c r="D2010" s="31"/>
      <c r="E2010" s="4"/>
      <c r="F2010" s="15"/>
      <c r="G2010" s="4"/>
    </row>
    <row r="2011" ht="14.25" customHeight="1">
      <c r="A2011" s="8" t="s">
        <v>4162</v>
      </c>
      <c r="B2011" s="8">
        <v>6.7</v>
      </c>
      <c r="C2011" s="4"/>
      <c r="D2011" s="31"/>
      <c r="E2011" s="4"/>
      <c r="F2011" s="15"/>
      <c r="G2011" s="4"/>
    </row>
    <row r="2012" ht="14.25" customHeight="1">
      <c r="A2012" s="8" t="s">
        <v>4164</v>
      </c>
      <c r="B2012" s="8">
        <v>2.7</v>
      </c>
      <c r="C2012" s="4"/>
      <c r="D2012" s="31"/>
      <c r="E2012" s="4"/>
      <c r="F2012" s="15"/>
      <c r="G2012" s="4"/>
    </row>
    <row r="2013" ht="14.25" customHeight="1">
      <c r="A2013" s="8" t="s">
        <v>4166</v>
      </c>
      <c r="B2013" s="8">
        <v>5.8</v>
      </c>
      <c r="C2013" s="4"/>
      <c r="D2013" s="31"/>
      <c r="E2013" s="4"/>
      <c r="F2013" s="15"/>
      <c r="G2013" s="4"/>
    </row>
    <row r="2014" ht="14.25" customHeight="1">
      <c r="A2014" s="8" t="s">
        <v>4168</v>
      </c>
      <c r="B2014" s="8">
        <v>7.5</v>
      </c>
      <c r="C2014" s="4"/>
      <c r="D2014" s="31"/>
      <c r="E2014" s="4"/>
      <c r="F2014" s="15"/>
      <c r="G2014" s="4"/>
    </row>
    <row r="2015" ht="14.25" customHeight="1">
      <c r="A2015" s="8" t="s">
        <v>4170</v>
      </c>
      <c r="B2015" s="8">
        <v>5.4</v>
      </c>
      <c r="C2015" s="4"/>
      <c r="D2015" s="31"/>
      <c r="E2015" s="4"/>
      <c r="F2015" s="15"/>
      <c r="G2015" s="4"/>
    </row>
    <row r="2016" ht="14.25" customHeight="1">
      <c r="A2016" s="8" t="s">
        <v>2680</v>
      </c>
      <c r="B2016" s="8">
        <v>4.1</v>
      </c>
      <c r="C2016" s="4"/>
      <c r="D2016" s="31"/>
      <c r="E2016" s="4"/>
      <c r="F2016" s="15"/>
      <c r="G2016" s="4"/>
    </row>
    <row r="2017" ht="14.25" customHeight="1">
      <c r="A2017" s="8" t="s">
        <v>4175</v>
      </c>
      <c r="B2017" s="8">
        <v>5.9</v>
      </c>
      <c r="C2017" s="4"/>
      <c r="D2017" s="31"/>
      <c r="E2017" s="4"/>
      <c r="F2017" s="15"/>
      <c r="G2017" s="4"/>
    </row>
    <row r="2018" ht="14.25" customHeight="1">
      <c r="A2018" s="8" t="s">
        <v>4177</v>
      </c>
      <c r="B2018" s="8">
        <v>6.3</v>
      </c>
      <c r="C2018" s="4"/>
      <c r="D2018" s="31"/>
      <c r="E2018" s="4"/>
      <c r="F2018" s="15"/>
      <c r="G2018" s="4"/>
    </row>
    <row r="2019" ht="14.25" customHeight="1">
      <c r="A2019" s="8" t="s">
        <v>3112</v>
      </c>
      <c r="B2019" s="8">
        <v>6.8</v>
      </c>
      <c r="C2019" s="4"/>
      <c r="D2019" s="31"/>
      <c r="E2019" s="4"/>
      <c r="F2019" s="15"/>
      <c r="G2019" s="4"/>
    </row>
    <row r="2020" ht="14.25" customHeight="1">
      <c r="A2020" s="8" t="s">
        <v>3312</v>
      </c>
      <c r="B2020" s="8">
        <v>2.3</v>
      </c>
      <c r="C2020" s="4"/>
      <c r="D2020" s="31"/>
      <c r="E2020" s="4"/>
      <c r="F2020" s="15"/>
      <c r="G2020" s="4"/>
    </row>
    <row r="2021" ht="14.25" customHeight="1">
      <c r="A2021" s="8" t="s">
        <v>963</v>
      </c>
      <c r="B2021" s="8">
        <v>6.9</v>
      </c>
      <c r="C2021" s="4"/>
      <c r="D2021" s="31"/>
      <c r="E2021" s="4"/>
      <c r="F2021" s="15"/>
      <c r="G2021" s="4"/>
    </row>
    <row r="2022" ht="14.25" customHeight="1">
      <c r="A2022" s="8" t="s">
        <v>4183</v>
      </c>
      <c r="B2022" s="8">
        <v>8.1</v>
      </c>
      <c r="C2022" s="4"/>
      <c r="D2022" s="31"/>
      <c r="E2022" s="4"/>
      <c r="F2022" s="15"/>
      <c r="G2022" s="4"/>
    </row>
    <row r="2023" ht="14.25" customHeight="1">
      <c r="A2023" s="8" t="s">
        <v>3926</v>
      </c>
      <c r="B2023" s="8">
        <v>6.1</v>
      </c>
      <c r="C2023" s="4"/>
      <c r="D2023" s="31"/>
      <c r="E2023" s="4"/>
      <c r="F2023" s="15"/>
      <c r="G2023" s="4"/>
    </row>
    <row r="2024" ht="14.25" customHeight="1">
      <c r="A2024" s="8" t="s">
        <v>4188</v>
      </c>
      <c r="B2024" s="8">
        <v>5.0</v>
      </c>
      <c r="C2024" s="4"/>
      <c r="D2024" s="31"/>
      <c r="E2024" s="4"/>
      <c r="F2024" s="15"/>
      <c r="G2024" s="4"/>
    </row>
    <row r="2025" ht="14.25" customHeight="1">
      <c r="A2025" s="8" t="s">
        <v>2904</v>
      </c>
      <c r="B2025" s="8">
        <v>5.5</v>
      </c>
      <c r="C2025" s="4"/>
      <c r="D2025" s="31"/>
      <c r="E2025" s="4"/>
      <c r="F2025" s="15"/>
      <c r="G2025" s="4"/>
    </row>
    <row r="2026" ht="14.25" customHeight="1">
      <c r="A2026" s="8" t="s">
        <v>2059</v>
      </c>
      <c r="B2026" s="8">
        <v>6.2</v>
      </c>
      <c r="C2026" s="4"/>
      <c r="D2026" s="31"/>
      <c r="E2026" s="4"/>
      <c r="F2026" s="15"/>
      <c r="G2026" s="4"/>
    </row>
    <row r="2027" ht="14.25" customHeight="1">
      <c r="A2027" s="8" t="s">
        <v>1274</v>
      </c>
      <c r="B2027" s="8">
        <v>6.2</v>
      </c>
      <c r="C2027" s="4"/>
      <c r="D2027" s="31"/>
      <c r="E2027" s="4"/>
      <c r="F2027" s="15"/>
      <c r="G2027" s="4"/>
    </row>
    <row r="2028" ht="14.25" customHeight="1">
      <c r="A2028" s="8" t="s">
        <v>4195</v>
      </c>
      <c r="B2028" s="8">
        <v>6.3</v>
      </c>
      <c r="C2028" s="4"/>
      <c r="D2028" s="31"/>
      <c r="E2028" s="4"/>
      <c r="F2028" s="15"/>
      <c r="G2028" s="4"/>
    </row>
    <row r="2029" ht="14.25" customHeight="1">
      <c r="A2029" s="8" t="s">
        <v>4198</v>
      </c>
      <c r="B2029" s="8">
        <v>6.7</v>
      </c>
      <c r="C2029" s="4"/>
      <c r="D2029" s="31"/>
      <c r="E2029" s="4"/>
      <c r="F2029" s="15"/>
      <c r="G2029" s="4"/>
    </row>
    <row r="2030" ht="14.25" customHeight="1">
      <c r="A2030" s="8" t="s">
        <v>3312</v>
      </c>
      <c r="B2030" s="8">
        <v>3.5</v>
      </c>
      <c r="C2030" s="4"/>
      <c r="D2030" s="31"/>
      <c r="E2030" s="4"/>
      <c r="F2030" s="15"/>
      <c r="G2030" s="4"/>
    </row>
    <row r="2031" ht="14.25" customHeight="1">
      <c r="A2031" s="8" t="s">
        <v>476</v>
      </c>
      <c r="B2031" s="8">
        <v>7.5</v>
      </c>
      <c r="C2031" s="4"/>
      <c r="D2031" s="31"/>
      <c r="E2031" s="4"/>
      <c r="F2031" s="15"/>
      <c r="G2031" s="4"/>
    </row>
    <row r="2032" ht="14.25" customHeight="1">
      <c r="A2032" s="8" t="s">
        <v>345</v>
      </c>
      <c r="B2032" s="8">
        <v>6.6</v>
      </c>
      <c r="C2032" s="4"/>
      <c r="D2032" s="31"/>
      <c r="E2032" s="4"/>
      <c r="F2032" s="15"/>
      <c r="G2032" s="4"/>
    </row>
    <row r="2033" ht="14.25" customHeight="1">
      <c r="A2033" s="8" t="s">
        <v>4205</v>
      </c>
      <c r="B2033" s="8">
        <v>7.5</v>
      </c>
      <c r="C2033" s="4"/>
      <c r="D2033" s="31"/>
      <c r="E2033" s="4"/>
      <c r="F2033" s="15"/>
      <c r="G2033" s="4"/>
    </row>
    <row r="2034" ht="14.25" customHeight="1">
      <c r="A2034" s="8" t="s">
        <v>4084</v>
      </c>
      <c r="B2034" s="8">
        <v>7.2</v>
      </c>
      <c r="C2034" s="4"/>
      <c r="D2034" s="31"/>
      <c r="E2034" s="4"/>
      <c r="F2034" s="15"/>
      <c r="G2034" s="4"/>
    </row>
    <row r="2035" ht="14.25" customHeight="1">
      <c r="A2035" s="8" t="s">
        <v>3138</v>
      </c>
      <c r="B2035" s="8">
        <v>4.8</v>
      </c>
      <c r="C2035" s="4"/>
      <c r="D2035" s="31"/>
      <c r="E2035" s="4"/>
      <c r="F2035" s="15"/>
      <c r="G2035" s="4"/>
    </row>
    <row r="2036" ht="14.25" customHeight="1">
      <c r="A2036" s="8" t="s">
        <v>1034</v>
      </c>
      <c r="B2036" s="8">
        <v>6.6</v>
      </c>
      <c r="C2036" s="4"/>
      <c r="D2036" s="31"/>
      <c r="E2036" s="4"/>
      <c r="F2036" s="15"/>
      <c r="G2036" s="4"/>
    </row>
    <row r="2037" ht="14.25" customHeight="1">
      <c r="A2037" s="8" t="s">
        <v>3550</v>
      </c>
      <c r="B2037" s="8">
        <v>3.5</v>
      </c>
      <c r="C2037" s="4"/>
      <c r="D2037" s="31"/>
      <c r="E2037" s="4"/>
      <c r="F2037" s="15"/>
      <c r="G2037" s="4"/>
    </row>
    <row r="2038" ht="14.25" customHeight="1">
      <c r="A2038" s="8" t="s">
        <v>2409</v>
      </c>
      <c r="B2038" s="8">
        <v>7.6</v>
      </c>
      <c r="C2038" s="4"/>
      <c r="D2038" s="31"/>
      <c r="E2038" s="4"/>
      <c r="F2038" s="15"/>
      <c r="G2038" s="4"/>
    </row>
    <row r="2039" ht="14.25" customHeight="1">
      <c r="A2039" s="8" t="s">
        <v>228</v>
      </c>
      <c r="B2039" s="8">
        <v>6.3</v>
      </c>
      <c r="C2039" s="4"/>
      <c r="D2039" s="31"/>
      <c r="E2039" s="4"/>
      <c r="F2039" s="15"/>
      <c r="G2039" s="4"/>
    </row>
    <row r="2040" ht="14.25" customHeight="1">
      <c r="A2040" s="8" t="s">
        <v>4219</v>
      </c>
      <c r="B2040" s="8">
        <v>5.5</v>
      </c>
      <c r="C2040" s="4"/>
      <c r="D2040" s="31"/>
      <c r="E2040" s="4"/>
      <c r="F2040" s="15"/>
      <c r="G2040" s="4"/>
    </row>
    <row r="2041" ht="14.25" customHeight="1">
      <c r="A2041" s="8" t="s">
        <v>4222</v>
      </c>
      <c r="B2041" s="8">
        <v>6.3</v>
      </c>
      <c r="C2041" s="4"/>
      <c r="D2041" s="31"/>
      <c r="E2041" s="4"/>
      <c r="F2041" s="15"/>
      <c r="G2041" s="4"/>
    </row>
    <row r="2042" ht="14.25" customHeight="1">
      <c r="A2042" s="8" t="s">
        <v>4224</v>
      </c>
      <c r="B2042" s="8">
        <v>6.5</v>
      </c>
      <c r="C2042" s="4"/>
      <c r="D2042" s="31"/>
      <c r="E2042" s="4"/>
      <c r="F2042" s="15"/>
      <c r="G2042" s="4"/>
    </row>
    <row r="2043" ht="14.25" customHeight="1">
      <c r="A2043" s="8" t="s">
        <v>1841</v>
      </c>
      <c r="B2043" s="8">
        <v>6.9</v>
      </c>
      <c r="C2043" s="4"/>
      <c r="D2043" s="31"/>
      <c r="E2043" s="4"/>
      <c r="F2043" s="15"/>
      <c r="G2043" s="4"/>
    </row>
    <row r="2044" ht="14.25" customHeight="1">
      <c r="A2044" s="8" t="s">
        <v>2251</v>
      </c>
      <c r="B2044" s="8">
        <v>7.6</v>
      </c>
      <c r="C2044" s="4"/>
      <c r="D2044" s="31"/>
      <c r="E2044" s="4"/>
      <c r="F2044" s="15"/>
      <c r="G2044" s="4"/>
    </row>
    <row r="2045" ht="14.25" customHeight="1">
      <c r="A2045" s="8" t="s">
        <v>4228</v>
      </c>
      <c r="B2045" s="8">
        <v>3.9</v>
      </c>
      <c r="C2045" s="4"/>
      <c r="D2045" s="31"/>
      <c r="E2045" s="4"/>
      <c r="F2045" s="15"/>
      <c r="G2045" s="4"/>
    </row>
    <row r="2046" ht="14.25" customHeight="1">
      <c r="A2046" s="8" t="s">
        <v>3824</v>
      </c>
      <c r="B2046" s="8">
        <v>6.1</v>
      </c>
      <c r="C2046" s="4"/>
      <c r="D2046" s="31"/>
      <c r="E2046" s="4"/>
      <c r="F2046" s="15"/>
      <c r="G2046" s="4"/>
    </row>
    <row r="2047" ht="14.25" customHeight="1">
      <c r="A2047" s="8" t="s">
        <v>620</v>
      </c>
      <c r="B2047" s="8">
        <v>7.3</v>
      </c>
      <c r="C2047" s="4"/>
      <c r="D2047" s="31"/>
      <c r="E2047" s="4"/>
      <c r="F2047" s="15"/>
      <c r="G2047" s="4"/>
    </row>
    <row r="2048" ht="14.25" customHeight="1">
      <c r="A2048" s="8" t="s">
        <v>650</v>
      </c>
      <c r="B2048" s="8">
        <v>8.3</v>
      </c>
      <c r="C2048" s="4"/>
      <c r="D2048" s="31"/>
      <c r="E2048" s="4"/>
      <c r="F2048" s="15"/>
      <c r="G2048" s="4"/>
    </row>
    <row r="2049" ht="14.25" customHeight="1">
      <c r="A2049" s="8" t="s">
        <v>2068</v>
      </c>
      <c r="B2049" s="8">
        <v>5.8</v>
      </c>
      <c r="C2049" s="4"/>
      <c r="D2049" s="31"/>
      <c r="E2049" s="4"/>
      <c r="F2049" s="15"/>
      <c r="G2049" s="4"/>
    </row>
    <row r="2050" ht="14.25" customHeight="1">
      <c r="A2050" s="8" t="s">
        <v>218</v>
      </c>
      <c r="B2050" s="8">
        <v>6.8</v>
      </c>
      <c r="C2050" s="4"/>
      <c r="D2050" s="31"/>
      <c r="E2050" s="4"/>
      <c r="F2050" s="15"/>
      <c r="G2050" s="4"/>
    </row>
    <row r="2051" ht="14.25" customHeight="1">
      <c r="A2051" s="8" t="s">
        <v>1030</v>
      </c>
      <c r="B2051" s="8">
        <v>7.0</v>
      </c>
      <c r="C2051" s="4"/>
      <c r="D2051" s="31"/>
      <c r="E2051" s="4"/>
      <c r="F2051" s="15"/>
      <c r="G2051" s="4"/>
    </row>
    <row r="2052" ht="14.25" customHeight="1">
      <c r="A2052" s="8" t="s">
        <v>4237</v>
      </c>
      <c r="B2052" s="8">
        <v>5.9</v>
      </c>
      <c r="C2052" s="4"/>
      <c r="D2052" s="31"/>
      <c r="E2052" s="4"/>
      <c r="F2052" s="15"/>
      <c r="G2052" s="4"/>
    </row>
    <row r="2053" ht="14.25" customHeight="1">
      <c r="A2053" s="8" t="s">
        <v>4241</v>
      </c>
      <c r="B2053" s="8">
        <v>6.5</v>
      </c>
      <c r="C2053" s="4"/>
      <c r="D2053" s="31"/>
      <c r="E2053" s="4"/>
      <c r="F2053" s="15"/>
      <c r="G2053" s="4"/>
    </row>
    <row r="2054" ht="14.25" customHeight="1">
      <c r="A2054" s="8" t="s">
        <v>4244</v>
      </c>
      <c r="B2054" s="8">
        <v>6.4</v>
      </c>
      <c r="C2054" s="4"/>
      <c r="D2054" s="31"/>
      <c r="E2054" s="4"/>
      <c r="F2054" s="15"/>
      <c r="G2054" s="4"/>
    </row>
    <row r="2055" ht="14.25" customHeight="1">
      <c r="A2055" s="8" t="s">
        <v>4246</v>
      </c>
      <c r="B2055" s="8">
        <v>5.8</v>
      </c>
      <c r="C2055" s="4"/>
      <c r="D2055" s="31"/>
      <c r="E2055" s="4"/>
      <c r="F2055" s="15"/>
      <c r="G2055" s="4"/>
    </row>
    <row r="2056" ht="14.25" customHeight="1">
      <c r="A2056" s="8" t="s">
        <v>4249</v>
      </c>
      <c r="B2056" s="8">
        <v>5.1</v>
      </c>
      <c r="C2056" s="4"/>
      <c r="D2056" s="31"/>
      <c r="E2056" s="4"/>
      <c r="F2056" s="15"/>
      <c r="G2056" s="4"/>
    </row>
    <row r="2057" ht="14.25" customHeight="1">
      <c r="A2057" s="8" t="s">
        <v>2365</v>
      </c>
      <c r="B2057" s="8">
        <v>6.8</v>
      </c>
      <c r="C2057" s="4"/>
      <c r="D2057" s="31"/>
      <c r="E2057" s="4"/>
      <c r="F2057" s="15"/>
      <c r="G2057" s="4"/>
    </row>
    <row r="2058" ht="14.25" customHeight="1">
      <c r="A2058" s="8" t="s">
        <v>4253</v>
      </c>
      <c r="B2058" s="8">
        <v>5.3</v>
      </c>
      <c r="C2058" s="4"/>
      <c r="D2058" s="31"/>
      <c r="E2058" s="4"/>
      <c r="F2058" s="15"/>
      <c r="G2058" s="4"/>
    </row>
    <row r="2059" ht="14.25" customHeight="1">
      <c r="A2059" s="8" t="s">
        <v>875</v>
      </c>
      <c r="B2059" s="8">
        <v>5.3</v>
      </c>
      <c r="C2059" s="4"/>
      <c r="D2059" s="31"/>
      <c r="E2059" s="4"/>
      <c r="F2059" s="15"/>
      <c r="G2059" s="4"/>
    </row>
    <row r="2060" ht="14.25" customHeight="1">
      <c r="A2060" s="8" t="s">
        <v>1980</v>
      </c>
      <c r="B2060" s="8">
        <v>4.9</v>
      </c>
      <c r="C2060" s="4"/>
      <c r="D2060" s="31"/>
      <c r="E2060" s="4"/>
      <c r="F2060" s="15"/>
      <c r="G2060" s="4"/>
    </row>
    <row r="2061" ht="14.25" customHeight="1">
      <c r="A2061" s="8" t="s">
        <v>2409</v>
      </c>
      <c r="B2061" s="8">
        <v>6.8</v>
      </c>
      <c r="C2061" s="4"/>
      <c r="D2061" s="31"/>
      <c r="E2061" s="4"/>
      <c r="F2061" s="15"/>
      <c r="G2061" s="4"/>
    </row>
    <row r="2062" ht="14.25" customHeight="1">
      <c r="A2062" s="8" t="s">
        <v>4260</v>
      </c>
      <c r="B2062" s="8">
        <v>7.1</v>
      </c>
      <c r="C2062" s="4"/>
      <c r="D2062" s="31"/>
      <c r="E2062" s="4"/>
      <c r="F2062" s="15"/>
      <c r="G2062" s="4"/>
    </row>
    <row r="2063" ht="14.25" customHeight="1">
      <c r="A2063" s="8" t="s">
        <v>2158</v>
      </c>
      <c r="B2063" s="8">
        <v>6.1</v>
      </c>
      <c r="C2063" s="4"/>
      <c r="D2063" s="31"/>
      <c r="E2063" s="4"/>
      <c r="F2063" s="15"/>
      <c r="G2063" s="4"/>
    </row>
    <row r="2064" ht="14.25" customHeight="1">
      <c r="A2064" s="8" t="s">
        <v>4266</v>
      </c>
      <c r="B2064" s="8">
        <v>8.5</v>
      </c>
      <c r="C2064" s="4"/>
      <c r="D2064" s="31"/>
      <c r="E2064" s="4"/>
      <c r="F2064" s="15"/>
      <c r="G2064" s="4"/>
    </row>
    <row r="2065" ht="14.25" customHeight="1">
      <c r="A2065" s="8" t="s">
        <v>2106</v>
      </c>
      <c r="B2065" s="8">
        <v>5.9</v>
      </c>
      <c r="C2065" s="4"/>
      <c r="D2065" s="31"/>
      <c r="E2065" s="4"/>
      <c r="F2065" s="15"/>
      <c r="G2065" s="4"/>
    </row>
    <row r="2066" ht="14.25" customHeight="1">
      <c r="A2066" s="8" t="s">
        <v>4270</v>
      </c>
      <c r="B2066" s="8">
        <v>6.3</v>
      </c>
      <c r="C2066" s="4"/>
      <c r="D2066" s="31"/>
      <c r="E2066" s="4"/>
      <c r="F2066" s="15"/>
      <c r="G2066" s="4"/>
    </row>
    <row r="2067" ht="14.25" customHeight="1">
      <c r="A2067" s="8" t="s">
        <v>1349</v>
      </c>
      <c r="B2067" s="8">
        <v>5.9</v>
      </c>
      <c r="C2067" s="4"/>
      <c r="D2067" s="31"/>
      <c r="E2067" s="4"/>
      <c r="F2067" s="15"/>
      <c r="G2067" s="4"/>
    </row>
    <row r="2068" ht="14.25" customHeight="1">
      <c r="A2068" s="8" t="s">
        <v>4273</v>
      </c>
      <c r="B2068" s="8">
        <v>5.4</v>
      </c>
      <c r="C2068" s="4"/>
      <c r="D2068" s="31"/>
      <c r="E2068" s="4"/>
      <c r="F2068" s="15"/>
      <c r="G2068" s="4"/>
    </row>
    <row r="2069" ht="14.25" customHeight="1">
      <c r="A2069" s="8" t="s">
        <v>568</v>
      </c>
      <c r="B2069" s="8">
        <v>6.9</v>
      </c>
      <c r="C2069" s="4"/>
      <c r="D2069" s="31"/>
      <c r="E2069" s="4"/>
      <c r="F2069" s="15"/>
      <c r="G2069" s="4"/>
    </row>
    <row r="2070" ht="14.25" customHeight="1">
      <c r="A2070" s="8" t="s">
        <v>4277</v>
      </c>
      <c r="B2070" s="8">
        <v>7.5</v>
      </c>
      <c r="C2070" s="4"/>
      <c r="D2070" s="31"/>
      <c r="E2070" s="4"/>
      <c r="F2070" s="15"/>
      <c r="G2070" s="4"/>
    </row>
    <row r="2071" ht="14.25" customHeight="1">
      <c r="A2071" s="8" t="s">
        <v>2359</v>
      </c>
      <c r="B2071" s="8">
        <v>8.2</v>
      </c>
      <c r="C2071" s="4"/>
      <c r="D2071" s="31"/>
      <c r="E2071" s="4"/>
      <c r="F2071" s="15"/>
      <c r="G2071" s="4"/>
    </row>
    <row r="2072" ht="14.25" customHeight="1">
      <c r="A2072" s="8" t="s">
        <v>1065</v>
      </c>
      <c r="B2072" s="8">
        <v>5.9</v>
      </c>
      <c r="C2072" s="4"/>
      <c r="D2072" s="31"/>
      <c r="E2072" s="4"/>
      <c r="F2072" s="15"/>
      <c r="G2072" s="4"/>
    </row>
    <row r="2073" ht="14.25" customHeight="1">
      <c r="A2073" s="8" t="s">
        <v>4282</v>
      </c>
      <c r="B2073" s="8">
        <v>5.0</v>
      </c>
      <c r="C2073" s="4"/>
      <c r="D2073" s="31"/>
      <c r="E2073" s="4"/>
      <c r="F2073" s="15"/>
      <c r="G2073" s="4"/>
    </row>
    <row r="2074" ht="14.25" customHeight="1">
      <c r="A2074" s="8" t="s">
        <v>1980</v>
      </c>
      <c r="B2074" s="8">
        <v>7.3</v>
      </c>
      <c r="C2074" s="4"/>
      <c r="D2074" s="31"/>
      <c r="E2074" s="4"/>
      <c r="F2074" s="15"/>
      <c r="G2074" s="4"/>
    </row>
    <row r="2075" ht="14.25" customHeight="1">
      <c r="A2075" s="8" t="s">
        <v>4287</v>
      </c>
      <c r="B2075" s="8">
        <v>6.4</v>
      </c>
      <c r="C2075" s="4"/>
      <c r="D2075" s="31"/>
      <c r="E2075" s="4"/>
      <c r="F2075" s="15"/>
      <c r="G2075" s="4"/>
    </row>
    <row r="2076" ht="14.25" customHeight="1">
      <c r="A2076" s="8" t="s">
        <v>3592</v>
      </c>
      <c r="B2076" s="8">
        <v>6.6</v>
      </c>
      <c r="C2076" s="4"/>
      <c r="D2076" s="31"/>
      <c r="E2076" s="4"/>
      <c r="F2076" s="15"/>
      <c r="G2076" s="4"/>
    </row>
    <row r="2077" ht="14.25" customHeight="1">
      <c r="A2077" s="8" t="s">
        <v>4291</v>
      </c>
      <c r="B2077" s="8">
        <v>7.8</v>
      </c>
      <c r="C2077" s="4"/>
      <c r="D2077" s="31"/>
      <c r="E2077" s="4"/>
      <c r="F2077" s="15"/>
      <c r="G2077" s="4"/>
    </row>
    <row r="2078" ht="14.25" customHeight="1">
      <c r="A2078" s="8" t="s">
        <v>4295</v>
      </c>
      <c r="B2078" s="8">
        <v>4.0</v>
      </c>
      <c r="C2078" s="4"/>
      <c r="D2078" s="31"/>
      <c r="E2078" s="4"/>
      <c r="F2078" s="15"/>
      <c r="G2078" s="4"/>
    </row>
    <row r="2079" ht="14.25" customHeight="1">
      <c r="A2079" s="8" t="s">
        <v>54</v>
      </c>
      <c r="B2079" s="8">
        <v>7.6</v>
      </c>
      <c r="C2079" s="4"/>
      <c r="D2079" s="31"/>
      <c r="E2079" s="4"/>
      <c r="F2079" s="15"/>
      <c r="G2079" s="4"/>
    </row>
    <row r="2080" ht="14.25" customHeight="1">
      <c r="A2080" s="8" t="s">
        <v>476</v>
      </c>
      <c r="B2080" s="8">
        <v>7.7</v>
      </c>
      <c r="C2080" s="4"/>
      <c r="D2080" s="31"/>
      <c r="E2080" s="4"/>
      <c r="F2080" s="15"/>
      <c r="G2080" s="4"/>
    </row>
    <row r="2081" ht="14.25" customHeight="1">
      <c r="A2081" s="8" t="s">
        <v>4302</v>
      </c>
      <c r="B2081" s="8">
        <v>5.8</v>
      </c>
      <c r="C2081" s="4"/>
      <c r="D2081" s="31"/>
      <c r="E2081" s="4"/>
      <c r="F2081" s="15"/>
      <c r="G2081" s="4"/>
    </row>
    <row r="2082" ht="14.25" customHeight="1">
      <c r="A2082" s="8" t="s">
        <v>2447</v>
      </c>
      <c r="B2082" s="8">
        <v>5.2</v>
      </c>
      <c r="C2082" s="4"/>
      <c r="D2082" s="31"/>
      <c r="E2082" s="4"/>
      <c r="F2082" s="15"/>
      <c r="G2082" s="4"/>
    </row>
    <row r="2083" ht="14.25" customHeight="1">
      <c r="A2083" s="8" t="s">
        <v>4305</v>
      </c>
      <c r="B2083" s="8">
        <v>5.6</v>
      </c>
      <c r="C2083" s="4"/>
      <c r="D2083" s="31"/>
      <c r="E2083" s="4"/>
      <c r="F2083" s="15"/>
      <c r="G2083" s="4"/>
    </row>
    <row r="2084" ht="14.25" customHeight="1">
      <c r="A2084" s="8" t="s">
        <v>4308</v>
      </c>
      <c r="B2084" s="8">
        <v>5.3</v>
      </c>
      <c r="C2084" s="4"/>
      <c r="D2084" s="31"/>
      <c r="E2084" s="4"/>
      <c r="F2084" s="15"/>
      <c r="G2084" s="4"/>
    </row>
    <row r="2085" ht="14.25" customHeight="1">
      <c r="A2085" s="8" t="s">
        <v>4311</v>
      </c>
      <c r="B2085" s="8">
        <v>6.6</v>
      </c>
      <c r="C2085" s="4"/>
      <c r="D2085" s="31"/>
      <c r="E2085" s="4"/>
      <c r="F2085" s="15"/>
      <c r="G2085" s="4"/>
    </row>
    <row r="2086" ht="14.25" customHeight="1">
      <c r="A2086" s="8" t="s">
        <v>3312</v>
      </c>
      <c r="B2086" s="8">
        <v>1.9</v>
      </c>
      <c r="C2086" s="4"/>
      <c r="D2086" s="31"/>
      <c r="E2086" s="4"/>
      <c r="F2086" s="15"/>
      <c r="G2086" s="4"/>
    </row>
    <row r="2087" ht="14.25" customHeight="1">
      <c r="A2087" s="8" t="s">
        <v>2576</v>
      </c>
      <c r="B2087" s="8">
        <v>5.7</v>
      </c>
      <c r="C2087" s="4"/>
      <c r="D2087" s="31"/>
      <c r="E2087" s="4"/>
      <c r="F2087" s="15"/>
      <c r="G2087" s="4"/>
    </row>
    <row r="2088" ht="14.25" customHeight="1">
      <c r="A2088" s="8" t="s">
        <v>1034</v>
      </c>
      <c r="B2088" s="8">
        <v>6.6</v>
      </c>
      <c r="C2088" s="4"/>
      <c r="D2088" s="31"/>
      <c r="E2088" s="4"/>
      <c r="F2088" s="15"/>
      <c r="G2088" s="4"/>
    </row>
    <row r="2089" ht="14.25" customHeight="1">
      <c r="A2089" s="8" t="s">
        <v>4317</v>
      </c>
      <c r="B2089" s="8">
        <v>6.0</v>
      </c>
      <c r="C2089" s="4"/>
      <c r="D2089" s="31"/>
      <c r="E2089" s="4"/>
      <c r="F2089" s="15"/>
      <c r="G2089" s="4"/>
    </row>
    <row r="2090" ht="14.25" customHeight="1">
      <c r="A2090" s="8" t="s">
        <v>4319</v>
      </c>
      <c r="B2090" s="8">
        <v>6.1</v>
      </c>
      <c r="C2090" s="4"/>
      <c r="D2090" s="31"/>
      <c r="E2090" s="4"/>
      <c r="F2090" s="15"/>
      <c r="G2090" s="4"/>
    </row>
    <row r="2091" ht="14.25" customHeight="1">
      <c r="A2091" s="8" t="s">
        <v>1274</v>
      </c>
      <c r="B2091" s="8">
        <v>4.8</v>
      </c>
      <c r="C2091" s="4"/>
      <c r="D2091" s="31"/>
      <c r="E2091" s="4"/>
      <c r="F2091" s="15"/>
      <c r="G2091" s="4"/>
    </row>
    <row r="2092" ht="14.25" customHeight="1">
      <c r="A2092" s="8" t="s">
        <v>1839</v>
      </c>
      <c r="B2092" s="8">
        <v>6.2</v>
      </c>
      <c r="C2092" s="4"/>
      <c r="D2092" s="31"/>
      <c r="E2092" s="4"/>
      <c r="F2092" s="15"/>
      <c r="G2092" s="4"/>
    </row>
    <row r="2093" ht="14.25" customHeight="1">
      <c r="A2093" s="8" t="s">
        <v>3268</v>
      </c>
      <c r="B2093" s="8">
        <v>7.5</v>
      </c>
      <c r="C2093" s="4"/>
      <c r="D2093" s="31"/>
      <c r="E2093" s="4"/>
      <c r="F2093" s="15"/>
      <c r="G2093" s="4"/>
    </row>
    <row r="2094" ht="14.25" customHeight="1">
      <c r="A2094" s="8" t="s">
        <v>4324</v>
      </c>
      <c r="B2094" s="8">
        <v>6.3</v>
      </c>
      <c r="C2094" s="4"/>
      <c r="D2094" s="31"/>
      <c r="E2094" s="4"/>
      <c r="F2094" s="15"/>
      <c r="G2094" s="4"/>
    </row>
    <row r="2095" ht="14.25" customHeight="1">
      <c r="A2095" s="8" t="s">
        <v>502</v>
      </c>
      <c r="B2095" s="8">
        <v>7.1</v>
      </c>
      <c r="C2095" s="4"/>
      <c r="D2095" s="31"/>
      <c r="E2095" s="4"/>
      <c r="F2095" s="15"/>
      <c r="G2095" s="4"/>
    </row>
    <row r="2096" ht="14.25" customHeight="1">
      <c r="A2096" s="8" t="s">
        <v>17</v>
      </c>
      <c r="B2096" s="8">
        <v>6.6</v>
      </c>
      <c r="C2096" s="4"/>
      <c r="D2096" s="31"/>
      <c r="E2096" s="4"/>
      <c r="F2096" s="15"/>
      <c r="G2096" s="4"/>
    </row>
    <row r="2097" ht="14.25" customHeight="1">
      <c r="A2097" s="8" t="s">
        <v>1776</v>
      </c>
      <c r="B2097" s="8">
        <v>6.1</v>
      </c>
      <c r="C2097" s="4"/>
      <c r="D2097" s="31"/>
      <c r="E2097" s="4"/>
      <c r="F2097" s="15"/>
      <c r="G2097" s="4"/>
    </row>
    <row r="2098" ht="14.25" customHeight="1">
      <c r="A2098" s="8" t="s">
        <v>1797</v>
      </c>
      <c r="B2098" s="8">
        <v>6.7</v>
      </c>
      <c r="C2098" s="4"/>
      <c r="D2098" s="31"/>
      <c r="E2098" s="4"/>
      <c r="F2098" s="15"/>
      <c r="G2098" s="4"/>
    </row>
    <row r="2099" ht="14.25" customHeight="1">
      <c r="A2099" s="8" t="s">
        <v>875</v>
      </c>
      <c r="B2099" s="8">
        <v>5.6</v>
      </c>
      <c r="C2099" s="4"/>
      <c r="D2099" s="31"/>
      <c r="E2099" s="4"/>
      <c r="F2099" s="15"/>
      <c r="G2099" s="4"/>
    </row>
    <row r="2100" ht="14.25" customHeight="1">
      <c r="A2100" s="8" t="s">
        <v>247</v>
      </c>
      <c r="B2100" s="8">
        <v>7.2</v>
      </c>
      <c r="C2100" s="4"/>
      <c r="D2100" s="31"/>
      <c r="E2100" s="4"/>
      <c r="F2100" s="15"/>
      <c r="G2100" s="4"/>
    </row>
    <row r="2101" ht="14.25" customHeight="1">
      <c r="A2101" s="8" t="s">
        <v>4338</v>
      </c>
      <c r="B2101" s="8">
        <v>4.3</v>
      </c>
      <c r="C2101" s="4"/>
      <c r="D2101" s="31"/>
      <c r="E2101" s="4"/>
      <c r="F2101" s="15"/>
      <c r="G2101" s="4"/>
    </row>
    <row r="2102" ht="14.25" customHeight="1">
      <c r="A2102" s="8" t="s">
        <v>650</v>
      </c>
      <c r="B2102" s="8">
        <v>6.4</v>
      </c>
      <c r="C2102" s="4"/>
      <c r="D2102" s="31"/>
      <c r="E2102" s="4"/>
      <c r="F2102" s="15"/>
      <c r="G2102" s="4"/>
    </row>
    <row r="2103" ht="14.25" customHeight="1">
      <c r="A2103" s="8" t="s">
        <v>2251</v>
      </c>
      <c r="B2103" s="8">
        <v>7.1</v>
      </c>
      <c r="C2103" s="4"/>
      <c r="D2103" s="31"/>
      <c r="E2103" s="4"/>
      <c r="F2103" s="15"/>
      <c r="G2103" s="4"/>
    </row>
    <row r="2104" ht="14.25" customHeight="1">
      <c r="A2104" s="8" t="s">
        <v>3872</v>
      </c>
      <c r="B2104" s="8">
        <v>6.3</v>
      </c>
      <c r="C2104" s="4"/>
      <c r="D2104" s="31"/>
      <c r="E2104" s="4"/>
      <c r="F2104" s="15"/>
      <c r="G2104" s="4"/>
    </row>
    <row r="2105" ht="14.25" customHeight="1">
      <c r="A2105" s="8" t="s">
        <v>3268</v>
      </c>
      <c r="B2105" s="8">
        <v>7.4</v>
      </c>
      <c r="C2105" s="4"/>
      <c r="D2105" s="31"/>
      <c r="E2105" s="4"/>
      <c r="F2105" s="15"/>
      <c r="G2105" s="4"/>
    </row>
    <row r="2106" ht="14.25" customHeight="1">
      <c r="A2106" s="8" t="s">
        <v>4346</v>
      </c>
      <c r="B2106" s="8">
        <v>6.1</v>
      </c>
      <c r="C2106" s="4"/>
      <c r="D2106" s="31"/>
      <c r="E2106" s="4"/>
      <c r="F2106" s="15"/>
      <c r="G2106" s="4"/>
    </row>
    <row r="2107" ht="14.25" customHeight="1">
      <c r="A2107" s="8" t="s">
        <v>3783</v>
      </c>
      <c r="B2107" s="8">
        <v>6.6</v>
      </c>
      <c r="C2107" s="4"/>
      <c r="D2107" s="31"/>
      <c r="E2107" s="4"/>
      <c r="F2107" s="15"/>
      <c r="G2107" s="4"/>
    </row>
    <row r="2108" ht="14.25" customHeight="1">
      <c r="A2108" s="8" t="s">
        <v>2038</v>
      </c>
      <c r="B2108" s="8">
        <v>6.0</v>
      </c>
      <c r="C2108" s="4"/>
      <c r="D2108" s="31"/>
      <c r="E2108" s="4"/>
      <c r="F2108" s="15"/>
      <c r="G2108" s="4"/>
    </row>
    <row r="2109" ht="14.25" customHeight="1">
      <c r="A2109" s="8" t="s">
        <v>3268</v>
      </c>
      <c r="B2109" s="8">
        <v>6.8</v>
      </c>
      <c r="C2109" s="4"/>
      <c r="D2109" s="31"/>
      <c r="E2109" s="4"/>
      <c r="F2109" s="15"/>
      <c r="G2109" s="4"/>
    </row>
    <row r="2110" ht="14.25" customHeight="1">
      <c r="A2110" s="8" t="s">
        <v>145</v>
      </c>
      <c r="B2110" s="8">
        <v>6.8</v>
      </c>
      <c r="C2110" s="4"/>
      <c r="D2110" s="31"/>
      <c r="E2110" s="4"/>
      <c r="F2110" s="15"/>
      <c r="G2110" s="4"/>
    </row>
    <row r="2111" ht="14.25" customHeight="1">
      <c r="A2111" s="8" t="s">
        <v>2829</v>
      </c>
      <c r="B2111" s="8">
        <v>7.2</v>
      </c>
      <c r="C2111" s="4"/>
      <c r="D2111" s="31"/>
      <c r="E2111" s="4"/>
      <c r="F2111" s="15"/>
      <c r="G2111" s="4"/>
    </row>
    <row r="2112" ht="14.25" customHeight="1">
      <c r="A2112" s="8" t="s">
        <v>4355</v>
      </c>
      <c r="B2112" s="8">
        <v>1.9</v>
      </c>
      <c r="C2112" s="4"/>
      <c r="D2112" s="31"/>
      <c r="E2112" s="4"/>
      <c r="F2112" s="15"/>
      <c r="G2112" s="4"/>
    </row>
    <row r="2113" ht="14.25" customHeight="1">
      <c r="A2113" s="8" t="s">
        <v>1100</v>
      </c>
      <c r="B2113" s="8">
        <v>5.5</v>
      </c>
      <c r="C2113" s="4"/>
      <c r="D2113" s="31"/>
      <c r="E2113" s="4"/>
      <c r="F2113" s="15"/>
      <c r="G2113" s="4"/>
    </row>
    <row r="2114" ht="14.25" customHeight="1">
      <c r="A2114" s="8" t="s">
        <v>1100</v>
      </c>
      <c r="B2114" s="8">
        <v>4.5</v>
      </c>
      <c r="C2114" s="4"/>
      <c r="D2114" s="31"/>
      <c r="E2114" s="4"/>
      <c r="F2114" s="15"/>
      <c r="G2114" s="4"/>
    </row>
    <row r="2115" ht="14.25" customHeight="1">
      <c r="A2115" s="8" t="s">
        <v>1492</v>
      </c>
      <c r="B2115" s="8">
        <v>6.3</v>
      </c>
      <c r="C2115" s="4"/>
      <c r="D2115" s="31"/>
      <c r="E2115" s="4"/>
      <c r="F2115" s="15"/>
      <c r="G2115" s="4"/>
    </row>
    <row r="2116" ht="14.25" customHeight="1">
      <c r="A2116" s="8" t="s">
        <v>2820</v>
      </c>
      <c r="B2116" s="8">
        <v>6.7</v>
      </c>
      <c r="C2116" s="4"/>
      <c r="D2116" s="31"/>
      <c r="E2116" s="4"/>
      <c r="F2116" s="15"/>
      <c r="G2116" s="4"/>
    </row>
    <row r="2117" ht="14.25" customHeight="1">
      <c r="A2117" s="8" t="s">
        <v>4365</v>
      </c>
      <c r="B2117" s="8">
        <v>2.8</v>
      </c>
      <c r="C2117" s="4"/>
      <c r="D2117" s="31"/>
      <c r="E2117" s="4"/>
      <c r="F2117" s="15"/>
      <c r="G2117" s="4"/>
    </row>
    <row r="2118" ht="14.25" customHeight="1">
      <c r="A2118" s="8" t="s">
        <v>4367</v>
      </c>
      <c r="B2118" s="8">
        <v>5.0</v>
      </c>
      <c r="C2118" s="4"/>
      <c r="D2118" s="31"/>
      <c r="E2118" s="4"/>
      <c r="F2118" s="15"/>
      <c r="G2118" s="4"/>
    </row>
    <row r="2119" ht="14.25" customHeight="1">
      <c r="A2119" s="8" t="s">
        <v>2271</v>
      </c>
      <c r="B2119" s="8">
        <v>4.3</v>
      </c>
      <c r="C2119" s="4"/>
      <c r="D2119" s="31"/>
      <c r="E2119" s="4"/>
      <c r="F2119" s="15"/>
      <c r="G2119" s="4"/>
    </row>
    <row r="2120" ht="14.25" customHeight="1">
      <c r="A2120" s="8" t="s">
        <v>1980</v>
      </c>
      <c r="B2120" s="8">
        <v>5.6</v>
      </c>
      <c r="C2120" s="4"/>
      <c r="D2120" s="31"/>
      <c r="E2120" s="4"/>
      <c r="F2120" s="15"/>
      <c r="G2120" s="4"/>
    </row>
    <row r="2121" ht="14.25" customHeight="1">
      <c r="A2121" s="8" t="s">
        <v>4373</v>
      </c>
      <c r="B2121" s="8">
        <v>6.2</v>
      </c>
      <c r="C2121" s="4"/>
      <c r="D2121" s="31"/>
      <c r="E2121" s="4"/>
      <c r="F2121" s="15"/>
      <c r="G2121" s="4"/>
    </row>
    <row r="2122" ht="14.25" customHeight="1">
      <c r="A2122" s="8" t="s">
        <v>3739</v>
      </c>
      <c r="B2122" s="8">
        <v>5.3</v>
      </c>
      <c r="C2122" s="4"/>
      <c r="D2122" s="31"/>
      <c r="E2122" s="4"/>
      <c r="F2122" s="15"/>
      <c r="G2122" s="4"/>
    </row>
    <row r="2123" ht="14.25" customHeight="1">
      <c r="A2123" s="8" t="s">
        <v>4377</v>
      </c>
      <c r="B2123" s="8">
        <v>7.4</v>
      </c>
      <c r="C2123" s="4"/>
      <c r="D2123" s="31"/>
      <c r="E2123" s="4"/>
      <c r="F2123" s="15"/>
      <c r="G2123" s="4"/>
    </row>
    <row r="2124" ht="14.25" customHeight="1">
      <c r="A2124" s="8" t="s">
        <v>4380</v>
      </c>
      <c r="B2124" s="8">
        <v>7.4</v>
      </c>
      <c r="C2124" s="4"/>
      <c r="D2124" s="31"/>
      <c r="E2124" s="4"/>
      <c r="F2124" s="15"/>
      <c r="G2124" s="4"/>
    </row>
    <row r="2125" ht="14.25" customHeight="1">
      <c r="A2125" s="8" t="s">
        <v>2170</v>
      </c>
      <c r="B2125" s="8">
        <v>6.5</v>
      </c>
      <c r="C2125" s="4"/>
      <c r="D2125" s="31"/>
      <c r="E2125" s="4"/>
      <c r="F2125" s="15"/>
      <c r="G2125" s="4"/>
    </row>
    <row r="2126" ht="14.25" customHeight="1">
      <c r="A2126" s="8" t="s">
        <v>3582</v>
      </c>
      <c r="B2126" s="8">
        <v>7.1</v>
      </c>
      <c r="C2126" s="4"/>
      <c r="D2126" s="31"/>
      <c r="E2126" s="4"/>
      <c r="F2126" s="15"/>
      <c r="G2126" s="4"/>
    </row>
    <row r="2127" ht="14.25" customHeight="1">
      <c r="A2127" s="8" t="s">
        <v>316</v>
      </c>
      <c r="B2127" s="8">
        <v>7.2</v>
      </c>
      <c r="C2127" s="4"/>
      <c r="D2127" s="31"/>
      <c r="E2127" s="4"/>
      <c r="F2127" s="15"/>
      <c r="G2127" s="4"/>
    </row>
    <row r="2128" ht="14.25" customHeight="1">
      <c r="A2128" s="8" t="s">
        <v>1800</v>
      </c>
      <c r="B2128" s="8">
        <v>2.3</v>
      </c>
      <c r="C2128" s="4"/>
      <c r="D2128" s="31"/>
      <c r="E2128" s="4"/>
      <c r="F2128" s="15"/>
      <c r="G2128" s="4"/>
    </row>
    <row r="2129" ht="14.25" customHeight="1">
      <c r="A2129" s="8" t="s">
        <v>3568</v>
      </c>
      <c r="B2129" s="8">
        <v>6.4</v>
      </c>
      <c r="C2129" s="4"/>
      <c r="D2129" s="31"/>
      <c r="E2129" s="4"/>
      <c r="F2129" s="15"/>
      <c r="G2129" s="4"/>
    </row>
    <row r="2130" ht="14.25" customHeight="1">
      <c r="A2130" s="8" t="s">
        <v>4389</v>
      </c>
      <c r="B2130" s="8">
        <v>6.1</v>
      </c>
      <c r="C2130" s="4"/>
      <c r="D2130" s="31"/>
      <c r="E2130" s="4"/>
      <c r="F2130" s="15"/>
      <c r="G2130" s="4"/>
    </row>
    <row r="2131" ht="14.25" customHeight="1">
      <c r="A2131" s="8" t="s">
        <v>4392</v>
      </c>
      <c r="B2131" s="8">
        <v>7.0</v>
      </c>
      <c r="C2131" s="4"/>
      <c r="D2131" s="31"/>
      <c r="E2131" s="4"/>
      <c r="F2131" s="15"/>
      <c r="G2131" s="4"/>
    </row>
    <row r="2132" ht="14.25" customHeight="1">
      <c r="A2132" s="8" t="s">
        <v>4394</v>
      </c>
      <c r="B2132" s="8">
        <v>7.0</v>
      </c>
      <c r="C2132" s="4"/>
      <c r="D2132" s="31"/>
      <c r="E2132" s="4"/>
      <c r="F2132" s="15"/>
      <c r="G2132" s="4"/>
    </row>
    <row r="2133" ht="14.25" customHeight="1">
      <c r="A2133" s="8" t="s">
        <v>4397</v>
      </c>
      <c r="B2133" s="8">
        <v>7.0</v>
      </c>
      <c r="C2133" s="4"/>
      <c r="D2133" s="31"/>
      <c r="E2133" s="4"/>
      <c r="F2133" s="15"/>
      <c r="G2133" s="4"/>
    </row>
    <row r="2134" ht="14.25" customHeight="1">
      <c r="A2134" s="8" t="s">
        <v>4399</v>
      </c>
      <c r="B2134" s="8">
        <v>4.9</v>
      </c>
      <c r="C2134" s="4"/>
      <c r="D2134" s="31"/>
      <c r="E2134" s="4"/>
      <c r="F2134" s="15"/>
      <c r="G2134" s="4"/>
    </row>
    <row r="2135" ht="14.25" customHeight="1">
      <c r="A2135" s="8" t="s">
        <v>3249</v>
      </c>
      <c r="B2135" s="8">
        <v>6.9</v>
      </c>
      <c r="C2135" s="4"/>
      <c r="D2135" s="31"/>
      <c r="E2135" s="4"/>
      <c r="F2135" s="15"/>
      <c r="G2135" s="4"/>
    </row>
    <row r="2136" ht="14.25" customHeight="1">
      <c r="A2136" s="8" t="s">
        <v>4403</v>
      </c>
      <c r="B2136" s="8">
        <v>7.5</v>
      </c>
      <c r="C2136" s="4"/>
      <c r="D2136" s="31"/>
      <c r="E2136" s="4"/>
      <c r="F2136" s="15"/>
      <c r="G2136" s="4"/>
    </row>
    <row r="2137" ht="14.25" customHeight="1">
      <c r="A2137" s="8" t="s">
        <v>3073</v>
      </c>
      <c r="B2137" s="8">
        <v>8.4</v>
      </c>
      <c r="C2137" s="4"/>
      <c r="D2137" s="31"/>
      <c r="E2137" s="4"/>
      <c r="F2137" s="15"/>
      <c r="G2137" s="4"/>
    </row>
    <row r="2138" ht="14.25" customHeight="1">
      <c r="A2138" s="8" t="s">
        <v>4407</v>
      </c>
      <c r="B2138" s="8">
        <v>6.9</v>
      </c>
      <c r="C2138" s="4"/>
      <c r="D2138" s="31"/>
      <c r="E2138" s="4"/>
      <c r="F2138" s="15"/>
      <c r="G2138" s="4"/>
    </row>
    <row r="2139" ht="14.25" customHeight="1">
      <c r="A2139" s="8" t="s">
        <v>4411</v>
      </c>
      <c r="B2139" s="8">
        <v>4.5</v>
      </c>
      <c r="C2139" s="4"/>
      <c r="D2139" s="31"/>
      <c r="E2139" s="4"/>
      <c r="F2139" s="15"/>
      <c r="G2139" s="4"/>
    </row>
    <row r="2140" ht="14.25" customHeight="1">
      <c r="A2140" s="8" t="s">
        <v>3872</v>
      </c>
      <c r="B2140" s="8">
        <v>7.4</v>
      </c>
      <c r="C2140" s="4"/>
      <c r="D2140" s="31"/>
      <c r="E2140" s="4"/>
      <c r="F2140" s="15"/>
      <c r="G2140" s="4"/>
    </row>
    <row r="2141" ht="14.25" customHeight="1">
      <c r="A2141" s="8" t="s">
        <v>4417</v>
      </c>
      <c r="B2141" s="8">
        <v>7.0</v>
      </c>
      <c r="C2141" s="4"/>
      <c r="D2141" s="31"/>
      <c r="E2141" s="4"/>
      <c r="F2141" s="15"/>
      <c r="G2141" s="4"/>
    </row>
    <row r="2142" ht="14.25" customHeight="1">
      <c r="A2142" s="8" t="s">
        <v>3864</v>
      </c>
      <c r="B2142" s="8">
        <v>2.8</v>
      </c>
      <c r="C2142" s="4"/>
      <c r="D2142" s="31"/>
      <c r="E2142" s="4"/>
      <c r="F2142" s="15"/>
      <c r="G2142" s="4"/>
    </row>
    <row r="2143" ht="14.25" customHeight="1">
      <c r="A2143" s="8" t="s">
        <v>3364</v>
      </c>
      <c r="B2143" s="8">
        <v>7.5</v>
      </c>
      <c r="C2143" s="4"/>
      <c r="D2143" s="31"/>
      <c r="E2143" s="4"/>
      <c r="F2143" s="15"/>
      <c r="G2143" s="4"/>
    </row>
    <row r="2144" ht="14.25" customHeight="1">
      <c r="A2144" s="8" t="s">
        <v>634</v>
      </c>
      <c r="B2144" s="8">
        <v>7.1</v>
      </c>
      <c r="C2144" s="4"/>
      <c r="D2144" s="31"/>
      <c r="E2144" s="4"/>
      <c r="F2144" s="15"/>
      <c r="G2144" s="4"/>
    </row>
    <row r="2145" ht="14.25" customHeight="1">
      <c r="A2145" s="8" t="s">
        <v>3516</v>
      </c>
      <c r="B2145" s="8">
        <v>6.4</v>
      </c>
      <c r="C2145" s="4"/>
      <c r="D2145" s="31"/>
      <c r="E2145" s="4"/>
      <c r="F2145" s="15"/>
      <c r="G2145" s="4"/>
    </row>
    <row r="2146" ht="14.25" customHeight="1">
      <c r="A2146" s="8" t="s">
        <v>4425</v>
      </c>
      <c r="B2146" s="8">
        <v>6.7</v>
      </c>
      <c r="C2146" s="4"/>
      <c r="D2146" s="31"/>
      <c r="E2146" s="4"/>
      <c r="F2146" s="15"/>
      <c r="G2146" s="4"/>
    </row>
    <row r="2147" ht="14.25" customHeight="1">
      <c r="A2147" s="8" t="s">
        <v>245</v>
      </c>
      <c r="B2147" s="8">
        <v>5.3</v>
      </c>
      <c r="C2147" s="4"/>
      <c r="D2147" s="31"/>
      <c r="E2147" s="4"/>
      <c r="F2147" s="15"/>
      <c r="G2147" s="4"/>
    </row>
    <row r="2148" ht="14.25" customHeight="1">
      <c r="A2148" s="8" t="s">
        <v>4428</v>
      </c>
      <c r="B2148" s="8">
        <v>6.9</v>
      </c>
      <c r="C2148" s="4"/>
      <c r="D2148" s="31"/>
      <c r="E2148" s="4"/>
      <c r="F2148" s="15"/>
      <c r="G2148" s="4"/>
    </row>
    <row r="2149" ht="14.25" customHeight="1">
      <c r="A2149" s="8" t="s">
        <v>4432</v>
      </c>
      <c r="B2149" s="8">
        <v>6.2</v>
      </c>
      <c r="C2149" s="4"/>
      <c r="D2149" s="31"/>
      <c r="E2149" s="4"/>
      <c r="F2149" s="15"/>
      <c r="G2149" s="4"/>
    </row>
    <row r="2150" ht="14.25" customHeight="1">
      <c r="A2150" s="8" t="s">
        <v>228</v>
      </c>
      <c r="B2150" s="8">
        <v>6.4</v>
      </c>
      <c r="C2150" s="4"/>
      <c r="D2150" s="31"/>
      <c r="E2150" s="4"/>
      <c r="F2150" s="15"/>
      <c r="G2150" s="4"/>
    </row>
    <row r="2151" ht="14.25" customHeight="1">
      <c r="A2151" s="8" t="s">
        <v>2722</v>
      </c>
      <c r="B2151" s="8">
        <v>6.0</v>
      </c>
      <c r="C2151" s="4"/>
      <c r="D2151" s="31"/>
      <c r="E2151" s="4"/>
      <c r="F2151" s="15"/>
      <c r="G2151" s="4"/>
    </row>
    <row r="2152" ht="14.25" customHeight="1">
      <c r="A2152" s="8" t="s">
        <v>2922</v>
      </c>
      <c r="B2152" s="8">
        <v>5.1</v>
      </c>
      <c r="C2152" s="4"/>
      <c r="D2152" s="31"/>
      <c r="E2152" s="4"/>
      <c r="F2152" s="15"/>
      <c r="G2152" s="4"/>
    </row>
    <row r="2153" ht="14.25" customHeight="1">
      <c r="A2153" s="8" t="s">
        <v>4442</v>
      </c>
      <c r="B2153" s="8">
        <v>5.5</v>
      </c>
      <c r="C2153" s="4"/>
      <c r="D2153" s="31"/>
      <c r="E2153" s="4"/>
      <c r="F2153" s="15"/>
      <c r="G2153" s="4"/>
    </row>
    <row r="2154" ht="14.25" customHeight="1">
      <c r="A2154" s="8" t="s">
        <v>2342</v>
      </c>
      <c r="B2154" s="8">
        <v>5.4</v>
      </c>
      <c r="C2154" s="4"/>
      <c r="D2154" s="31"/>
      <c r="E2154" s="4"/>
      <c r="F2154" s="15"/>
      <c r="G2154" s="4"/>
    </row>
    <row r="2155" ht="14.25" customHeight="1">
      <c r="A2155" s="8" t="s">
        <v>4071</v>
      </c>
      <c r="B2155" s="8">
        <v>7.5</v>
      </c>
      <c r="C2155" s="4"/>
      <c r="D2155" s="31"/>
      <c r="E2155" s="4"/>
      <c r="F2155" s="15"/>
      <c r="G2155" s="4"/>
    </row>
    <row r="2156" ht="14.25" customHeight="1">
      <c r="A2156" s="8" t="s">
        <v>4046</v>
      </c>
      <c r="B2156" s="8">
        <v>7.4</v>
      </c>
      <c r="C2156" s="4"/>
      <c r="D2156" s="31"/>
      <c r="E2156" s="4"/>
      <c r="F2156" s="15"/>
      <c r="G2156" s="4"/>
    </row>
    <row r="2157" ht="14.25" customHeight="1">
      <c r="A2157" s="8" t="s">
        <v>1174</v>
      </c>
      <c r="B2157" s="8">
        <v>8.0</v>
      </c>
      <c r="C2157" s="4"/>
      <c r="D2157" s="31"/>
      <c r="E2157" s="4"/>
      <c r="F2157" s="15"/>
      <c r="G2157" s="4"/>
    </row>
    <row r="2158" ht="14.25" customHeight="1">
      <c r="A2158" s="8" t="s">
        <v>2617</v>
      </c>
      <c r="B2158" s="8">
        <v>5.7</v>
      </c>
      <c r="C2158" s="4"/>
      <c r="D2158" s="31"/>
      <c r="E2158" s="4"/>
      <c r="F2158" s="15"/>
      <c r="G2158" s="4"/>
    </row>
    <row r="2159" ht="14.25" customHeight="1">
      <c r="A2159" s="8" t="s">
        <v>1747</v>
      </c>
      <c r="B2159" s="8">
        <v>6.8</v>
      </c>
      <c r="C2159" s="4"/>
      <c r="D2159" s="31"/>
      <c r="E2159" s="4"/>
      <c r="F2159" s="15"/>
      <c r="G2159" s="4"/>
    </row>
    <row r="2160" ht="14.25" customHeight="1">
      <c r="A2160" s="8" t="s">
        <v>4454</v>
      </c>
      <c r="B2160" s="8">
        <v>5.9</v>
      </c>
      <c r="C2160" s="4"/>
      <c r="D2160" s="31"/>
      <c r="E2160" s="4"/>
      <c r="F2160" s="15"/>
      <c r="G2160" s="4"/>
    </row>
    <row r="2161" ht="14.25" customHeight="1">
      <c r="A2161" s="8" t="s">
        <v>2511</v>
      </c>
      <c r="B2161" s="8">
        <v>7.2</v>
      </c>
      <c r="C2161" s="4"/>
      <c r="D2161" s="31"/>
      <c r="E2161" s="4"/>
      <c r="F2161" s="15"/>
      <c r="G2161" s="4"/>
    </row>
    <row r="2162" ht="14.25" customHeight="1">
      <c r="A2162" s="8" t="s">
        <v>4219</v>
      </c>
      <c r="B2162" s="8">
        <v>5.5</v>
      </c>
      <c r="C2162" s="4"/>
      <c r="D2162" s="31"/>
      <c r="E2162" s="4"/>
      <c r="F2162" s="15"/>
      <c r="G2162" s="4"/>
    </row>
    <row r="2163" ht="14.25" customHeight="1">
      <c r="A2163" s="8" t="s">
        <v>186</v>
      </c>
      <c r="B2163" s="8">
        <v>8.5</v>
      </c>
      <c r="C2163" s="4"/>
      <c r="D2163" s="31"/>
      <c r="E2163" s="4"/>
      <c r="F2163" s="15"/>
      <c r="G2163" s="4"/>
    </row>
    <row r="2164" ht="14.25" customHeight="1">
      <c r="A2164" s="8" t="s">
        <v>2706</v>
      </c>
      <c r="B2164" s="8">
        <v>5.6</v>
      </c>
      <c r="C2164" s="4"/>
      <c r="D2164" s="31"/>
      <c r="E2164" s="4"/>
      <c r="F2164" s="15"/>
      <c r="G2164" s="4"/>
    </row>
    <row r="2165" ht="14.25" customHeight="1">
      <c r="A2165" s="8" t="s">
        <v>3709</v>
      </c>
      <c r="B2165" s="8">
        <v>4.1</v>
      </c>
      <c r="C2165" s="4"/>
      <c r="D2165" s="31"/>
      <c r="E2165" s="4"/>
      <c r="F2165" s="15"/>
      <c r="G2165" s="4"/>
    </row>
    <row r="2166" ht="14.25" customHeight="1">
      <c r="A2166" s="8" t="s">
        <v>1591</v>
      </c>
      <c r="B2166" s="8">
        <v>6.1</v>
      </c>
      <c r="C2166" s="4"/>
      <c r="D2166" s="31"/>
      <c r="E2166" s="4"/>
      <c r="F2166" s="15"/>
      <c r="G2166" s="4"/>
    </row>
    <row r="2167" ht="14.25" customHeight="1">
      <c r="A2167" s="8" t="s">
        <v>345</v>
      </c>
      <c r="B2167" s="8">
        <v>5.4</v>
      </c>
      <c r="C2167" s="4"/>
      <c r="D2167" s="31"/>
      <c r="E2167" s="4"/>
      <c r="F2167" s="15"/>
      <c r="G2167" s="4"/>
    </row>
    <row r="2168" ht="14.25" customHeight="1">
      <c r="A2168" s="8" t="s">
        <v>408</v>
      </c>
      <c r="B2168" s="8">
        <v>7.1</v>
      </c>
      <c r="C2168" s="4"/>
      <c r="D2168" s="31"/>
      <c r="E2168" s="4"/>
      <c r="F2168" s="15"/>
      <c r="G2168" s="4"/>
    </row>
    <row r="2169" ht="14.25" customHeight="1">
      <c r="A2169" s="8" t="s">
        <v>4471</v>
      </c>
      <c r="B2169" s="8">
        <v>3.6</v>
      </c>
      <c r="C2169" s="4"/>
      <c r="D2169" s="31"/>
      <c r="E2169" s="4"/>
      <c r="F2169" s="15"/>
      <c r="G2169" s="4"/>
    </row>
    <row r="2170" ht="14.25" customHeight="1">
      <c r="A2170" s="8" t="s">
        <v>453</v>
      </c>
      <c r="B2170" s="8">
        <v>6.5</v>
      </c>
      <c r="C2170" s="4"/>
      <c r="D2170" s="31"/>
      <c r="E2170" s="4"/>
      <c r="F2170" s="15"/>
      <c r="G2170" s="4"/>
    </row>
    <row r="2171" ht="14.25" customHeight="1">
      <c r="A2171" s="8" t="s">
        <v>3073</v>
      </c>
      <c r="B2171" s="8">
        <v>8.6</v>
      </c>
      <c r="C2171" s="4"/>
      <c r="D2171" s="31"/>
      <c r="E2171" s="4"/>
      <c r="F2171" s="15"/>
      <c r="G2171" s="4"/>
    </row>
    <row r="2172" ht="14.25" customHeight="1">
      <c r="A2172" s="8" t="s">
        <v>620</v>
      </c>
      <c r="B2172" s="8">
        <v>7.0</v>
      </c>
      <c r="C2172" s="4"/>
      <c r="D2172" s="31"/>
      <c r="E2172" s="4"/>
      <c r="F2172" s="15"/>
      <c r="G2172" s="4"/>
    </row>
    <row r="2173" ht="14.25" customHeight="1">
      <c r="A2173" s="8" t="s">
        <v>4477</v>
      </c>
      <c r="B2173" s="8">
        <v>7.6</v>
      </c>
      <c r="C2173" s="4"/>
      <c r="D2173" s="31"/>
      <c r="E2173" s="4"/>
      <c r="F2173" s="15"/>
      <c r="G2173" s="4"/>
    </row>
    <row r="2174" ht="14.25" customHeight="1">
      <c r="A2174" s="8" t="s">
        <v>1834</v>
      </c>
      <c r="B2174" s="8">
        <v>6.5</v>
      </c>
      <c r="C2174" s="4"/>
      <c r="D2174" s="31"/>
      <c r="E2174" s="4"/>
      <c r="F2174" s="15"/>
      <c r="G2174" s="4"/>
    </row>
    <row r="2175" ht="14.25" customHeight="1">
      <c r="A2175" s="8" t="s">
        <v>4482</v>
      </c>
      <c r="B2175" s="8">
        <v>6.4</v>
      </c>
      <c r="C2175" s="4"/>
      <c r="D2175" s="31"/>
      <c r="E2175" s="4"/>
      <c r="F2175" s="15"/>
      <c r="G2175" s="4"/>
    </row>
    <row r="2176" ht="14.25" customHeight="1">
      <c r="A2176" s="8" t="s">
        <v>4484</v>
      </c>
      <c r="B2176" s="8">
        <v>6.3</v>
      </c>
      <c r="C2176" s="4"/>
      <c r="D2176" s="31"/>
      <c r="E2176" s="4"/>
      <c r="F2176" s="15"/>
      <c r="G2176" s="4"/>
    </row>
    <row r="2177" ht="14.25" customHeight="1">
      <c r="A2177" s="8" t="s">
        <v>4486</v>
      </c>
      <c r="B2177" s="8">
        <v>5.7</v>
      </c>
      <c r="C2177" s="4"/>
      <c r="D2177" s="31"/>
      <c r="E2177" s="4"/>
      <c r="F2177" s="15"/>
      <c r="G2177" s="4"/>
    </row>
    <row r="2178" ht="14.25" customHeight="1">
      <c r="A2178" s="8" t="s">
        <v>4490</v>
      </c>
      <c r="B2178" s="8">
        <v>6.3</v>
      </c>
      <c r="C2178" s="4"/>
      <c r="D2178" s="31"/>
      <c r="E2178" s="4"/>
      <c r="F2178" s="15"/>
      <c r="G2178" s="4"/>
    </row>
    <row r="2179" ht="14.25" customHeight="1">
      <c r="A2179" s="8" t="s">
        <v>4493</v>
      </c>
      <c r="B2179" s="8">
        <v>6.0</v>
      </c>
      <c r="C2179" s="4"/>
      <c r="D2179" s="31"/>
      <c r="E2179" s="4"/>
      <c r="F2179" s="15"/>
      <c r="G2179" s="4"/>
    </row>
    <row r="2180" ht="14.25" customHeight="1">
      <c r="A2180" s="8" t="s">
        <v>749</v>
      </c>
      <c r="B2180" s="8">
        <v>7.7</v>
      </c>
      <c r="C2180" s="4"/>
      <c r="D2180" s="31"/>
      <c r="E2180" s="4"/>
      <c r="F2180" s="15"/>
      <c r="G2180" s="4"/>
    </row>
    <row r="2181" ht="14.25" customHeight="1">
      <c r="A2181" s="8" t="s">
        <v>4496</v>
      </c>
      <c r="B2181" s="8">
        <v>6.2</v>
      </c>
      <c r="C2181" s="4"/>
      <c r="D2181" s="31"/>
      <c r="E2181" s="4"/>
      <c r="F2181" s="15"/>
      <c r="G2181" s="4"/>
    </row>
    <row r="2182" ht="14.25" customHeight="1">
      <c r="A2182" s="8" t="s">
        <v>1150</v>
      </c>
      <c r="B2182" s="8">
        <v>7.7</v>
      </c>
      <c r="C2182" s="4"/>
      <c r="D2182" s="31"/>
      <c r="E2182" s="4"/>
      <c r="F2182" s="15"/>
      <c r="G2182" s="4"/>
    </row>
    <row r="2183" ht="14.25" customHeight="1">
      <c r="A2183" s="8" t="s">
        <v>4500</v>
      </c>
      <c r="B2183" s="8">
        <v>6.4</v>
      </c>
      <c r="C2183" s="4"/>
      <c r="D2183" s="31"/>
      <c r="E2183" s="4"/>
      <c r="F2183" s="15"/>
      <c r="G2183" s="4"/>
    </row>
    <row r="2184" ht="14.25" customHeight="1">
      <c r="A2184" s="8" t="s">
        <v>2927</v>
      </c>
      <c r="B2184" s="8">
        <v>6.4</v>
      </c>
      <c r="C2184" s="4"/>
      <c r="D2184" s="31"/>
      <c r="E2184" s="4"/>
      <c r="F2184" s="15"/>
      <c r="G2184" s="4"/>
    </row>
    <row r="2185" ht="14.25" customHeight="1">
      <c r="A2185" s="8" t="s">
        <v>730</v>
      </c>
      <c r="B2185" s="8">
        <v>6.9</v>
      </c>
      <c r="C2185" s="4"/>
      <c r="D2185" s="31"/>
      <c r="E2185" s="4"/>
      <c r="F2185" s="15"/>
      <c r="G2185" s="4"/>
    </row>
    <row r="2186" ht="14.25" customHeight="1">
      <c r="A2186" s="8" t="s">
        <v>2246</v>
      </c>
      <c r="B2186" s="8">
        <v>7.3</v>
      </c>
      <c r="C2186" s="4"/>
      <c r="D2186" s="31"/>
      <c r="E2186" s="4"/>
      <c r="F2186" s="15"/>
      <c r="G2186" s="4"/>
    </row>
    <row r="2187" ht="14.25" customHeight="1">
      <c r="A2187" s="8" t="s">
        <v>1514</v>
      </c>
      <c r="B2187" s="8">
        <v>7.3</v>
      </c>
      <c r="C2187" s="4"/>
      <c r="D2187" s="31"/>
      <c r="E2187" s="4"/>
      <c r="F2187" s="15"/>
      <c r="G2187" s="4"/>
    </row>
    <row r="2188" ht="14.25" customHeight="1">
      <c r="A2188" s="8" t="s">
        <v>1265</v>
      </c>
      <c r="B2188" s="8">
        <v>6.2</v>
      </c>
      <c r="C2188" s="4"/>
      <c r="D2188" s="31"/>
      <c r="E2188" s="4"/>
      <c r="F2188" s="15"/>
      <c r="G2188" s="4"/>
    </row>
    <row r="2189" ht="14.25" customHeight="1">
      <c r="A2189" s="8" t="s">
        <v>914</v>
      </c>
      <c r="B2189" s="8">
        <v>6.6</v>
      </c>
      <c r="C2189" s="4"/>
      <c r="D2189" s="31"/>
      <c r="E2189" s="4"/>
      <c r="F2189" s="15"/>
      <c r="G2189" s="4"/>
    </row>
    <row r="2190" ht="14.25" customHeight="1">
      <c r="A2190" s="8" t="s">
        <v>1111</v>
      </c>
      <c r="B2190" s="8">
        <v>6.7</v>
      </c>
      <c r="C2190" s="4"/>
      <c r="D2190" s="31"/>
      <c r="E2190" s="4"/>
      <c r="F2190" s="15"/>
      <c r="G2190" s="4"/>
    </row>
    <row r="2191" ht="14.25" customHeight="1">
      <c r="A2191" s="8" t="s">
        <v>255</v>
      </c>
      <c r="B2191" s="8">
        <v>5.7</v>
      </c>
      <c r="C2191" s="4"/>
      <c r="D2191" s="31"/>
      <c r="E2191" s="4"/>
      <c r="F2191" s="15"/>
      <c r="G2191" s="4"/>
    </row>
    <row r="2192" ht="14.25" customHeight="1">
      <c r="A2192" s="8" t="s">
        <v>4513</v>
      </c>
      <c r="B2192" s="8">
        <v>3.1</v>
      </c>
      <c r="C2192" s="4"/>
      <c r="D2192" s="31"/>
      <c r="E2192" s="4"/>
      <c r="F2192" s="15"/>
      <c r="G2192" s="4"/>
    </row>
    <row r="2193" ht="14.25" customHeight="1">
      <c r="A2193" s="8" t="s">
        <v>4246</v>
      </c>
      <c r="B2193" s="8">
        <v>6.3</v>
      </c>
      <c r="C2193" s="4"/>
      <c r="D2193" s="31"/>
      <c r="E2193" s="4"/>
      <c r="F2193" s="15"/>
      <c r="G2193" s="4"/>
    </row>
    <row r="2194" ht="14.25" customHeight="1">
      <c r="A2194" s="8" t="s">
        <v>2904</v>
      </c>
      <c r="B2194" s="8">
        <v>5.7</v>
      </c>
      <c r="C2194" s="4"/>
      <c r="D2194" s="31"/>
      <c r="E2194" s="4"/>
      <c r="F2194" s="15"/>
      <c r="G2194" s="4"/>
    </row>
    <row r="2195" ht="14.25" customHeight="1">
      <c r="A2195" s="8" t="s">
        <v>4519</v>
      </c>
      <c r="B2195" s="8">
        <v>7.1</v>
      </c>
      <c r="C2195" s="4"/>
      <c r="D2195" s="31"/>
      <c r="E2195" s="4"/>
      <c r="F2195" s="15"/>
      <c r="G2195" s="4"/>
    </row>
    <row r="2196" ht="14.25" customHeight="1">
      <c r="A2196" s="8" t="s">
        <v>827</v>
      </c>
      <c r="B2196" s="8">
        <v>7.0</v>
      </c>
      <c r="C2196" s="4"/>
      <c r="D2196" s="31"/>
      <c r="E2196" s="4"/>
      <c r="F2196" s="15"/>
      <c r="G2196" s="4"/>
    </row>
    <row r="2197" ht="14.25" customHeight="1">
      <c r="A2197" s="8" t="s">
        <v>2829</v>
      </c>
      <c r="B2197" s="8">
        <v>6.1</v>
      </c>
      <c r="C2197" s="4"/>
      <c r="D2197" s="31"/>
      <c r="E2197" s="4"/>
      <c r="F2197" s="15"/>
      <c r="G2197" s="4"/>
    </row>
    <row r="2198" ht="14.25" customHeight="1">
      <c r="A2198" s="8" t="s">
        <v>397</v>
      </c>
      <c r="B2198" s="8">
        <v>6.6</v>
      </c>
      <c r="C2198" s="4"/>
      <c r="D2198" s="31"/>
      <c r="E2198" s="4"/>
      <c r="F2198" s="15"/>
      <c r="G2198" s="4"/>
    </row>
    <row r="2199" ht="14.25" customHeight="1">
      <c r="A2199" s="8" t="s">
        <v>545</v>
      </c>
      <c r="B2199" s="8">
        <v>7.8</v>
      </c>
      <c r="C2199" s="4"/>
      <c r="D2199" s="31"/>
      <c r="E2199" s="4"/>
      <c r="F2199" s="15"/>
      <c r="G2199" s="4"/>
    </row>
    <row r="2200" ht="14.25" customHeight="1">
      <c r="A2200" s="8" t="s">
        <v>2003</v>
      </c>
      <c r="B2200" s="8">
        <v>8.3</v>
      </c>
      <c r="C2200" s="4"/>
      <c r="D2200" s="31"/>
      <c r="E2200" s="4"/>
      <c r="F2200" s="15"/>
      <c r="G2200" s="4"/>
    </row>
    <row r="2201" ht="14.25" customHeight="1">
      <c r="A2201" s="8" t="s">
        <v>4529</v>
      </c>
      <c r="B2201" s="8">
        <v>3.9</v>
      </c>
      <c r="C2201" s="4"/>
      <c r="D2201" s="31"/>
      <c r="E2201" s="4"/>
      <c r="F2201" s="15"/>
      <c r="G2201" s="4"/>
    </row>
    <row r="2202" ht="14.25" customHeight="1">
      <c r="A2202" s="8" t="s">
        <v>863</v>
      </c>
      <c r="B2202" s="8">
        <v>7.0</v>
      </c>
      <c r="C2202" s="4"/>
      <c r="D2202" s="31"/>
      <c r="E2202" s="4"/>
      <c r="F2202" s="15"/>
      <c r="G2202" s="4"/>
    </row>
    <row r="2203" ht="14.25" customHeight="1">
      <c r="A2203" s="8" t="s">
        <v>4532</v>
      </c>
      <c r="B2203" s="8">
        <v>6.7</v>
      </c>
      <c r="C2203" s="4"/>
      <c r="D2203" s="31"/>
      <c r="E2203" s="4"/>
      <c r="F2203" s="15"/>
      <c r="G2203" s="4"/>
    </row>
    <row r="2204" ht="14.25" customHeight="1">
      <c r="A2204" s="8" t="s">
        <v>4490</v>
      </c>
      <c r="B2204" s="8">
        <v>7.3</v>
      </c>
      <c r="C2204" s="4"/>
      <c r="D2204" s="31"/>
      <c r="E2204" s="4"/>
      <c r="F2204" s="15"/>
      <c r="G2204" s="4"/>
    </row>
    <row r="2205" ht="14.25" customHeight="1">
      <c r="A2205" s="8" t="s">
        <v>1957</v>
      </c>
      <c r="B2205" s="8">
        <v>6.3</v>
      </c>
      <c r="C2205" s="4"/>
      <c r="D2205" s="31"/>
      <c r="E2205" s="4"/>
      <c r="F2205" s="15"/>
      <c r="G2205" s="4"/>
    </row>
    <row r="2206" ht="14.25" customHeight="1">
      <c r="A2206" s="8" t="s">
        <v>476</v>
      </c>
      <c r="B2206" s="8">
        <v>7.8</v>
      </c>
      <c r="C2206" s="4"/>
      <c r="D2206" s="31"/>
      <c r="E2206" s="4"/>
      <c r="F2206" s="15"/>
      <c r="G2206" s="4"/>
    </row>
    <row r="2207" ht="14.25" customHeight="1">
      <c r="A2207" s="8" t="s">
        <v>3268</v>
      </c>
      <c r="B2207" s="8">
        <v>7.3</v>
      </c>
      <c r="C2207" s="4"/>
      <c r="D2207" s="31"/>
      <c r="E2207" s="4"/>
      <c r="F2207" s="15"/>
      <c r="G2207" s="4"/>
    </row>
    <row r="2208" ht="14.25" customHeight="1">
      <c r="A2208" s="8" t="s">
        <v>484</v>
      </c>
      <c r="B2208" s="8">
        <v>7.6</v>
      </c>
      <c r="C2208" s="4"/>
      <c r="D2208" s="31"/>
      <c r="E2208" s="4"/>
      <c r="F2208" s="15"/>
      <c r="G2208" s="4"/>
    </row>
    <row r="2209" ht="14.25" customHeight="1">
      <c r="A2209" s="8" t="s">
        <v>4543</v>
      </c>
      <c r="B2209" s="8">
        <v>5.3</v>
      </c>
      <c r="C2209" s="4"/>
      <c r="D2209" s="31"/>
      <c r="E2209" s="4"/>
      <c r="F2209" s="15"/>
      <c r="G2209" s="4"/>
    </row>
    <row r="2210" ht="14.25" customHeight="1">
      <c r="A2210" s="8" t="s">
        <v>430</v>
      </c>
      <c r="B2210" s="8">
        <v>7.9</v>
      </c>
      <c r="C2210" s="4"/>
      <c r="D2210" s="31"/>
      <c r="E2210" s="4"/>
      <c r="F2210" s="15"/>
      <c r="G2210" s="4"/>
    </row>
    <row r="2211" ht="14.25" customHeight="1">
      <c r="A2211" s="8" t="s">
        <v>4546</v>
      </c>
      <c r="B2211" s="8">
        <v>5.3</v>
      </c>
      <c r="C2211" s="4"/>
      <c r="D2211" s="31"/>
      <c r="E2211" s="4"/>
      <c r="F2211" s="15"/>
      <c r="G2211" s="4"/>
    </row>
    <row r="2212" ht="14.25" customHeight="1">
      <c r="A2212" s="8" t="s">
        <v>2158</v>
      </c>
      <c r="B2212" s="8">
        <v>6.8</v>
      </c>
      <c r="C2212" s="4"/>
      <c r="D2212" s="31"/>
      <c r="E2212" s="4"/>
      <c r="F2212" s="15"/>
      <c r="G2212" s="4"/>
    </row>
    <row r="2213" ht="14.25" customHeight="1">
      <c r="A2213" s="8" t="s">
        <v>4550</v>
      </c>
      <c r="B2213" s="8">
        <v>7.1</v>
      </c>
      <c r="C2213" s="4"/>
      <c r="D2213" s="31"/>
      <c r="E2213" s="4"/>
      <c r="F2213" s="15"/>
      <c r="G2213" s="4"/>
    </row>
    <row r="2214" ht="14.25" customHeight="1">
      <c r="A2214" s="8" t="s">
        <v>4553</v>
      </c>
      <c r="B2214" s="8">
        <v>5.8</v>
      </c>
      <c r="C2214" s="4"/>
      <c r="D2214" s="31"/>
      <c r="E2214" s="4"/>
      <c r="F2214" s="15"/>
      <c r="G2214" s="4"/>
    </row>
    <row r="2215" ht="14.25" customHeight="1">
      <c r="A2215" s="8" t="s">
        <v>3768</v>
      </c>
      <c r="B2215" s="8">
        <v>5.8</v>
      </c>
      <c r="C2215" s="4"/>
      <c r="D2215" s="31"/>
      <c r="E2215" s="4"/>
      <c r="F2215" s="15"/>
      <c r="G2215" s="4"/>
    </row>
    <row r="2216" ht="14.25" customHeight="1">
      <c r="A2216" s="8" t="s">
        <v>208</v>
      </c>
      <c r="B2216" s="8">
        <v>8.3</v>
      </c>
      <c r="C2216" s="4"/>
      <c r="D2216" s="31"/>
      <c r="E2216" s="4"/>
      <c r="F2216" s="15"/>
      <c r="G2216" s="4"/>
    </row>
    <row r="2217" ht="14.25" customHeight="1">
      <c r="A2217" s="8" t="s">
        <v>4558</v>
      </c>
      <c r="B2217" s="8">
        <v>5.6</v>
      </c>
      <c r="C2217" s="4"/>
      <c r="D2217" s="31"/>
      <c r="E2217" s="4"/>
      <c r="F2217" s="15"/>
      <c r="G2217" s="4"/>
    </row>
    <row r="2218" ht="14.25" customHeight="1">
      <c r="A2218" s="8" t="s">
        <v>1274</v>
      </c>
      <c r="B2218" s="8">
        <v>6.8</v>
      </c>
      <c r="C2218" s="4"/>
      <c r="D2218" s="31"/>
      <c r="E2218" s="4"/>
      <c r="F2218" s="15"/>
      <c r="G2218" s="4"/>
    </row>
    <row r="2219" ht="14.25" customHeight="1">
      <c r="A2219" s="8" t="s">
        <v>4563</v>
      </c>
      <c r="B2219" s="8">
        <v>5.0</v>
      </c>
      <c r="C2219" s="4"/>
      <c r="D2219" s="31"/>
      <c r="E2219" s="4"/>
      <c r="F2219" s="15"/>
      <c r="G2219" s="4"/>
    </row>
    <row r="2220" ht="14.25" customHeight="1">
      <c r="A2220" s="8" t="s">
        <v>2132</v>
      </c>
      <c r="B2220" s="8">
        <v>7.6</v>
      </c>
      <c r="C2220" s="4"/>
      <c r="D2220" s="31"/>
      <c r="E2220" s="4"/>
      <c r="F2220" s="15"/>
      <c r="G2220" s="4"/>
    </row>
    <row r="2221" ht="14.25" customHeight="1">
      <c r="A2221" s="8" t="s">
        <v>3268</v>
      </c>
      <c r="B2221" s="8">
        <v>6.7</v>
      </c>
      <c r="C2221" s="4"/>
      <c r="D2221" s="31"/>
      <c r="E2221" s="4"/>
      <c r="F2221" s="15"/>
      <c r="G2221" s="4"/>
    </row>
    <row r="2222" ht="14.25" customHeight="1">
      <c r="A2222" s="8" t="s">
        <v>4568</v>
      </c>
      <c r="B2222" s="8">
        <v>6.7</v>
      </c>
      <c r="C2222" s="4"/>
      <c r="D2222" s="31"/>
      <c r="E2222" s="4"/>
      <c r="F2222" s="15"/>
      <c r="G2222" s="4"/>
    </row>
    <row r="2223" ht="14.25" customHeight="1">
      <c r="A2223" s="8" t="s">
        <v>4018</v>
      </c>
      <c r="B2223" s="8">
        <v>5.7</v>
      </c>
      <c r="C2223" s="4"/>
      <c r="D2223" s="31"/>
      <c r="E2223" s="4"/>
      <c r="F2223" s="15"/>
      <c r="G2223" s="4"/>
    </row>
    <row r="2224" ht="14.25" customHeight="1">
      <c r="A2224" s="8" t="s">
        <v>4572</v>
      </c>
      <c r="B2224" s="8">
        <v>5.2</v>
      </c>
      <c r="C2224" s="4"/>
      <c r="D2224" s="31"/>
      <c r="E2224" s="4"/>
      <c r="F2224" s="15"/>
      <c r="G2224" s="4"/>
    </row>
    <row r="2225" ht="14.25" customHeight="1">
      <c r="A2225" s="8" t="s">
        <v>2668</v>
      </c>
      <c r="B2225" s="8">
        <v>7.5</v>
      </c>
      <c r="C2225" s="4"/>
      <c r="D2225" s="31"/>
      <c r="E2225" s="4"/>
      <c r="F2225" s="15"/>
      <c r="G2225" s="4"/>
    </row>
    <row r="2226" ht="14.25" customHeight="1">
      <c r="A2226" s="8" t="s">
        <v>2132</v>
      </c>
      <c r="B2226" s="8">
        <v>7.2</v>
      </c>
      <c r="C2226" s="4"/>
      <c r="D2226" s="31"/>
      <c r="E2226" s="4"/>
      <c r="F2226" s="15"/>
      <c r="G2226" s="4"/>
    </row>
    <row r="2227" ht="14.25" customHeight="1">
      <c r="A2227" s="8" t="s">
        <v>524</v>
      </c>
      <c r="B2227" s="8">
        <v>5.3</v>
      </c>
      <c r="C2227" s="4"/>
      <c r="D2227" s="31"/>
      <c r="E2227" s="4"/>
      <c r="F2227" s="15"/>
      <c r="G2227" s="4"/>
    </row>
    <row r="2228" ht="14.25" customHeight="1">
      <c r="A2228" s="8" t="s">
        <v>3508</v>
      </c>
      <c r="B2228" s="8">
        <v>6.5</v>
      </c>
      <c r="C2228" s="4"/>
      <c r="D2228" s="31"/>
      <c r="E2228" s="4"/>
      <c r="F2228" s="15"/>
      <c r="G2228" s="4"/>
    </row>
    <row r="2229" ht="14.25" customHeight="1">
      <c r="A2229" s="8" t="s">
        <v>4579</v>
      </c>
      <c r="B2229" s="8">
        <v>5.0</v>
      </c>
      <c r="C2229" s="4"/>
      <c r="D2229" s="31"/>
      <c r="E2229" s="4"/>
      <c r="F2229" s="15"/>
      <c r="G2229" s="4"/>
    </row>
    <row r="2230" ht="14.25" customHeight="1">
      <c r="A2230" s="8" t="s">
        <v>4582</v>
      </c>
      <c r="B2230" s="8">
        <v>6.1</v>
      </c>
      <c r="C2230" s="4"/>
      <c r="D2230" s="31"/>
      <c r="E2230" s="4"/>
      <c r="F2230" s="15"/>
      <c r="G2230" s="4"/>
    </row>
    <row r="2231" ht="14.25" customHeight="1">
      <c r="A2231" s="8" t="s">
        <v>4584</v>
      </c>
      <c r="B2231" s="8">
        <v>4.4</v>
      </c>
      <c r="C2231" s="4"/>
      <c r="D2231" s="31"/>
      <c r="E2231" s="4"/>
      <c r="F2231" s="15"/>
      <c r="G2231" s="4"/>
    </row>
    <row r="2232" ht="14.25" customHeight="1">
      <c r="A2232" s="8" t="s">
        <v>448</v>
      </c>
      <c r="B2232" s="8">
        <v>7.5</v>
      </c>
      <c r="C2232" s="4"/>
      <c r="D2232" s="31"/>
      <c r="E2232" s="4"/>
      <c r="F2232" s="15"/>
      <c r="G2232" s="4"/>
    </row>
    <row r="2233" ht="14.25" customHeight="1">
      <c r="A2233" s="8" t="s">
        <v>1580</v>
      </c>
      <c r="B2233" s="8">
        <v>5.7</v>
      </c>
      <c r="C2233" s="4"/>
      <c r="D2233" s="31"/>
      <c r="E2233" s="4"/>
      <c r="F2233" s="15"/>
      <c r="G2233" s="4"/>
    </row>
    <row r="2234" ht="14.25" customHeight="1">
      <c r="A2234" s="8" t="s">
        <v>4591</v>
      </c>
      <c r="B2234" s="8">
        <v>5.5</v>
      </c>
      <c r="C2234" s="4"/>
      <c r="D2234" s="31"/>
      <c r="E2234" s="4"/>
      <c r="F2234" s="15"/>
      <c r="G2234" s="4"/>
    </row>
    <row r="2235" ht="14.25" customHeight="1">
      <c r="A2235" s="8" t="s">
        <v>4593</v>
      </c>
      <c r="B2235" s="8">
        <v>7.1</v>
      </c>
      <c r="C2235" s="4"/>
      <c r="D2235" s="31"/>
      <c r="E2235" s="4"/>
      <c r="F2235" s="15"/>
      <c r="G2235" s="4"/>
    </row>
    <row r="2236" ht="14.25" customHeight="1">
      <c r="A2236" s="8" t="s">
        <v>2085</v>
      </c>
      <c r="B2236" s="8">
        <v>5.9</v>
      </c>
      <c r="C2236" s="4"/>
      <c r="D2236" s="31"/>
      <c r="E2236" s="4"/>
      <c r="F2236" s="15"/>
      <c r="G2236" s="4"/>
    </row>
    <row r="2237" ht="14.25" customHeight="1">
      <c r="A2237" s="8" t="s">
        <v>4597</v>
      </c>
      <c r="B2237" s="8">
        <v>6.7</v>
      </c>
      <c r="C2237" s="4"/>
      <c r="D2237" s="31"/>
      <c r="E2237" s="4"/>
      <c r="F2237" s="15"/>
      <c r="G2237" s="4"/>
    </row>
    <row r="2238" ht="14.25" customHeight="1">
      <c r="A2238" s="8" t="s">
        <v>3666</v>
      </c>
      <c r="B2238" s="8">
        <v>7.0</v>
      </c>
      <c r="C2238" s="4"/>
      <c r="D2238" s="31"/>
      <c r="E2238" s="4"/>
      <c r="F2238" s="15"/>
      <c r="G2238" s="4"/>
    </row>
    <row r="2239" ht="14.25" customHeight="1">
      <c r="A2239" s="8" t="s">
        <v>111</v>
      </c>
      <c r="B2239" s="8">
        <v>7.9</v>
      </c>
      <c r="C2239" s="4"/>
      <c r="D2239" s="31"/>
      <c r="E2239" s="4"/>
      <c r="F2239" s="15"/>
      <c r="G2239" s="4"/>
    </row>
    <row r="2240" ht="14.25" customHeight="1">
      <c r="A2240" s="8" t="s">
        <v>3240</v>
      </c>
      <c r="B2240" s="8">
        <v>6.9</v>
      </c>
      <c r="C2240" s="4"/>
      <c r="D2240" s="31"/>
      <c r="E2240" s="4"/>
      <c r="F2240" s="15"/>
      <c r="G2240" s="4"/>
    </row>
    <row r="2241" ht="14.25" customHeight="1">
      <c r="A2241" s="8" t="s">
        <v>852</v>
      </c>
      <c r="B2241" s="8">
        <v>7.3</v>
      </c>
      <c r="C2241" s="4"/>
      <c r="D2241" s="31"/>
      <c r="E2241" s="4"/>
      <c r="F2241" s="15"/>
      <c r="G2241" s="4"/>
    </row>
    <row r="2242" ht="14.25" customHeight="1">
      <c r="A2242" s="8" t="s">
        <v>538</v>
      </c>
      <c r="B2242" s="8">
        <v>7.3</v>
      </c>
      <c r="C2242" s="4"/>
      <c r="D2242" s="31"/>
      <c r="E2242" s="4"/>
      <c r="F2242" s="15"/>
      <c r="G2242" s="4"/>
    </row>
    <row r="2243" ht="14.25" customHeight="1">
      <c r="A2243" s="8" t="s">
        <v>4608</v>
      </c>
      <c r="B2243" s="8">
        <v>3.5</v>
      </c>
      <c r="C2243" s="4"/>
      <c r="D2243" s="31"/>
      <c r="E2243" s="4"/>
      <c r="F2243" s="15"/>
      <c r="G2243" s="4"/>
    </row>
    <row r="2244" ht="14.25" customHeight="1">
      <c r="A2244" s="8" t="s">
        <v>364</v>
      </c>
      <c r="B2244" s="8">
        <v>7.8</v>
      </c>
      <c r="C2244" s="4"/>
      <c r="D2244" s="31"/>
      <c r="E2244" s="4"/>
      <c r="F2244" s="15"/>
      <c r="G2244" s="4"/>
    </row>
    <row r="2245" ht="14.25" customHeight="1">
      <c r="A2245" s="8" t="s">
        <v>4613</v>
      </c>
      <c r="B2245" s="8">
        <v>6.7</v>
      </c>
      <c r="C2245" s="4"/>
      <c r="D2245" s="31"/>
      <c r="E2245" s="4"/>
      <c r="F2245" s="15"/>
      <c r="G2245" s="4"/>
    </row>
    <row r="2246" ht="14.25" customHeight="1">
      <c r="A2246" s="8" t="s">
        <v>3268</v>
      </c>
      <c r="B2246" s="8">
        <v>6.4</v>
      </c>
      <c r="C2246" s="4"/>
      <c r="D2246" s="31"/>
      <c r="E2246" s="4"/>
      <c r="F2246" s="15"/>
      <c r="G2246" s="4"/>
    </row>
    <row r="2247" ht="14.25" customHeight="1">
      <c r="A2247" s="8" t="s">
        <v>4616</v>
      </c>
      <c r="B2247" s="8">
        <v>7.1</v>
      </c>
      <c r="C2247" s="4"/>
      <c r="D2247" s="31"/>
      <c r="E2247" s="4"/>
      <c r="F2247" s="15"/>
      <c r="G2247" s="4"/>
    </row>
    <row r="2248" ht="14.25" customHeight="1">
      <c r="A2248" s="8" t="s">
        <v>4619</v>
      </c>
      <c r="B2248" s="8">
        <v>7.8</v>
      </c>
      <c r="C2248" s="4"/>
      <c r="D2248" s="31"/>
      <c r="E2248" s="4"/>
      <c r="F2248" s="15"/>
      <c r="G2248" s="4"/>
    </row>
    <row r="2249" ht="14.25" customHeight="1">
      <c r="A2249" s="8" t="s">
        <v>4622</v>
      </c>
      <c r="B2249" s="8">
        <v>5.9</v>
      </c>
      <c r="C2249" s="4"/>
      <c r="D2249" s="31"/>
      <c r="E2249" s="4"/>
      <c r="F2249" s="15"/>
      <c r="G2249" s="4"/>
    </row>
    <row r="2250" ht="14.25" customHeight="1">
      <c r="A2250" s="8" t="s">
        <v>1093</v>
      </c>
      <c r="B2250" s="8">
        <v>7.2</v>
      </c>
      <c r="C2250" s="4"/>
      <c r="D2250" s="31"/>
      <c r="E2250" s="4"/>
      <c r="F2250" s="15"/>
      <c r="G2250" s="4"/>
    </row>
    <row r="2251" ht="14.25" customHeight="1">
      <c r="A2251" s="8" t="s">
        <v>4626</v>
      </c>
      <c r="B2251" s="8">
        <v>6.2</v>
      </c>
      <c r="C2251" s="4"/>
      <c r="D2251" s="31"/>
      <c r="E2251" s="4"/>
      <c r="F2251" s="15"/>
      <c r="G2251" s="4"/>
    </row>
    <row r="2252" ht="14.25" customHeight="1">
      <c r="A2252" s="8" t="s">
        <v>4629</v>
      </c>
      <c r="B2252" s="8">
        <v>6.7</v>
      </c>
      <c r="C2252" s="4"/>
      <c r="D2252" s="31"/>
      <c r="E2252" s="4"/>
      <c r="F2252" s="15"/>
      <c r="G2252" s="4"/>
    </row>
    <row r="2253" ht="14.25" customHeight="1">
      <c r="A2253" s="8" t="s">
        <v>2607</v>
      </c>
      <c r="B2253" s="8">
        <v>7.6</v>
      </c>
      <c r="C2253" s="4"/>
      <c r="D2253" s="31"/>
      <c r="E2253" s="4"/>
      <c r="F2253" s="15"/>
      <c r="G2253" s="4"/>
    </row>
    <row r="2254" ht="14.25" customHeight="1">
      <c r="A2254" s="8" t="s">
        <v>451</v>
      </c>
      <c r="B2254" s="8">
        <v>6.2</v>
      </c>
      <c r="C2254" s="4"/>
      <c r="D2254" s="31"/>
      <c r="E2254" s="4"/>
      <c r="F2254" s="15"/>
      <c r="G2254" s="4"/>
    </row>
    <row r="2255" ht="14.25" customHeight="1">
      <c r="A2255" s="8" t="s">
        <v>4635</v>
      </c>
      <c r="B2255" s="8">
        <v>6.5</v>
      </c>
      <c r="C2255" s="4"/>
      <c r="D2255" s="31"/>
      <c r="E2255" s="4"/>
      <c r="F2255" s="15"/>
      <c r="G2255" s="4"/>
    </row>
    <row r="2256" ht="14.25" customHeight="1">
      <c r="A2256" s="8" t="s">
        <v>4638</v>
      </c>
      <c r="B2256" s="8">
        <v>8.1</v>
      </c>
      <c r="C2256" s="4"/>
      <c r="D2256" s="31"/>
      <c r="E2256" s="4"/>
      <c r="F2256" s="15"/>
      <c r="G2256" s="4"/>
    </row>
    <row r="2257" ht="14.25" customHeight="1">
      <c r="A2257" s="8" t="s">
        <v>4640</v>
      </c>
      <c r="B2257" s="8">
        <v>6.3</v>
      </c>
      <c r="C2257" s="4"/>
      <c r="D2257" s="31"/>
      <c r="E2257" s="4"/>
      <c r="F2257" s="15"/>
      <c r="G2257" s="4"/>
    </row>
    <row r="2258" ht="14.25" customHeight="1">
      <c r="A2258" s="8" t="s">
        <v>4643</v>
      </c>
      <c r="B2258" s="8">
        <v>4.4</v>
      </c>
      <c r="C2258" s="4"/>
      <c r="D2258" s="31"/>
      <c r="E2258" s="4"/>
      <c r="F2258" s="15"/>
      <c r="G2258" s="4"/>
    </row>
    <row r="2259" ht="14.25" customHeight="1">
      <c r="A2259" s="8" t="s">
        <v>4647</v>
      </c>
      <c r="B2259" s="8">
        <v>6.0</v>
      </c>
      <c r="C2259" s="4"/>
      <c r="D2259" s="31"/>
      <c r="E2259" s="4"/>
      <c r="F2259" s="15"/>
      <c r="G2259" s="4"/>
    </row>
    <row r="2260" ht="14.25" customHeight="1">
      <c r="A2260" s="8" t="s">
        <v>1456</v>
      </c>
      <c r="B2260" s="8">
        <v>7.6</v>
      </c>
      <c r="C2260" s="4"/>
      <c r="D2260" s="31"/>
      <c r="E2260" s="4"/>
      <c r="F2260" s="15"/>
      <c r="G2260" s="4"/>
    </row>
    <row r="2261" ht="14.25" customHeight="1">
      <c r="A2261" s="8" t="s">
        <v>12</v>
      </c>
      <c r="B2261" s="8">
        <v>8.4</v>
      </c>
      <c r="C2261" s="4"/>
      <c r="D2261" s="31"/>
      <c r="E2261" s="4"/>
      <c r="F2261" s="15"/>
      <c r="G2261" s="4"/>
    </row>
    <row r="2262" ht="14.25" customHeight="1">
      <c r="A2262" s="8" t="s">
        <v>4653</v>
      </c>
      <c r="B2262" s="8">
        <v>7.9</v>
      </c>
      <c r="C2262" s="4"/>
      <c r="D2262" s="31"/>
      <c r="E2262" s="4"/>
      <c r="F2262" s="15"/>
      <c r="G2262" s="4"/>
    </row>
    <row r="2263" ht="14.25" customHeight="1">
      <c r="A2263" s="8" t="s">
        <v>4657</v>
      </c>
      <c r="B2263" s="8">
        <v>5.6</v>
      </c>
      <c r="C2263" s="4"/>
      <c r="D2263" s="31"/>
      <c r="E2263" s="4"/>
      <c r="F2263" s="15"/>
      <c r="G2263" s="4"/>
    </row>
    <row r="2264" ht="14.25" customHeight="1">
      <c r="A2264" s="8" t="s">
        <v>2954</v>
      </c>
      <c r="B2264" s="8">
        <v>6.5</v>
      </c>
      <c r="C2264" s="4"/>
      <c r="D2264" s="31"/>
      <c r="E2264" s="4"/>
      <c r="F2264" s="15"/>
      <c r="G2264" s="4"/>
    </row>
    <row r="2265" ht="14.25" customHeight="1">
      <c r="A2265" s="8" t="s">
        <v>3242</v>
      </c>
      <c r="B2265" s="8">
        <v>7.5</v>
      </c>
      <c r="C2265" s="4"/>
      <c r="D2265" s="31"/>
      <c r="E2265" s="4"/>
      <c r="F2265" s="15"/>
      <c r="G2265" s="4"/>
    </row>
    <row r="2266" ht="14.25" customHeight="1">
      <c r="A2266" s="8" t="s">
        <v>1996</v>
      </c>
      <c r="B2266" s="8">
        <v>6.3</v>
      </c>
      <c r="C2266" s="4"/>
      <c r="D2266" s="31"/>
      <c r="E2266" s="4"/>
      <c r="F2266" s="15"/>
      <c r="G2266" s="4"/>
    </row>
    <row r="2267" ht="14.25" customHeight="1">
      <c r="A2267" s="8" t="s">
        <v>2158</v>
      </c>
      <c r="B2267" s="8">
        <v>7.9</v>
      </c>
      <c r="C2267" s="4"/>
      <c r="D2267" s="31"/>
      <c r="E2267" s="4"/>
      <c r="F2267" s="15"/>
      <c r="G2267" s="4"/>
    </row>
    <row r="2268" ht="14.25" customHeight="1">
      <c r="A2268" s="8" t="s">
        <v>4664</v>
      </c>
      <c r="B2268" s="8">
        <v>5.1</v>
      </c>
      <c r="C2268" s="4"/>
      <c r="D2268" s="31"/>
      <c r="E2268" s="4"/>
      <c r="F2268" s="15"/>
      <c r="G2268" s="4"/>
    </row>
    <row r="2269" ht="14.25" customHeight="1">
      <c r="A2269" s="8" t="s">
        <v>3550</v>
      </c>
      <c r="B2269" s="8">
        <v>6.7</v>
      </c>
      <c r="C2269" s="4"/>
      <c r="D2269" s="31"/>
      <c r="E2269" s="4"/>
      <c r="F2269" s="15"/>
      <c r="G2269" s="4"/>
    </row>
    <row r="2270" ht="14.25" customHeight="1">
      <c r="A2270" s="8" t="s">
        <v>3711</v>
      </c>
      <c r="B2270" s="8">
        <v>6.7</v>
      </c>
      <c r="C2270" s="4"/>
      <c r="D2270" s="31"/>
      <c r="E2270" s="4"/>
      <c r="F2270" s="15"/>
      <c r="G2270" s="4"/>
    </row>
    <row r="2271" ht="14.25" customHeight="1">
      <c r="A2271" s="8" t="s">
        <v>4669</v>
      </c>
      <c r="B2271" s="8">
        <v>5.6</v>
      </c>
      <c r="C2271" s="4"/>
      <c r="D2271" s="31"/>
      <c r="E2271" s="4"/>
      <c r="F2271" s="15"/>
      <c r="G2271" s="4"/>
    </row>
    <row r="2272" ht="14.25" customHeight="1">
      <c r="A2272" s="8" t="s">
        <v>1542</v>
      </c>
      <c r="B2272" s="8">
        <v>5.6</v>
      </c>
      <c r="C2272" s="4"/>
      <c r="D2272" s="31"/>
      <c r="E2272" s="4"/>
      <c r="F2272" s="15"/>
      <c r="G2272" s="4"/>
    </row>
    <row r="2273" ht="14.25" customHeight="1">
      <c r="A2273" s="8" t="s">
        <v>129</v>
      </c>
      <c r="B2273" s="8">
        <v>6.8</v>
      </c>
      <c r="C2273" s="4"/>
      <c r="D2273" s="31"/>
      <c r="E2273" s="4"/>
      <c r="F2273" s="15"/>
      <c r="G2273" s="4"/>
    </row>
    <row r="2274" ht="14.25" customHeight="1">
      <c r="A2274" s="8" t="s">
        <v>4673</v>
      </c>
      <c r="B2274" s="8">
        <v>6.2</v>
      </c>
      <c r="C2274" s="4"/>
      <c r="D2274" s="31"/>
      <c r="E2274" s="4"/>
      <c r="F2274" s="15"/>
      <c r="G2274" s="4"/>
    </row>
    <row r="2275" ht="14.25" customHeight="1">
      <c r="A2275" s="8" t="s">
        <v>4676</v>
      </c>
      <c r="B2275" s="8">
        <v>5.6</v>
      </c>
      <c r="C2275" s="4"/>
      <c r="D2275" s="31"/>
      <c r="E2275" s="4"/>
      <c r="F2275" s="15"/>
      <c r="G2275" s="4"/>
    </row>
    <row r="2276" ht="14.25" customHeight="1">
      <c r="A2276" s="8" t="s">
        <v>2969</v>
      </c>
      <c r="B2276" s="8">
        <v>6.4</v>
      </c>
      <c r="C2276" s="4"/>
      <c r="D2276" s="31"/>
      <c r="E2276" s="4"/>
      <c r="F2276" s="15"/>
      <c r="G2276" s="4"/>
    </row>
    <row r="2277" ht="14.25" customHeight="1">
      <c r="A2277" s="8" t="s">
        <v>1861</v>
      </c>
      <c r="B2277" s="8">
        <v>5.6</v>
      </c>
      <c r="C2277" s="4"/>
      <c r="D2277" s="31"/>
      <c r="E2277" s="4"/>
      <c r="F2277" s="15"/>
      <c r="G2277" s="4"/>
    </row>
    <row r="2278" ht="14.25" customHeight="1">
      <c r="A2278" s="8" t="s">
        <v>3377</v>
      </c>
      <c r="B2278" s="8">
        <v>7.4</v>
      </c>
      <c r="C2278" s="4"/>
      <c r="D2278" s="31"/>
      <c r="E2278" s="4"/>
      <c r="F2278" s="15"/>
      <c r="G2278" s="4"/>
    </row>
    <row r="2279" ht="14.25" customHeight="1">
      <c r="A2279" s="8" t="s">
        <v>4683</v>
      </c>
      <c r="B2279" s="8">
        <v>7.2</v>
      </c>
      <c r="C2279" s="4"/>
      <c r="D2279" s="31"/>
      <c r="E2279" s="4"/>
      <c r="F2279" s="15"/>
      <c r="G2279" s="4"/>
    </row>
    <row r="2280" ht="14.25" customHeight="1">
      <c r="A2280" s="8" t="s">
        <v>2924</v>
      </c>
      <c r="B2280" s="8">
        <v>4.9</v>
      </c>
      <c r="C2280" s="4"/>
      <c r="D2280" s="31"/>
      <c r="E2280" s="4"/>
      <c r="F2280" s="15"/>
      <c r="G2280" s="4"/>
    </row>
    <row r="2281" ht="14.25" customHeight="1">
      <c r="A2281" s="8" t="s">
        <v>33</v>
      </c>
      <c r="B2281" s="8">
        <v>7.5</v>
      </c>
      <c r="C2281" s="4"/>
      <c r="D2281" s="31"/>
      <c r="E2281" s="4"/>
      <c r="F2281" s="15"/>
      <c r="G2281" s="4"/>
    </row>
    <row r="2282" ht="14.25" customHeight="1">
      <c r="A2282" s="8" t="s">
        <v>4687</v>
      </c>
      <c r="B2282" s="8">
        <v>4.8</v>
      </c>
      <c r="C2282" s="4"/>
      <c r="D2282" s="31"/>
      <c r="E2282" s="4"/>
      <c r="F2282" s="15"/>
      <c r="G2282" s="4"/>
    </row>
    <row r="2283" ht="14.25" customHeight="1">
      <c r="A2283" s="8" t="s">
        <v>4689</v>
      </c>
      <c r="B2283" s="8">
        <v>3.1</v>
      </c>
      <c r="C2283" s="4"/>
      <c r="D2283" s="31"/>
      <c r="E2283" s="4"/>
      <c r="F2283" s="15"/>
      <c r="G2283" s="4"/>
    </row>
    <row r="2284" ht="14.25" customHeight="1">
      <c r="A2284" s="8" t="s">
        <v>4692</v>
      </c>
      <c r="B2284" s="8">
        <v>5.8</v>
      </c>
      <c r="C2284" s="4"/>
      <c r="D2284" s="31"/>
      <c r="E2284" s="4"/>
      <c r="F2284" s="15"/>
      <c r="G2284" s="4"/>
    </row>
    <row r="2285" ht="14.25" customHeight="1">
      <c r="A2285" s="8" t="s">
        <v>1263</v>
      </c>
      <c r="B2285" s="8">
        <v>6.7</v>
      </c>
      <c r="C2285" s="4"/>
      <c r="D2285" s="31"/>
      <c r="E2285" s="4"/>
      <c r="F2285" s="15"/>
      <c r="G2285" s="4"/>
    </row>
    <row r="2286" ht="14.25" customHeight="1">
      <c r="A2286" s="8" t="s">
        <v>4696</v>
      </c>
      <c r="B2286" s="8">
        <v>6.5</v>
      </c>
      <c r="C2286" s="4"/>
      <c r="D2286" s="31"/>
      <c r="E2286" s="4"/>
      <c r="F2286" s="15"/>
      <c r="G2286" s="4"/>
    </row>
    <row r="2287" ht="14.25" customHeight="1">
      <c r="A2287" s="8" t="s">
        <v>1727</v>
      </c>
      <c r="B2287" s="8">
        <v>5.9</v>
      </c>
      <c r="C2287" s="4"/>
      <c r="D2287" s="31"/>
      <c r="E2287" s="4"/>
      <c r="F2287" s="15"/>
      <c r="G2287" s="4"/>
    </row>
    <row r="2288" ht="14.25" customHeight="1">
      <c r="A2288" s="8" t="s">
        <v>724</v>
      </c>
      <c r="B2288" s="8">
        <v>5.5</v>
      </c>
      <c r="C2288" s="4"/>
      <c r="D2288" s="31"/>
      <c r="E2288" s="4"/>
      <c r="F2288" s="15"/>
      <c r="G2288" s="4"/>
    </row>
    <row r="2289" ht="14.25" customHeight="1">
      <c r="A2289" s="8" t="s">
        <v>4701</v>
      </c>
      <c r="B2289" s="8">
        <v>3.6</v>
      </c>
      <c r="C2289" s="4"/>
      <c r="D2289" s="31"/>
      <c r="E2289" s="4"/>
      <c r="F2289" s="15"/>
      <c r="G2289" s="4"/>
    </row>
    <row r="2290" ht="14.25" customHeight="1">
      <c r="A2290" s="8" t="s">
        <v>4703</v>
      </c>
      <c r="B2290" s="8">
        <v>7.4</v>
      </c>
      <c r="C2290" s="4"/>
      <c r="D2290" s="31"/>
      <c r="E2290" s="4"/>
      <c r="F2290" s="15"/>
      <c r="G2290" s="4"/>
    </row>
    <row r="2291" ht="14.25" customHeight="1">
      <c r="A2291" s="8" t="s">
        <v>4705</v>
      </c>
      <c r="B2291" s="8">
        <v>3.0</v>
      </c>
      <c r="C2291" s="4"/>
      <c r="D2291" s="31"/>
      <c r="E2291" s="4"/>
      <c r="F2291" s="15"/>
      <c r="G2291" s="4"/>
    </row>
    <row r="2292" ht="14.25" customHeight="1">
      <c r="A2292" s="8" t="s">
        <v>1006</v>
      </c>
      <c r="B2292" s="8">
        <v>7.6</v>
      </c>
      <c r="C2292" s="4"/>
      <c r="D2292" s="31"/>
      <c r="E2292" s="4"/>
      <c r="F2292" s="15"/>
      <c r="G2292" s="4"/>
    </row>
    <row r="2293" ht="14.25" customHeight="1">
      <c r="A2293" s="8" t="s">
        <v>4709</v>
      </c>
      <c r="B2293" s="8">
        <v>6.4</v>
      </c>
      <c r="C2293" s="4"/>
      <c r="D2293" s="31"/>
      <c r="E2293" s="4"/>
      <c r="F2293" s="15"/>
      <c r="G2293" s="4"/>
    </row>
    <row r="2294" ht="14.25" customHeight="1">
      <c r="A2294" s="8" t="s">
        <v>552</v>
      </c>
      <c r="B2294" s="8">
        <v>6.9</v>
      </c>
      <c r="C2294" s="4"/>
      <c r="D2294" s="31"/>
      <c r="E2294" s="4"/>
      <c r="F2294" s="15"/>
      <c r="G2294" s="4"/>
    </row>
    <row r="2295" ht="14.25" customHeight="1">
      <c r="A2295" s="8" t="s">
        <v>4714</v>
      </c>
      <c r="B2295" s="8">
        <v>6.6</v>
      </c>
      <c r="C2295" s="4"/>
      <c r="D2295" s="31"/>
      <c r="E2295" s="4"/>
      <c r="F2295" s="15"/>
      <c r="G2295" s="4"/>
    </row>
    <row r="2296" ht="14.25" customHeight="1">
      <c r="A2296" s="8" t="s">
        <v>3819</v>
      </c>
      <c r="B2296" s="8">
        <v>5.5</v>
      </c>
      <c r="C2296" s="4"/>
      <c r="D2296" s="31"/>
      <c r="E2296" s="4"/>
      <c r="F2296" s="15"/>
      <c r="G2296" s="4"/>
    </row>
    <row r="2297" ht="14.25" customHeight="1">
      <c r="A2297" s="8" t="s">
        <v>4718</v>
      </c>
      <c r="B2297" s="8">
        <v>4.1</v>
      </c>
      <c r="C2297" s="4"/>
      <c r="D2297" s="31"/>
      <c r="E2297" s="4"/>
      <c r="F2297" s="15"/>
      <c r="G2297" s="4"/>
    </row>
    <row r="2298" ht="14.25" customHeight="1">
      <c r="A2298" s="8" t="s">
        <v>4721</v>
      </c>
      <c r="B2298" s="8">
        <v>6.8</v>
      </c>
      <c r="C2298" s="4"/>
      <c r="D2298" s="31"/>
      <c r="E2298" s="4"/>
      <c r="F2298" s="15"/>
      <c r="G2298" s="4"/>
    </row>
    <row r="2299" ht="14.25" customHeight="1">
      <c r="A2299" s="8" t="s">
        <v>4723</v>
      </c>
      <c r="B2299" s="8">
        <v>6.5</v>
      </c>
      <c r="C2299" s="4"/>
      <c r="D2299" s="31"/>
      <c r="E2299" s="4"/>
      <c r="F2299" s="15"/>
      <c r="G2299" s="4"/>
    </row>
    <row r="2300" ht="14.25" customHeight="1">
      <c r="A2300" s="8" t="s">
        <v>324</v>
      </c>
      <c r="B2300" s="8">
        <v>7.4</v>
      </c>
      <c r="C2300" s="4"/>
      <c r="D2300" s="31"/>
      <c r="E2300" s="4"/>
      <c r="F2300" s="15"/>
      <c r="G2300" s="4"/>
    </row>
    <row r="2301" ht="14.25" customHeight="1">
      <c r="A2301" s="8" t="s">
        <v>448</v>
      </c>
      <c r="B2301" s="8">
        <v>7.7</v>
      </c>
      <c r="C2301" s="4"/>
      <c r="D2301" s="31"/>
      <c r="E2301" s="4"/>
      <c r="F2301" s="15"/>
      <c r="G2301" s="4"/>
    </row>
    <row r="2302" ht="14.25" customHeight="1">
      <c r="A2302" s="8" t="s">
        <v>4728</v>
      </c>
      <c r="B2302" s="8">
        <v>7.1</v>
      </c>
      <c r="C2302" s="4"/>
      <c r="D2302" s="31"/>
      <c r="E2302" s="4"/>
      <c r="F2302" s="15"/>
      <c r="G2302" s="4"/>
    </row>
    <row r="2303" ht="14.25" customHeight="1">
      <c r="A2303" s="8" t="s">
        <v>4730</v>
      </c>
      <c r="B2303" s="8">
        <v>6.3</v>
      </c>
      <c r="C2303" s="4"/>
      <c r="D2303" s="31"/>
      <c r="E2303" s="4"/>
      <c r="F2303" s="15"/>
      <c r="G2303" s="4"/>
    </row>
    <row r="2304" ht="14.25" customHeight="1">
      <c r="A2304" s="8" t="s">
        <v>4733</v>
      </c>
      <c r="B2304" s="8">
        <v>7.6</v>
      </c>
      <c r="C2304" s="4"/>
      <c r="D2304" s="31"/>
      <c r="E2304" s="4"/>
      <c r="F2304" s="15"/>
      <c r="G2304" s="4"/>
    </row>
    <row r="2305" ht="14.25" customHeight="1">
      <c r="A2305" s="8" t="s">
        <v>463</v>
      </c>
      <c r="B2305" s="8">
        <v>8.0</v>
      </c>
      <c r="C2305" s="4"/>
      <c r="D2305" s="31"/>
      <c r="E2305" s="4"/>
      <c r="F2305" s="15"/>
      <c r="G2305" s="4"/>
    </row>
    <row r="2306" ht="14.25" customHeight="1">
      <c r="A2306" s="8" t="s">
        <v>4736</v>
      </c>
      <c r="B2306" s="8">
        <v>7.3</v>
      </c>
      <c r="C2306" s="4"/>
      <c r="D2306" s="31"/>
      <c r="E2306" s="4"/>
      <c r="F2306" s="15"/>
      <c r="G2306" s="4"/>
    </row>
    <row r="2307" ht="14.25" customHeight="1">
      <c r="A2307" s="8" t="s">
        <v>1580</v>
      </c>
      <c r="B2307" s="8">
        <v>7.6</v>
      </c>
      <c r="C2307" s="4"/>
      <c r="D2307" s="31"/>
      <c r="E2307" s="4"/>
      <c r="F2307" s="15"/>
      <c r="G2307" s="4"/>
    </row>
    <row r="2308" ht="14.25" customHeight="1">
      <c r="A2308" s="8" t="s">
        <v>3937</v>
      </c>
      <c r="B2308" s="8">
        <v>7.8</v>
      </c>
      <c r="C2308" s="4"/>
      <c r="D2308" s="31"/>
      <c r="E2308" s="4"/>
      <c r="F2308" s="15"/>
      <c r="G2308" s="4"/>
    </row>
    <row r="2309" ht="14.25" customHeight="1">
      <c r="A2309" s="8" t="s">
        <v>1065</v>
      </c>
      <c r="B2309" s="8">
        <v>6.5</v>
      </c>
      <c r="C2309" s="4"/>
      <c r="D2309" s="31"/>
      <c r="E2309" s="4"/>
      <c r="F2309" s="15"/>
      <c r="G2309" s="4"/>
    </row>
    <row r="2310" ht="14.25" customHeight="1">
      <c r="A2310" s="8" t="s">
        <v>1665</v>
      </c>
      <c r="B2310" s="8">
        <v>6.4</v>
      </c>
      <c r="C2310" s="4"/>
      <c r="D2310" s="31"/>
      <c r="E2310" s="4"/>
      <c r="F2310" s="15"/>
      <c r="G2310" s="4"/>
    </row>
    <row r="2311" ht="14.25" customHeight="1">
      <c r="A2311" s="8" t="s">
        <v>4744</v>
      </c>
      <c r="B2311" s="8">
        <v>8.0</v>
      </c>
      <c r="C2311" s="4"/>
      <c r="D2311" s="31"/>
      <c r="E2311" s="4"/>
      <c r="F2311" s="15"/>
      <c r="G2311" s="4"/>
    </row>
    <row r="2312" ht="14.25" customHeight="1">
      <c r="A2312" s="8" t="s">
        <v>1526</v>
      </c>
      <c r="B2312" s="8">
        <v>4.8</v>
      </c>
      <c r="C2312" s="4"/>
      <c r="D2312" s="31"/>
      <c r="E2312" s="4"/>
      <c r="F2312" s="15"/>
      <c r="G2312" s="4"/>
    </row>
    <row r="2313" ht="14.25" customHeight="1">
      <c r="A2313" s="8" t="s">
        <v>2161</v>
      </c>
      <c r="B2313" s="8">
        <v>7.8</v>
      </c>
      <c r="C2313" s="4"/>
      <c r="D2313" s="31"/>
      <c r="E2313" s="4"/>
      <c r="F2313" s="15"/>
      <c r="G2313" s="4"/>
    </row>
    <row r="2314" ht="14.25" customHeight="1">
      <c r="A2314" s="8" t="s">
        <v>373</v>
      </c>
      <c r="B2314" s="8">
        <v>5.9</v>
      </c>
      <c r="C2314" s="4"/>
      <c r="D2314" s="31"/>
      <c r="E2314" s="4"/>
      <c r="F2314" s="15"/>
      <c r="G2314" s="4"/>
    </row>
    <row r="2315" ht="14.25" customHeight="1">
      <c r="A2315" s="8" t="s">
        <v>4750</v>
      </c>
      <c r="B2315" s="8">
        <v>5.4</v>
      </c>
      <c r="C2315" s="4"/>
      <c r="D2315" s="31"/>
      <c r="E2315" s="4"/>
      <c r="F2315" s="15"/>
      <c r="G2315" s="4"/>
    </row>
    <row r="2316" ht="14.25" customHeight="1">
      <c r="A2316" s="8" t="s">
        <v>4753</v>
      </c>
      <c r="B2316" s="8">
        <v>3.3</v>
      </c>
      <c r="C2316" s="4"/>
      <c r="D2316" s="31"/>
      <c r="E2316" s="4"/>
      <c r="F2316" s="15"/>
      <c r="G2316" s="4"/>
    </row>
    <row r="2317" ht="14.25" customHeight="1">
      <c r="A2317" s="8" t="s">
        <v>164</v>
      </c>
      <c r="B2317" s="8">
        <v>8.2</v>
      </c>
      <c r="C2317" s="4"/>
      <c r="D2317" s="31"/>
      <c r="E2317" s="4"/>
      <c r="F2317" s="15"/>
      <c r="G2317" s="4"/>
    </row>
    <row r="2318" ht="14.25" customHeight="1">
      <c r="A2318" s="8" t="s">
        <v>2542</v>
      </c>
      <c r="B2318" s="8">
        <v>5.4</v>
      </c>
      <c r="C2318" s="4"/>
      <c r="D2318" s="31"/>
      <c r="E2318" s="4"/>
      <c r="F2318" s="15"/>
      <c r="G2318" s="4"/>
    </row>
    <row r="2319" ht="14.25" customHeight="1">
      <c r="A2319" s="8" t="s">
        <v>1205</v>
      </c>
      <c r="B2319" s="8">
        <v>6.4</v>
      </c>
      <c r="C2319" s="4"/>
      <c r="D2319" s="31"/>
      <c r="E2319" s="4"/>
      <c r="F2319" s="15"/>
      <c r="G2319" s="4"/>
    </row>
    <row r="2320" ht="14.25" customHeight="1">
      <c r="A2320" s="8" t="s">
        <v>4763</v>
      </c>
      <c r="B2320" s="8">
        <v>4.8</v>
      </c>
      <c r="C2320" s="4"/>
      <c r="D2320" s="31"/>
      <c r="E2320" s="4"/>
      <c r="F2320" s="15"/>
      <c r="G2320" s="4"/>
    </row>
    <row r="2321" ht="14.25" customHeight="1">
      <c r="A2321" s="8" t="s">
        <v>2695</v>
      </c>
      <c r="B2321" s="8">
        <v>5.9</v>
      </c>
      <c r="C2321" s="4"/>
      <c r="D2321" s="31"/>
      <c r="E2321" s="4"/>
      <c r="F2321" s="15"/>
      <c r="G2321" s="4"/>
    </row>
    <row r="2322" ht="14.25" customHeight="1">
      <c r="A2322" s="8" t="s">
        <v>4767</v>
      </c>
      <c r="B2322" s="8">
        <v>5.5</v>
      </c>
      <c r="C2322" s="4"/>
      <c r="D2322" s="31"/>
      <c r="E2322" s="4"/>
      <c r="F2322" s="15"/>
      <c r="G2322" s="4"/>
    </row>
    <row r="2323" ht="14.25" customHeight="1">
      <c r="A2323" s="8" t="s">
        <v>1030</v>
      </c>
      <c r="B2323" s="8">
        <v>7.9</v>
      </c>
      <c r="C2323" s="4"/>
      <c r="D2323" s="31"/>
      <c r="E2323" s="4"/>
      <c r="F2323" s="15"/>
      <c r="G2323" s="4"/>
    </row>
    <row r="2324" ht="14.25" customHeight="1">
      <c r="A2324" s="8" t="s">
        <v>4773</v>
      </c>
      <c r="B2324" s="8">
        <v>4.9</v>
      </c>
      <c r="C2324" s="4"/>
      <c r="D2324" s="31"/>
      <c r="E2324" s="4"/>
      <c r="F2324" s="15"/>
      <c r="G2324" s="4"/>
    </row>
    <row r="2325" ht="14.25" customHeight="1">
      <c r="A2325" s="8" t="s">
        <v>3268</v>
      </c>
      <c r="B2325" s="8">
        <v>7.2</v>
      </c>
      <c r="C2325" s="4"/>
      <c r="D2325" s="31"/>
      <c r="E2325" s="4"/>
      <c r="F2325" s="15"/>
      <c r="G2325" s="4"/>
    </row>
    <row r="2326" ht="14.25" customHeight="1">
      <c r="A2326" s="8" t="s">
        <v>4776</v>
      </c>
      <c r="B2326" s="8">
        <v>5.3</v>
      </c>
      <c r="C2326" s="4"/>
      <c r="D2326" s="31"/>
      <c r="E2326" s="4"/>
      <c r="F2326" s="15"/>
      <c r="G2326" s="4"/>
    </row>
    <row r="2327" ht="14.25" customHeight="1">
      <c r="A2327" s="8" t="s">
        <v>4778</v>
      </c>
      <c r="B2327" s="8">
        <v>7.2</v>
      </c>
      <c r="C2327" s="4"/>
      <c r="D2327" s="31"/>
      <c r="E2327" s="4"/>
      <c r="F2327" s="15"/>
      <c r="G2327" s="4"/>
    </row>
    <row r="2328" ht="14.25" customHeight="1">
      <c r="A2328" s="8" t="s">
        <v>1931</v>
      </c>
      <c r="B2328" s="8">
        <v>5.1</v>
      </c>
      <c r="C2328" s="4"/>
      <c r="D2328" s="31"/>
      <c r="E2328" s="4"/>
      <c r="F2328" s="15"/>
      <c r="G2328" s="4"/>
    </row>
    <row r="2329" ht="14.25" customHeight="1">
      <c r="A2329" s="8" t="s">
        <v>4781</v>
      </c>
      <c r="B2329" s="8">
        <v>5.6</v>
      </c>
      <c r="C2329" s="4"/>
      <c r="D2329" s="31"/>
      <c r="E2329" s="4"/>
      <c r="F2329" s="15"/>
      <c r="G2329" s="4"/>
    </row>
    <row r="2330" ht="14.25" customHeight="1">
      <c r="A2330" s="8" t="s">
        <v>3268</v>
      </c>
      <c r="B2330" s="8">
        <v>7.6</v>
      </c>
      <c r="C2330" s="4"/>
      <c r="D2330" s="31"/>
      <c r="E2330" s="4"/>
      <c r="F2330" s="15"/>
      <c r="G2330" s="4"/>
    </row>
    <row r="2331" ht="14.25" customHeight="1">
      <c r="A2331" s="8" t="s">
        <v>4785</v>
      </c>
      <c r="B2331" s="8">
        <v>7.2</v>
      </c>
      <c r="C2331" s="4"/>
      <c r="D2331" s="31"/>
      <c r="E2331" s="4"/>
      <c r="F2331" s="15"/>
      <c r="G2331" s="4"/>
    </row>
    <row r="2332" ht="14.25" customHeight="1">
      <c r="A2332" s="8" t="s">
        <v>4787</v>
      </c>
      <c r="B2332" s="8">
        <v>5.7</v>
      </c>
      <c r="C2332" s="4"/>
      <c r="D2332" s="31"/>
      <c r="E2332" s="4"/>
      <c r="F2332" s="15"/>
      <c r="G2332" s="4"/>
    </row>
    <row r="2333" ht="14.25" customHeight="1">
      <c r="A2333" s="8" t="s">
        <v>3864</v>
      </c>
      <c r="B2333" s="8">
        <v>5.2</v>
      </c>
      <c r="C2333" s="4"/>
      <c r="D2333" s="31"/>
      <c r="E2333" s="4"/>
      <c r="F2333" s="15"/>
      <c r="G2333" s="4"/>
    </row>
    <row r="2334" ht="14.25" customHeight="1">
      <c r="A2334" s="8" t="s">
        <v>1130</v>
      </c>
      <c r="B2334" s="8">
        <v>7.7</v>
      </c>
      <c r="C2334" s="4"/>
      <c r="D2334" s="31"/>
      <c r="E2334" s="4"/>
      <c r="F2334" s="15"/>
      <c r="G2334" s="4"/>
    </row>
    <row r="2335" ht="14.25" customHeight="1">
      <c r="A2335" s="8" t="s">
        <v>4791</v>
      </c>
      <c r="B2335" s="8">
        <v>7.0</v>
      </c>
      <c r="C2335" s="4"/>
      <c r="D2335" s="31"/>
      <c r="E2335" s="4"/>
      <c r="F2335" s="15"/>
      <c r="G2335" s="4"/>
    </row>
    <row r="2336" ht="14.25" customHeight="1">
      <c r="A2336" s="8" t="s">
        <v>4794</v>
      </c>
      <c r="B2336" s="8">
        <v>6.0</v>
      </c>
      <c r="C2336" s="4"/>
      <c r="D2336" s="31"/>
      <c r="E2336" s="4"/>
      <c r="F2336" s="15"/>
      <c r="G2336" s="4"/>
    </row>
    <row r="2337" ht="14.25" customHeight="1">
      <c r="A2337" s="8" t="s">
        <v>3268</v>
      </c>
      <c r="B2337" s="8">
        <v>6.6</v>
      </c>
      <c r="C2337" s="4"/>
      <c r="D2337" s="31"/>
      <c r="E2337" s="4"/>
      <c r="F2337" s="15"/>
      <c r="G2337" s="4"/>
    </row>
    <row r="2338" ht="14.25" customHeight="1">
      <c r="A2338" s="8" t="s">
        <v>4798</v>
      </c>
      <c r="B2338" s="8">
        <v>6.8</v>
      </c>
      <c r="C2338" s="4"/>
      <c r="D2338" s="31"/>
      <c r="E2338" s="4"/>
      <c r="F2338" s="15"/>
      <c r="G2338" s="4"/>
    </row>
    <row r="2339" ht="14.25" customHeight="1">
      <c r="A2339" s="8" t="s">
        <v>2322</v>
      </c>
      <c r="B2339" s="8">
        <v>7.2</v>
      </c>
      <c r="C2339" s="4"/>
      <c r="D2339" s="31"/>
      <c r="E2339" s="4"/>
      <c r="F2339" s="15"/>
      <c r="G2339" s="4"/>
    </row>
    <row r="2340" ht="14.25" customHeight="1">
      <c r="A2340" s="8" t="s">
        <v>4801</v>
      </c>
      <c r="B2340" s="8">
        <v>7.2</v>
      </c>
      <c r="C2340" s="4"/>
      <c r="D2340" s="31"/>
      <c r="E2340" s="4"/>
      <c r="F2340" s="15"/>
      <c r="G2340" s="4"/>
    </row>
    <row r="2341" ht="14.25" customHeight="1">
      <c r="A2341" s="8" t="s">
        <v>4804</v>
      </c>
      <c r="B2341" s="8">
        <v>2.8</v>
      </c>
      <c r="C2341" s="4"/>
      <c r="D2341" s="31"/>
      <c r="E2341" s="4"/>
      <c r="F2341" s="15"/>
      <c r="G2341" s="4"/>
    </row>
    <row r="2342" ht="14.25" customHeight="1">
      <c r="A2342" s="8" t="s">
        <v>3516</v>
      </c>
      <c r="B2342" s="8">
        <v>6.6</v>
      </c>
      <c r="C2342" s="4"/>
      <c r="D2342" s="31"/>
      <c r="E2342" s="4"/>
      <c r="F2342" s="15"/>
      <c r="G2342" s="4"/>
    </row>
    <row r="2343" ht="14.25" customHeight="1">
      <c r="A2343" s="8" t="s">
        <v>4809</v>
      </c>
      <c r="B2343" s="8">
        <v>6.7</v>
      </c>
      <c r="C2343" s="4"/>
      <c r="D2343" s="31"/>
      <c r="E2343" s="4"/>
      <c r="F2343" s="15"/>
      <c r="G2343" s="4"/>
    </row>
    <row r="2344" ht="14.25" customHeight="1">
      <c r="A2344" s="8" t="s">
        <v>2132</v>
      </c>
      <c r="B2344" s="8">
        <v>7.0</v>
      </c>
      <c r="C2344" s="4"/>
      <c r="D2344" s="31"/>
      <c r="E2344" s="4"/>
      <c r="F2344" s="15"/>
      <c r="G2344" s="4"/>
    </row>
    <row r="2345" ht="14.25" customHeight="1">
      <c r="A2345" s="8" t="s">
        <v>4812</v>
      </c>
      <c r="B2345" s="8">
        <v>4.4</v>
      </c>
      <c r="C2345" s="4"/>
      <c r="D2345" s="31"/>
      <c r="E2345" s="4"/>
      <c r="F2345" s="15"/>
      <c r="G2345" s="4"/>
    </row>
    <row r="2346" ht="14.25" customHeight="1">
      <c r="A2346" s="8" t="s">
        <v>4814</v>
      </c>
      <c r="B2346" s="8">
        <v>6.2</v>
      </c>
      <c r="C2346" s="4"/>
      <c r="D2346" s="31"/>
      <c r="E2346" s="4"/>
      <c r="F2346" s="15"/>
      <c r="G2346" s="4"/>
    </row>
    <row r="2347" ht="14.25" customHeight="1">
      <c r="A2347" s="8" t="s">
        <v>4816</v>
      </c>
      <c r="B2347" s="8">
        <v>7.3</v>
      </c>
      <c r="C2347" s="4"/>
      <c r="D2347" s="31"/>
      <c r="E2347" s="4"/>
      <c r="F2347" s="15"/>
      <c r="G2347" s="4"/>
    </row>
    <row r="2348" ht="14.25" customHeight="1">
      <c r="A2348" s="8" t="s">
        <v>4308</v>
      </c>
      <c r="B2348" s="8">
        <v>5.1</v>
      </c>
      <c r="C2348" s="4"/>
      <c r="D2348" s="31"/>
      <c r="E2348" s="4"/>
      <c r="F2348" s="15"/>
      <c r="G2348" s="4"/>
    </row>
    <row r="2349" ht="14.25" customHeight="1">
      <c r="A2349" s="8" t="s">
        <v>4820</v>
      </c>
      <c r="B2349" s="8">
        <v>6.6</v>
      </c>
      <c r="C2349" s="4"/>
      <c r="D2349" s="31"/>
      <c r="E2349" s="4"/>
      <c r="F2349" s="15"/>
      <c r="G2349" s="4"/>
    </row>
    <row r="2350" ht="14.25" customHeight="1">
      <c r="A2350" s="8" t="s">
        <v>4823</v>
      </c>
      <c r="B2350" s="8">
        <v>4.5</v>
      </c>
      <c r="C2350" s="4"/>
      <c r="D2350" s="31"/>
      <c r="E2350" s="4"/>
      <c r="F2350" s="15"/>
      <c r="G2350" s="4"/>
    </row>
    <row r="2351" ht="14.25" customHeight="1">
      <c r="A2351" s="8" t="s">
        <v>4825</v>
      </c>
      <c r="B2351" s="8">
        <v>5.9</v>
      </c>
      <c r="C2351" s="4"/>
      <c r="D2351" s="31"/>
      <c r="E2351" s="4"/>
      <c r="F2351" s="15"/>
      <c r="G2351" s="4"/>
    </row>
    <row r="2352" ht="14.25" customHeight="1">
      <c r="A2352" s="8" t="s">
        <v>4827</v>
      </c>
      <c r="B2352" s="8">
        <v>6.6</v>
      </c>
      <c r="C2352" s="4"/>
      <c r="D2352" s="31"/>
      <c r="E2352" s="4"/>
      <c r="F2352" s="15"/>
      <c r="G2352" s="4"/>
    </row>
    <row r="2353" ht="14.25" customHeight="1">
      <c r="A2353" s="8" t="s">
        <v>281</v>
      </c>
      <c r="B2353" s="8">
        <v>6.5</v>
      </c>
      <c r="C2353" s="4"/>
      <c r="D2353" s="31"/>
      <c r="E2353" s="4"/>
      <c r="F2353" s="15"/>
      <c r="G2353" s="4"/>
    </row>
    <row r="2354" ht="14.25" customHeight="1">
      <c r="A2354" s="8" t="s">
        <v>1021</v>
      </c>
      <c r="B2354" s="8">
        <v>7.3</v>
      </c>
      <c r="C2354" s="4"/>
      <c r="D2354" s="31"/>
      <c r="E2354" s="4"/>
      <c r="F2354" s="15"/>
      <c r="G2354" s="4"/>
    </row>
    <row r="2355" ht="14.25" customHeight="1">
      <c r="A2355" s="8" t="s">
        <v>524</v>
      </c>
      <c r="B2355" s="8">
        <v>7.5</v>
      </c>
      <c r="C2355" s="4"/>
      <c r="D2355" s="31"/>
      <c r="E2355" s="4"/>
      <c r="F2355" s="15"/>
      <c r="G2355" s="4"/>
    </row>
    <row r="2356" ht="14.25" customHeight="1">
      <c r="A2356" s="8" t="s">
        <v>914</v>
      </c>
      <c r="B2356" s="8">
        <v>5.9</v>
      </c>
      <c r="C2356" s="4"/>
      <c r="D2356" s="31"/>
      <c r="E2356" s="4"/>
      <c r="F2356" s="15"/>
      <c r="G2356" s="4"/>
    </row>
    <row r="2357" ht="14.25" customHeight="1">
      <c r="A2357" s="8" t="s">
        <v>937</v>
      </c>
      <c r="B2357" s="8">
        <v>7.4</v>
      </c>
      <c r="C2357" s="4"/>
      <c r="D2357" s="31"/>
      <c r="E2357" s="4"/>
      <c r="F2357" s="15"/>
      <c r="G2357" s="4"/>
    </row>
    <row r="2358" ht="14.25" customHeight="1">
      <c r="A2358" s="8" t="s">
        <v>722</v>
      </c>
      <c r="B2358" s="8">
        <v>6.9</v>
      </c>
      <c r="C2358" s="4"/>
      <c r="D2358" s="31"/>
      <c r="E2358" s="4"/>
      <c r="F2358" s="15"/>
      <c r="G2358" s="4"/>
    </row>
    <row r="2359" ht="14.25" customHeight="1">
      <c r="A2359" s="8" t="s">
        <v>448</v>
      </c>
      <c r="B2359" s="8">
        <v>7.9</v>
      </c>
      <c r="C2359" s="4"/>
      <c r="D2359" s="31"/>
      <c r="E2359" s="4"/>
      <c r="F2359" s="15"/>
      <c r="G2359" s="4"/>
    </row>
    <row r="2360" ht="14.25" customHeight="1">
      <c r="A2360" s="8" t="s">
        <v>21</v>
      </c>
      <c r="B2360" s="8">
        <v>8.4</v>
      </c>
      <c r="C2360" s="4"/>
      <c r="D2360" s="31"/>
      <c r="E2360" s="4"/>
      <c r="F2360" s="15"/>
      <c r="G2360" s="4"/>
    </row>
    <row r="2361" ht="14.25" customHeight="1">
      <c r="A2361" s="8" t="s">
        <v>1495</v>
      </c>
      <c r="B2361" s="8">
        <v>8.0</v>
      </c>
      <c r="C2361" s="4"/>
      <c r="D2361" s="31"/>
      <c r="E2361" s="4"/>
      <c r="F2361" s="15"/>
      <c r="G2361" s="4"/>
    </row>
    <row r="2362" ht="14.25" customHeight="1">
      <c r="A2362" s="8" t="s">
        <v>1117</v>
      </c>
      <c r="B2362" s="8">
        <v>6.0</v>
      </c>
      <c r="C2362" s="4"/>
      <c r="D2362" s="31"/>
      <c r="E2362" s="4"/>
      <c r="F2362" s="15"/>
      <c r="G2362" s="4"/>
    </row>
    <row r="2363" ht="14.25" customHeight="1">
      <c r="A2363" s="8" t="s">
        <v>4843</v>
      </c>
      <c r="B2363" s="8">
        <v>6.8</v>
      </c>
      <c r="C2363" s="4"/>
      <c r="D2363" s="31"/>
      <c r="E2363" s="4"/>
      <c r="F2363" s="15"/>
      <c r="G2363" s="4"/>
    </row>
    <row r="2364" ht="14.25" customHeight="1">
      <c r="A2364" s="8" t="s">
        <v>168</v>
      </c>
      <c r="B2364" s="8">
        <v>7.8</v>
      </c>
      <c r="C2364" s="4"/>
      <c r="D2364" s="31"/>
      <c r="E2364" s="4"/>
      <c r="F2364" s="15"/>
      <c r="G2364" s="4"/>
    </row>
    <row r="2365" ht="14.25" customHeight="1">
      <c r="A2365" s="8" t="s">
        <v>4846</v>
      </c>
      <c r="B2365" s="8">
        <v>8.1</v>
      </c>
      <c r="C2365" s="4"/>
      <c r="D2365" s="31"/>
      <c r="E2365" s="4"/>
      <c r="F2365" s="15"/>
      <c r="G2365" s="4"/>
    </row>
    <row r="2366" ht="14.25" customHeight="1">
      <c r="A2366" s="8" t="s">
        <v>4721</v>
      </c>
      <c r="B2366" s="8">
        <v>6.1</v>
      </c>
      <c r="C2366" s="4"/>
      <c r="D2366" s="31"/>
      <c r="E2366" s="4"/>
      <c r="F2366" s="15"/>
      <c r="G2366" s="4"/>
    </row>
    <row r="2367" ht="14.25" customHeight="1">
      <c r="A2367" s="8" t="s">
        <v>942</v>
      </c>
      <c r="B2367" s="8">
        <v>6.2</v>
      </c>
      <c r="C2367" s="4"/>
      <c r="D2367" s="31"/>
      <c r="E2367" s="4"/>
      <c r="F2367" s="15"/>
      <c r="G2367" s="4"/>
    </row>
    <row r="2368" ht="14.25" customHeight="1">
      <c r="A2368" s="8" t="s">
        <v>4850</v>
      </c>
      <c r="B2368" s="8">
        <v>6.2</v>
      </c>
      <c r="C2368" s="4"/>
      <c r="D2368" s="31"/>
      <c r="E2368" s="4"/>
      <c r="F2368" s="15"/>
      <c r="G2368" s="4"/>
    </row>
    <row r="2369" ht="14.25" customHeight="1">
      <c r="A2369" s="8" t="s">
        <v>1719</v>
      </c>
      <c r="B2369" s="8">
        <v>7.4</v>
      </c>
      <c r="C2369" s="4"/>
      <c r="D2369" s="31"/>
      <c r="E2369" s="4"/>
      <c r="F2369" s="15"/>
      <c r="G2369" s="4"/>
    </row>
    <row r="2370" ht="14.25" customHeight="1">
      <c r="A2370" s="8" t="s">
        <v>4127</v>
      </c>
      <c r="B2370" s="8">
        <v>6.6</v>
      </c>
      <c r="C2370" s="4"/>
      <c r="D2370" s="31"/>
      <c r="E2370" s="4"/>
      <c r="F2370" s="15"/>
      <c r="G2370" s="4"/>
    </row>
    <row r="2371" ht="14.25" customHeight="1">
      <c r="A2371" s="8" t="s">
        <v>2251</v>
      </c>
      <c r="B2371" s="8">
        <v>7.3</v>
      </c>
      <c r="C2371" s="4"/>
      <c r="D2371" s="31"/>
      <c r="E2371" s="4"/>
      <c r="F2371" s="15"/>
      <c r="G2371" s="4"/>
    </row>
    <row r="2372" ht="14.25" customHeight="1">
      <c r="A2372" s="8" t="s">
        <v>111</v>
      </c>
      <c r="B2372" s="8">
        <v>7.5</v>
      </c>
      <c r="C2372" s="4"/>
      <c r="D2372" s="31"/>
      <c r="E2372" s="4"/>
      <c r="F2372" s="15"/>
      <c r="G2372" s="4"/>
    </row>
    <row r="2373" ht="14.25" customHeight="1">
      <c r="A2373" s="8" t="s">
        <v>3709</v>
      </c>
      <c r="B2373" s="8">
        <v>5.6</v>
      </c>
      <c r="C2373" s="4"/>
      <c r="D2373" s="31"/>
      <c r="E2373" s="4"/>
      <c r="F2373" s="15"/>
      <c r="G2373" s="4"/>
    </row>
    <row r="2374" ht="14.25" customHeight="1">
      <c r="A2374" s="8" t="s">
        <v>4860</v>
      </c>
      <c r="B2374" s="8">
        <v>7.3</v>
      </c>
      <c r="C2374" s="4"/>
      <c r="D2374" s="31"/>
      <c r="E2374" s="4"/>
      <c r="F2374" s="15"/>
      <c r="G2374" s="4"/>
    </row>
    <row r="2375" ht="14.25" customHeight="1">
      <c r="A2375" s="8" t="s">
        <v>4863</v>
      </c>
      <c r="B2375" s="8">
        <v>6.4</v>
      </c>
      <c r="C2375" s="4"/>
      <c r="D2375" s="31"/>
      <c r="E2375" s="4"/>
      <c r="F2375" s="15"/>
      <c r="G2375" s="4"/>
    </row>
    <row r="2376" ht="14.25" customHeight="1">
      <c r="A2376" s="8" t="s">
        <v>743</v>
      </c>
      <c r="B2376" s="8">
        <v>5.0</v>
      </c>
      <c r="C2376" s="4"/>
      <c r="D2376" s="31"/>
      <c r="E2376" s="4"/>
      <c r="F2376" s="15"/>
      <c r="G2376" s="4"/>
    </row>
    <row r="2377" ht="14.25" customHeight="1">
      <c r="A2377" s="8" t="s">
        <v>345</v>
      </c>
      <c r="B2377" s="8">
        <v>5.4</v>
      </c>
      <c r="C2377" s="4"/>
      <c r="D2377" s="31"/>
      <c r="E2377" s="4"/>
      <c r="F2377" s="15"/>
      <c r="G2377" s="4"/>
    </row>
    <row r="2378" ht="14.25" customHeight="1">
      <c r="A2378" s="8" t="s">
        <v>1274</v>
      </c>
      <c r="B2378" s="8">
        <v>7.1</v>
      </c>
      <c r="C2378" s="4"/>
      <c r="D2378" s="31"/>
      <c r="E2378" s="4"/>
      <c r="F2378" s="15"/>
      <c r="G2378" s="4"/>
    </row>
    <row r="2379" ht="14.25" customHeight="1">
      <c r="A2379" s="8" t="s">
        <v>4869</v>
      </c>
      <c r="B2379" s="8">
        <v>5.3</v>
      </c>
      <c r="C2379" s="4"/>
      <c r="D2379" s="31"/>
      <c r="E2379" s="4"/>
      <c r="F2379" s="15"/>
      <c r="G2379" s="4"/>
    </row>
    <row r="2380" ht="14.25" customHeight="1">
      <c r="A2380" s="8" t="s">
        <v>4873</v>
      </c>
      <c r="B2380" s="8">
        <v>6.5</v>
      </c>
      <c r="C2380" s="4"/>
      <c r="D2380" s="31"/>
      <c r="E2380" s="4"/>
      <c r="F2380" s="15"/>
      <c r="G2380" s="4"/>
    </row>
    <row r="2381" ht="14.25" customHeight="1">
      <c r="A2381" s="8" t="s">
        <v>4875</v>
      </c>
      <c r="B2381" s="8">
        <v>6.2</v>
      </c>
      <c r="C2381" s="4"/>
      <c r="D2381" s="31"/>
      <c r="E2381" s="4"/>
      <c r="F2381" s="15"/>
      <c r="G2381" s="4"/>
    </row>
    <row r="2382" ht="14.25" customHeight="1">
      <c r="A2382" s="8" t="s">
        <v>1980</v>
      </c>
      <c r="B2382" s="8">
        <v>6.4</v>
      </c>
      <c r="C2382" s="4"/>
      <c r="D2382" s="31"/>
      <c r="E2382" s="4"/>
      <c r="F2382" s="15"/>
      <c r="G2382" s="4"/>
    </row>
    <row r="2383" ht="14.25" customHeight="1">
      <c r="A2383" s="8" t="s">
        <v>596</v>
      </c>
      <c r="B2383" s="8">
        <v>6.9</v>
      </c>
      <c r="C2383" s="4"/>
      <c r="D2383" s="31"/>
      <c r="E2383" s="4"/>
      <c r="F2383" s="15"/>
      <c r="G2383" s="4"/>
    </row>
    <row r="2384" ht="14.25" customHeight="1">
      <c r="A2384" s="8" t="s">
        <v>4880</v>
      </c>
      <c r="B2384" s="8">
        <v>5.7</v>
      </c>
      <c r="C2384" s="4"/>
      <c r="D2384" s="31"/>
      <c r="E2384" s="4"/>
      <c r="F2384" s="15"/>
      <c r="G2384" s="4"/>
    </row>
    <row r="2385" ht="14.25" customHeight="1">
      <c r="A2385" s="8" t="s">
        <v>218</v>
      </c>
      <c r="B2385" s="8">
        <v>7.7</v>
      </c>
      <c r="C2385" s="4"/>
      <c r="D2385" s="31"/>
      <c r="E2385" s="4"/>
      <c r="F2385" s="15"/>
      <c r="G2385" s="4"/>
    </row>
    <row r="2386" ht="14.25" customHeight="1">
      <c r="A2386" s="8" t="s">
        <v>1364</v>
      </c>
      <c r="B2386" s="8">
        <v>5.4</v>
      </c>
      <c r="C2386" s="4"/>
      <c r="D2386" s="31"/>
      <c r="E2386" s="4"/>
      <c r="F2386" s="15"/>
      <c r="G2386" s="4"/>
    </row>
    <row r="2387" ht="14.25" customHeight="1">
      <c r="A2387" s="8" t="s">
        <v>214</v>
      </c>
      <c r="B2387" s="8">
        <v>5.6</v>
      </c>
      <c r="C2387" s="4"/>
      <c r="D2387" s="31"/>
      <c r="E2387" s="4"/>
      <c r="F2387" s="15"/>
      <c r="G2387" s="4"/>
    </row>
    <row r="2388" ht="14.25" customHeight="1">
      <c r="A2388" s="8" t="s">
        <v>4884</v>
      </c>
      <c r="B2388" s="8">
        <v>7.7</v>
      </c>
      <c r="C2388" s="4"/>
      <c r="D2388" s="31"/>
      <c r="E2388" s="4"/>
      <c r="F2388" s="15"/>
      <c r="G2388" s="4"/>
    </row>
    <row r="2389" ht="14.25" customHeight="1">
      <c r="A2389" s="8" t="s">
        <v>2542</v>
      </c>
      <c r="B2389" s="8">
        <v>5.1</v>
      </c>
      <c r="C2389" s="4"/>
      <c r="D2389" s="31"/>
      <c r="E2389" s="4"/>
      <c r="F2389" s="15"/>
      <c r="G2389" s="4"/>
    </row>
    <row r="2390" ht="14.25" customHeight="1">
      <c r="A2390" s="8" t="s">
        <v>4887</v>
      </c>
      <c r="B2390" s="8">
        <v>6.8</v>
      </c>
      <c r="C2390" s="4"/>
      <c r="D2390" s="31"/>
      <c r="E2390" s="4"/>
      <c r="F2390" s="15"/>
      <c r="G2390" s="4"/>
    </row>
    <row r="2391" ht="14.25" customHeight="1">
      <c r="A2391" s="8" t="s">
        <v>3552</v>
      </c>
      <c r="B2391" s="8">
        <v>8.4</v>
      </c>
      <c r="C2391" s="4"/>
      <c r="D2391" s="31"/>
      <c r="E2391" s="4"/>
      <c r="F2391" s="15"/>
      <c r="G2391" s="4"/>
    </row>
    <row r="2392" ht="14.25" customHeight="1">
      <c r="A2392" s="8" t="s">
        <v>4891</v>
      </c>
      <c r="B2392" s="8">
        <v>4.9</v>
      </c>
      <c r="C2392" s="4"/>
      <c r="D2392" s="31"/>
      <c r="E2392" s="4"/>
      <c r="F2392" s="15"/>
      <c r="G2392" s="4"/>
    </row>
    <row r="2393" ht="14.25" customHeight="1">
      <c r="A2393" s="8" t="s">
        <v>3030</v>
      </c>
      <c r="B2393" s="8">
        <v>7.1</v>
      </c>
      <c r="C2393" s="4"/>
      <c r="D2393" s="31"/>
      <c r="E2393" s="4"/>
      <c r="F2393" s="15"/>
      <c r="G2393" s="4"/>
    </row>
    <row r="2394" ht="14.25" customHeight="1">
      <c r="A2394" s="8" t="s">
        <v>4894</v>
      </c>
      <c r="B2394" s="8">
        <v>6.6</v>
      </c>
      <c r="C2394" s="4"/>
      <c r="D2394" s="31"/>
      <c r="E2394" s="4"/>
      <c r="F2394" s="15"/>
      <c r="G2394" s="4"/>
    </row>
    <row r="2395" ht="14.25" customHeight="1">
      <c r="A2395" s="8" t="s">
        <v>4787</v>
      </c>
      <c r="B2395" s="8">
        <v>6.1</v>
      </c>
      <c r="C2395" s="4"/>
      <c r="D2395" s="31"/>
      <c r="E2395" s="4"/>
      <c r="F2395" s="15"/>
      <c r="G2395" s="4"/>
    </row>
    <row r="2396" ht="14.25" customHeight="1">
      <c r="A2396" s="8" t="s">
        <v>4898</v>
      </c>
      <c r="B2396" s="8">
        <v>4.1</v>
      </c>
      <c r="C2396" s="4"/>
      <c r="D2396" s="31"/>
      <c r="E2396" s="4"/>
      <c r="F2396" s="15"/>
      <c r="G2396" s="4"/>
    </row>
    <row r="2397" ht="14.25" customHeight="1">
      <c r="A2397" s="8" t="s">
        <v>472</v>
      </c>
      <c r="B2397" s="8">
        <v>5.8</v>
      </c>
      <c r="C2397" s="4"/>
      <c r="D2397" s="31"/>
      <c r="E2397" s="4"/>
      <c r="F2397" s="15"/>
      <c r="G2397" s="4"/>
    </row>
    <row r="2398" ht="14.25" customHeight="1">
      <c r="A2398" s="8" t="s">
        <v>1580</v>
      </c>
      <c r="B2398" s="8">
        <v>8.1</v>
      </c>
      <c r="C2398" s="4"/>
      <c r="D2398" s="31"/>
      <c r="E2398" s="4"/>
      <c r="F2398" s="15"/>
      <c r="G2398" s="4"/>
    </row>
    <row r="2399" ht="14.25" customHeight="1">
      <c r="A2399" s="8" t="s">
        <v>717</v>
      </c>
      <c r="B2399" s="8">
        <v>7.6</v>
      </c>
      <c r="C2399" s="4"/>
      <c r="D2399" s="31"/>
      <c r="E2399" s="4"/>
      <c r="F2399" s="15"/>
      <c r="G2399" s="4"/>
    </row>
    <row r="2400" ht="14.25" customHeight="1">
      <c r="A2400" s="8" t="s">
        <v>4903</v>
      </c>
      <c r="B2400" s="8">
        <v>7.8</v>
      </c>
      <c r="C2400" s="4"/>
      <c r="D2400" s="31"/>
      <c r="E2400" s="4"/>
      <c r="F2400" s="15"/>
      <c r="G2400" s="4"/>
    </row>
    <row r="2401" ht="14.25" customHeight="1">
      <c r="A2401" s="8" t="s">
        <v>4905</v>
      </c>
      <c r="B2401" s="8">
        <v>4.6</v>
      </c>
      <c r="C2401" s="4"/>
      <c r="D2401" s="31"/>
      <c r="E2401" s="4"/>
      <c r="F2401" s="15"/>
      <c r="G2401" s="4"/>
    </row>
    <row r="2402" ht="14.25" customHeight="1">
      <c r="A2402" s="8" t="s">
        <v>4568</v>
      </c>
      <c r="B2402" s="8">
        <v>6.0</v>
      </c>
      <c r="C2402" s="4"/>
      <c r="D2402" s="31"/>
      <c r="E2402" s="4"/>
      <c r="F2402" s="15"/>
      <c r="G2402" s="4"/>
    </row>
    <row r="2403" ht="14.25" customHeight="1">
      <c r="A2403" s="8" t="s">
        <v>4909</v>
      </c>
      <c r="B2403" s="8">
        <v>7.0</v>
      </c>
      <c r="C2403" s="4"/>
      <c r="D2403" s="31"/>
      <c r="E2403" s="4"/>
      <c r="F2403" s="15"/>
      <c r="G2403" s="4"/>
    </row>
    <row r="2404" ht="14.25" customHeight="1">
      <c r="A2404" s="8" t="s">
        <v>2297</v>
      </c>
      <c r="B2404" s="8">
        <v>6.7</v>
      </c>
      <c r="C2404" s="4"/>
      <c r="D2404" s="31"/>
      <c r="E2404" s="4"/>
      <c r="F2404" s="15"/>
      <c r="G2404" s="4"/>
    </row>
    <row r="2405" ht="14.25" customHeight="1">
      <c r="A2405" s="8" t="s">
        <v>1873</v>
      </c>
      <c r="B2405" s="8">
        <v>6.4</v>
      </c>
      <c r="C2405" s="4"/>
      <c r="D2405" s="31"/>
      <c r="E2405" s="4"/>
      <c r="F2405" s="15"/>
      <c r="G2405" s="4"/>
    </row>
    <row r="2406" ht="14.25" customHeight="1">
      <c r="A2406" s="8" t="s">
        <v>4914</v>
      </c>
      <c r="B2406" s="8">
        <v>7.2</v>
      </c>
      <c r="C2406" s="4"/>
      <c r="D2406" s="31"/>
      <c r="E2406" s="4"/>
      <c r="F2406" s="15"/>
      <c r="G2406" s="4"/>
    </row>
    <row r="2407" ht="14.25" customHeight="1">
      <c r="A2407" s="8" t="s">
        <v>2201</v>
      </c>
      <c r="B2407" s="8">
        <v>7.4</v>
      </c>
      <c r="C2407" s="4"/>
      <c r="D2407" s="31"/>
      <c r="E2407" s="4"/>
      <c r="F2407" s="15"/>
      <c r="G2407" s="4"/>
    </row>
    <row r="2408" ht="14.25" customHeight="1">
      <c r="A2408" s="8" t="s">
        <v>4917</v>
      </c>
      <c r="B2408" s="8">
        <v>4.8</v>
      </c>
      <c r="C2408" s="4"/>
      <c r="D2408" s="31"/>
      <c r="E2408" s="4"/>
      <c r="F2408" s="15"/>
      <c r="G2408" s="4"/>
    </row>
    <row r="2409" ht="14.25" customHeight="1">
      <c r="A2409" s="8" t="s">
        <v>4919</v>
      </c>
      <c r="B2409" s="8">
        <v>4.0</v>
      </c>
      <c r="C2409" s="4"/>
      <c r="D2409" s="31"/>
      <c r="E2409" s="4"/>
      <c r="F2409" s="15"/>
      <c r="G2409" s="4"/>
    </row>
    <row r="2410" ht="14.25" customHeight="1">
      <c r="A2410" s="8" t="s">
        <v>4237</v>
      </c>
      <c r="B2410" s="8">
        <v>6.2</v>
      </c>
      <c r="C2410" s="4"/>
      <c r="D2410" s="31"/>
      <c r="E2410" s="4"/>
      <c r="F2410" s="15"/>
      <c r="G2410" s="4"/>
    </row>
    <row r="2411" ht="14.25" customHeight="1">
      <c r="A2411" s="8" t="s">
        <v>3268</v>
      </c>
      <c r="B2411" s="8">
        <v>7.7</v>
      </c>
      <c r="C2411" s="4"/>
      <c r="D2411" s="31"/>
      <c r="E2411" s="4"/>
      <c r="F2411" s="15"/>
      <c r="G2411" s="4"/>
    </row>
    <row r="2412" ht="14.25" customHeight="1">
      <c r="A2412" s="8" t="s">
        <v>4926</v>
      </c>
      <c r="B2412" s="8">
        <v>6.7</v>
      </c>
      <c r="C2412" s="4"/>
      <c r="D2412" s="31"/>
      <c r="E2412" s="4"/>
      <c r="F2412" s="15"/>
      <c r="G2412" s="4"/>
    </row>
    <row r="2413" ht="14.25" customHeight="1">
      <c r="A2413" s="8" t="s">
        <v>4809</v>
      </c>
      <c r="B2413" s="8">
        <v>7.9</v>
      </c>
      <c r="C2413" s="4"/>
      <c r="D2413" s="31"/>
      <c r="E2413" s="4"/>
      <c r="F2413" s="15"/>
      <c r="G2413" s="4"/>
    </row>
    <row r="2414" ht="14.25" customHeight="1">
      <c r="A2414" s="8" t="s">
        <v>2820</v>
      </c>
      <c r="B2414" s="8">
        <v>7.9</v>
      </c>
      <c r="C2414" s="4"/>
      <c r="D2414" s="31"/>
      <c r="E2414" s="4"/>
      <c r="F2414" s="15"/>
      <c r="G2414" s="4"/>
    </row>
    <row r="2415" ht="14.25" customHeight="1">
      <c r="A2415" s="8" t="s">
        <v>4687</v>
      </c>
      <c r="B2415" s="8">
        <v>5.5</v>
      </c>
      <c r="C2415" s="4"/>
      <c r="D2415" s="31"/>
      <c r="E2415" s="4"/>
      <c r="F2415" s="15"/>
      <c r="G2415" s="4"/>
    </row>
    <row r="2416" ht="14.25" customHeight="1">
      <c r="A2416" s="8" t="s">
        <v>4933</v>
      </c>
      <c r="B2416" s="8">
        <v>6.2</v>
      </c>
      <c r="C2416" s="4"/>
      <c r="D2416" s="31"/>
      <c r="E2416" s="4"/>
      <c r="F2416" s="15"/>
      <c r="G2416" s="4"/>
    </row>
    <row r="2417" ht="14.25" customHeight="1">
      <c r="A2417" s="8" t="s">
        <v>4935</v>
      </c>
      <c r="B2417" s="8">
        <v>5.1</v>
      </c>
      <c r="C2417" s="4"/>
      <c r="D2417" s="31"/>
      <c r="E2417" s="4"/>
      <c r="F2417" s="15"/>
      <c r="G2417" s="4"/>
    </row>
    <row r="2418" ht="14.25" customHeight="1">
      <c r="A2418" s="8" t="s">
        <v>4938</v>
      </c>
      <c r="B2418" s="8">
        <v>4.1</v>
      </c>
      <c r="C2418" s="4"/>
      <c r="D2418" s="31"/>
      <c r="E2418" s="4"/>
      <c r="F2418" s="15"/>
      <c r="G2418" s="4"/>
    </row>
    <row r="2419" ht="14.25" customHeight="1">
      <c r="A2419" s="8" t="s">
        <v>1645</v>
      </c>
      <c r="B2419" s="8">
        <v>6.7</v>
      </c>
      <c r="C2419" s="4"/>
      <c r="D2419" s="31"/>
      <c r="E2419" s="4"/>
      <c r="F2419" s="15"/>
      <c r="G2419" s="4"/>
    </row>
    <row r="2420" ht="14.25" customHeight="1">
      <c r="A2420" s="8" t="s">
        <v>4942</v>
      </c>
      <c r="B2420" s="8">
        <v>4.7</v>
      </c>
      <c r="C2420" s="4"/>
      <c r="D2420" s="31"/>
      <c r="E2420" s="4"/>
      <c r="F2420" s="15"/>
      <c r="G2420" s="4"/>
    </row>
    <row r="2421" ht="14.25" customHeight="1">
      <c r="A2421" s="8" t="s">
        <v>4945</v>
      </c>
      <c r="B2421" s="8">
        <v>6.4</v>
      </c>
      <c r="C2421" s="4"/>
      <c r="D2421" s="31"/>
      <c r="E2421" s="4"/>
      <c r="F2421" s="15"/>
      <c r="G2421" s="4"/>
    </row>
    <row r="2422" ht="14.25" customHeight="1">
      <c r="A2422" s="8" t="s">
        <v>4270</v>
      </c>
      <c r="B2422" s="8">
        <v>6.3</v>
      </c>
      <c r="C2422" s="4"/>
      <c r="D2422" s="31"/>
      <c r="E2422" s="4"/>
      <c r="F2422" s="15"/>
      <c r="G2422" s="4"/>
    </row>
    <row r="2423" ht="14.25" customHeight="1">
      <c r="A2423" s="8" t="s">
        <v>4948</v>
      </c>
      <c r="B2423" s="8">
        <v>5.5</v>
      </c>
      <c r="C2423" s="4"/>
      <c r="D2423" s="31"/>
      <c r="E2423" s="4"/>
      <c r="F2423" s="15"/>
      <c r="G2423" s="4"/>
    </row>
    <row r="2424" ht="14.25" customHeight="1">
      <c r="A2424" s="8" t="s">
        <v>4950</v>
      </c>
      <c r="B2424" s="8">
        <v>7.3</v>
      </c>
      <c r="C2424" s="4"/>
      <c r="D2424" s="31"/>
      <c r="E2424" s="4"/>
      <c r="F2424" s="15"/>
      <c r="G2424" s="4"/>
    </row>
    <row r="2425" ht="14.25" customHeight="1">
      <c r="A2425" s="8" t="s">
        <v>620</v>
      </c>
      <c r="B2425" s="8">
        <v>6.3</v>
      </c>
      <c r="C2425" s="4"/>
      <c r="D2425" s="31"/>
      <c r="E2425" s="4"/>
      <c r="F2425" s="15"/>
      <c r="G2425" s="4"/>
    </row>
    <row r="2426" ht="14.25" customHeight="1">
      <c r="A2426" s="8" t="s">
        <v>4953</v>
      </c>
      <c r="B2426" s="8">
        <v>4.9</v>
      </c>
      <c r="C2426" s="4"/>
      <c r="D2426" s="31"/>
      <c r="E2426" s="4"/>
      <c r="F2426" s="15"/>
      <c r="G2426" s="4"/>
    </row>
    <row r="2427" ht="14.25" customHeight="1">
      <c r="A2427" s="8" t="s">
        <v>961</v>
      </c>
      <c r="B2427" s="8">
        <v>7.6</v>
      </c>
      <c r="C2427" s="4"/>
      <c r="D2427" s="31"/>
      <c r="E2427" s="4"/>
      <c r="F2427" s="15"/>
      <c r="G2427" s="4"/>
    </row>
    <row r="2428" ht="14.25" customHeight="1">
      <c r="A2428" s="8" t="s">
        <v>4957</v>
      </c>
      <c r="B2428" s="8">
        <v>6.0</v>
      </c>
      <c r="C2428" s="4"/>
      <c r="D2428" s="31"/>
      <c r="E2428" s="4"/>
      <c r="F2428" s="15"/>
      <c r="G2428" s="4"/>
    </row>
    <row r="2429" ht="14.25" customHeight="1">
      <c r="A2429" s="8" t="s">
        <v>3437</v>
      </c>
      <c r="B2429" s="8">
        <v>6.2</v>
      </c>
      <c r="C2429" s="4"/>
      <c r="D2429" s="31"/>
      <c r="E2429" s="4"/>
      <c r="F2429" s="15"/>
      <c r="G2429" s="4"/>
    </row>
    <row r="2430" ht="14.25" customHeight="1">
      <c r="A2430" s="8" t="s">
        <v>4195</v>
      </c>
      <c r="B2430" s="8">
        <v>6.8</v>
      </c>
      <c r="C2430" s="4"/>
      <c r="D2430" s="31"/>
      <c r="E2430" s="4"/>
      <c r="F2430" s="15"/>
      <c r="G2430" s="4"/>
    </row>
    <row r="2431" ht="14.25" customHeight="1">
      <c r="A2431" s="8" t="s">
        <v>4961</v>
      </c>
      <c r="B2431" s="8">
        <v>4.5</v>
      </c>
      <c r="C2431" s="4"/>
      <c r="D2431" s="31"/>
      <c r="E2431" s="4"/>
      <c r="F2431" s="15"/>
      <c r="G2431" s="4"/>
    </row>
    <row r="2432" ht="14.25" customHeight="1">
      <c r="A2432" s="8" t="s">
        <v>4963</v>
      </c>
      <c r="B2432" s="8">
        <v>5.7</v>
      </c>
      <c r="C2432" s="4"/>
      <c r="D2432" s="31"/>
      <c r="E2432" s="4"/>
      <c r="F2432" s="15"/>
      <c r="G2432" s="4"/>
    </row>
    <row r="2433" ht="14.25" customHeight="1">
      <c r="A2433" s="8" t="s">
        <v>4966</v>
      </c>
      <c r="B2433" s="8">
        <v>4.6</v>
      </c>
      <c r="C2433" s="4"/>
      <c r="D2433" s="31"/>
      <c r="E2433" s="4"/>
      <c r="F2433" s="15"/>
      <c r="G2433" s="4"/>
    </row>
    <row r="2434" ht="14.25" customHeight="1">
      <c r="A2434" s="8" t="s">
        <v>4968</v>
      </c>
      <c r="B2434" s="8">
        <v>6.2</v>
      </c>
      <c r="C2434" s="4"/>
      <c r="D2434" s="31"/>
      <c r="E2434" s="4"/>
      <c r="F2434" s="15"/>
      <c r="G2434" s="4"/>
    </row>
    <row r="2435" ht="14.25" customHeight="1">
      <c r="A2435" s="8" t="s">
        <v>4971</v>
      </c>
      <c r="B2435" s="8">
        <v>7.0</v>
      </c>
      <c r="C2435" s="4"/>
      <c r="D2435" s="31"/>
      <c r="E2435" s="4"/>
      <c r="F2435" s="15"/>
      <c r="G2435" s="4"/>
    </row>
    <row r="2436" ht="14.25" customHeight="1">
      <c r="A2436" s="8" t="s">
        <v>4973</v>
      </c>
      <c r="B2436" s="8">
        <v>6.9</v>
      </c>
      <c r="C2436" s="4"/>
      <c r="D2436" s="31"/>
      <c r="E2436" s="4"/>
      <c r="F2436" s="15"/>
      <c r="G2436" s="4"/>
    </row>
    <row r="2437" ht="14.25" customHeight="1">
      <c r="A2437" s="8" t="s">
        <v>4976</v>
      </c>
      <c r="B2437" s="8">
        <v>6.7</v>
      </c>
      <c r="C2437" s="4"/>
      <c r="D2437" s="31"/>
      <c r="E2437" s="4"/>
      <c r="F2437" s="15"/>
      <c r="G2437" s="4"/>
    </row>
    <row r="2438" ht="14.25" customHeight="1">
      <c r="A2438" s="8" t="s">
        <v>1329</v>
      </c>
      <c r="B2438" s="8">
        <v>5.6</v>
      </c>
      <c r="C2438" s="4"/>
      <c r="D2438" s="31"/>
      <c r="E2438" s="4"/>
      <c r="F2438" s="15"/>
      <c r="G2438" s="4"/>
    </row>
    <row r="2439" ht="14.25" customHeight="1">
      <c r="A2439" s="8" t="s">
        <v>2668</v>
      </c>
      <c r="B2439" s="8">
        <v>6.6</v>
      </c>
      <c r="C2439" s="4"/>
      <c r="D2439" s="31"/>
      <c r="E2439" s="4"/>
      <c r="F2439" s="15"/>
      <c r="G2439" s="4"/>
    </row>
    <row r="2440" ht="14.25" customHeight="1">
      <c r="A2440" s="8" t="s">
        <v>3268</v>
      </c>
      <c r="B2440" s="8">
        <v>6.4</v>
      </c>
      <c r="C2440" s="4"/>
      <c r="D2440" s="31"/>
      <c r="E2440" s="4"/>
      <c r="F2440" s="15"/>
      <c r="G2440" s="4"/>
    </row>
    <row r="2441" ht="14.25" customHeight="1">
      <c r="A2441" s="8" t="s">
        <v>4981</v>
      </c>
      <c r="B2441" s="8">
        <v>2.8</v>
      </c>
      <c r="C2441" s="4"/>
      <c r="D2441" s="31"/>
      <c r="E2441" s="4"/>
      <c r="F2441" s="15"/>
      <c r="G2441" s="4"/>
    </row>
    <row r="2442" ht="14.25" customHeight="1">
      <c r="A2442" s="8" t="s">
        <v>4984</v>
      </c>
      <c r="B2442" s="8">
        <v>5.4</v>
      </c>
      <c r="C2442" s="4"/>
      <c r="D2442" s="31"/>
      <c r="E2442" s="4"/>
      <c r="F2442" s="15"/>
      <c r="G2442" s="4"/>
    </row>
    <row r="2443" ht="14.25" customHeight="1">
      <c r="A2443" s="8" t="s">
        <v>426</v>
      </c>
      <c r="B2443" s="8">
        <v>5.0</v>
      </c>
      <c r="C2443" s="4"/>
      <c r="D2443" s="31"/>
      <c r="E2443" s="4"/>
      <c r="F2443" s="15"/>
      <c r="G2443" s="4"/>
    </row>
    <row r="2444" ht="14.25" customHeight="1">
      <c r="A2444" s="8" t="s">
        <v>4987</v>
      </c>
      <c r="B2444" s="8">
        <v>5.1</v>
      </c>
      <c r="C2444" s="4"/>
      <c r="D2444" s="31"/>
      <c r="E2444" s="4"/>
      <c r="F2444" s="15"/>
      <c r="G2444" s="4"/>
    </row>
    <row r="2445" ht="14.25" customHeight="1">
      <c r="A2445" s="8" t="s">
        <v>1150</v>
      </c>
      <c r="B2445" s="8">
        <v>8.0</v>
      </c>
      <c r="C2445" s="4"/>
      <c r="D2445" s="31"/>
      <c r="E2445" s="4"/>
      <c r="F2445" s="15"/>
      <c r="G2445" s="4"/>
    </row>
    <row r="2446" ht="14.25" customHeight="1">
      <c r="A2446" s="8" t="s">
        <v>4550</v>
      </c>
      <c r="B2446" s="8">
        <v>5.9</v>
      </c>
      <c r="C2446" s="4"/>
      <c r="D2446" s="31"/>
      <c r="E2446" s="4"/>
      <c r="F2446" s="15"/>
      <c r="G2446" s="4"/>
    </row>
    <row r="2447" ht="14.25" customHeight="1">
      <c r="A2447" s="8" t="s">
        <v>1736</v>
      </c>
      <c r="B2447" s="8">
        <v>8.2</v>
      </c>
      <c r="C2447" s="4"/>
      <c r="D2447" s="31"/>
      <c r="E2447" s="4"/>
      <c r="F2447" s="15"/>
      <c r="G2447" s="4"/>
    </row>
    <row r="2448" ht="14.25" customHeight="1">
      <c r="A2448" s="8" t="s">
        <v>4994</v>
      </c>
      <c r="B2448" s="8">
        <v>7.0</v>
      </c>
      <c r="C2448" s="4"/>
      <c r="D2448" s="31"/>
      <c r="E2448" s="4"/>
      <c r="F2448" s="15"/>
      <c r="G2448" s="4"/>
    </row>
    <row r="2449" ht="14.25" customHeight="1">
      <c r="A2449" s="8" t="s">
        <v>1292</v>
      </c>
      <c r="B2449" s="8">
        <v>6.6</v>
      </c>
      <c r="C2449" s="4"/>
      <c r="D2449" s="31"/>
      <c r="E2449" s="4"/>
      <c r="F2449" s="15"/>
      <c r="G2449" s="4"/>
    </row>
    <row r="2450" ht="14.25" customHeight="1">
      <c r="A2450" s="8" t="s">
        <v>4998</v>
      </c>
      <c r="B2450" s="8">
        <v>6.7</v>
      </c>
      <c r="C2450" s="4"/>
      <c r="D2450" s="31"/>
      <c r="E2450" s="4"/>
      <c r="F2450" s="15"/>
      <c r="G2450" s="4"/>
    </row>
    <row r="2451" ht="14.25" customHeight="1">
      <c r="A2451" s="8" t="s">
        <v>5001</v>
      </c>
      <c r="B2451" s="8">
        <v>5.5</v>
      </c>
      <c r="C2451" s="4"/>
      <c r="D2451" s="31"/>
      <c r="E2451" s="4"/>
      <c r="F2451" s="15"/>
      <c r="G2451" s="4"/>
    </row>
    <row r="2452" ht="14.25" customHeight="1">
      <c r="A2452" s="8" t="s">
        <v>5003</v>
      </c>
      <c r="B2452" s="8">
        <v>4.9</v>
      </c>
      <c r="C2452" s="4"/>
      <c r="D2452" s="31"/>
      <c r="E2452" s="4"/>
      <c r="F2452" s="15"/>
      <c r="G2452" s="4"/>
    </row>
    <row r="2453" ht="14.25" customHeight="1">
      <c r="A2453" s="8" t="s">
        <v>2385</v>
      </c>
      <c r="B2453" s="8">
        <v>6.9</v>
      </c>
      <c r="C2453" s="4"/>
      <c r="D2453" s="31"/>
      <c r="E2453" s="4"/>
      <c r="F2453" s="15"/>
      <c r="G2453" s="4"/>
    </row>
    <row r="2454" ht="14.25" customHeight="1">
      <c r="A2454" s="8" t="s">
        <v>5006</v>
      </c>
      <c r="B2454" s="8">
        <v>5.6</v>
      </c>
      <c r="C2454" s="4"/>
      <c r="D2454" s="31"/>
      <c r="E2454" s="4"/>
      <c r="F2454" s="15"/>
      <c r="G2454" s="4"/>
    </row>
    <row r="2455" ht="14.25" customHeight="1">
      <c r="A2455" s="8" t="s">
        <v>5008</v>
      </c>
      <c r="B2455" s="8">
        <v>8.0</v>
      </c>
      <c r="C2455" s="4"/>
      <c r="D2455" s="31"/>
      <c r="E2455" s="4"/>
      <c r="F2455" s="15"/>
      <c r="G2455" s="4"/>
    </row>
    <row r="2456" ht="14.25" customHeight="1">
      <c r="A2456" s="8" t="s">
        <v>5011</v>
      </c>
      <c r="B2456" s="8">
        <v>5.3</v>
      </c>
      <c r="C2456" s="4"/>
      <c r="D2456" s="31"/>
      <c r="E2456" s="4"/>
      <c r="F2456" s="15"/>
      <c r="G2456" s="4"/>
    </row>
    <row r="2457" ht="14.25" customHeight="1">
      <c r="A2457" s="8" t="s">
        <v>5013</v>
      </c>
      <c r="B2457" s="8">
        <v>6.2</v>
      </c>
      <c r="C2457" s="4"/>
      <c r="D2457" s="31"/>
      <c r="E2457" s="4"/>
      <c r="F2457" s="15"/>
      <c r="G2457" s="4"/>
    </row>
    <row r="2458" ht="14.25" customHeight="1">
      <c r="A2458" s="8" t="s">
        <v>5015</v>
      </c>
      <c r="B2458" s="8">
        <v>5.3</v>
      </c>
      <c r="C2458" s="4"/>
      <c r="D2458" s="31"/>
      <c r="E2458" s="4"/>
      <c r="F2458" s="15"/>
      <c r="G2458" s="4"/>
    </row>
    <row r="2459" ht="14.25" customHeight="1">
      <c r="A2459" s="8" t="s">
        <v>2409</v>
      </c>
      <c r="B2459" s="8">
        <v>6.6</v>
      </c>
      <c r="C2459" s="4"/>
      <c r="D2459" s="31"/>
      <c r="E2459" s="4"/>
      <c r="F2459" s="15"/>
      <c r="G2459" s="4"/>
    </row>
    <row r="2460" ht="14.25" customHeight="1">
      <c r="A2460" s="8" t="s">
        <v>3268</v>
      </c>
      <c r="B2460" s="8">
        <v>7.2</v>
      </c>
      <c r="C2460" s="4"/>
      <c r="D2460" s="31"/>
      <c r="E2460" s="4"/>
      <c r="F2460" s="15"/>
      <c r="G2460" s="4"/>
    </row>
    <row r="2461" ht="14.25" customHeight="1">
      <c r="A2461" s="8" t="s">
        <v>5020</v>
      </c>
      <c r="B2461" s="8">
        <v>4.6</v>
      </c>
      <c r="C2461" s="4"/>
      <c r="D2461" s="31"/>
      <c r="E2461" s="4"/>
      <c r="F2461" s="15"/>
      <c r="G2461" s="4"/>
    </row>
    <row r="2462" ht="14.25" customHeight="1">
      <c r="A2462" s="8" t="s">
        <v>4820</v>
      </c>
      <c r="B2462" s="8">
        <v>7.5</v>
      </c>
      <c r="C2462" s="4"/>
      <c r="D2462" s="31"/>
      <c r="E2462" s="4"/>
      <c r="F2462" s="15"/>
      <c r="G2462" s="4"/>
    </row>
    <row r="2463" ht="14.25" customHeight="1">
      <c r="A2463" s="8" t="s">
        <v>5026</v>
      </c>
      <c r="B2463" s="8">
        <v>6.5</v>
      </c>
      <c r="C2463" s="4"/>
      <c r="D2463" s="31"/>
      <c r="E2463" s="4"/>
      <c r="F2463" s="15"/>
      <c r="G2463" s="4"/>
    </row>
    <row r="2464" ht="14.25" customHeight="1">
      <c r="A2464" s="8" t="s">
        <v>109</v>
      </c>
      <c r="B2464" s="8">
        <v>7.6</v>
      </c>
      <c r="C2464" s="4"/>
      <c r="D2464" s="31"/>
      <c r="E2464" s="4"/>
      <c r="F2464" s="15"/>
      <c r="G2464" s="4"/>
    </row>
    <row r="2465" ht="14.25" customHeight="1">
      <c r="A2465" s="8" t="s">
        <v>5029</v>
      </c>
      <c r="B2465" s="8">
        <v>6.2</v>
      </c>
      <c r="C2465" s="4"/>
      <c r="D2465" s="31"/>
      <c r="E2465" s="4"/>
      <c r="F2465" s="15"/>
      <c r="G2465" s="4"/>
    </row>
    <row r="2466" ht="14.25" customHeight="1">
      <c r="A2466" s="8" t="s">
        <v>2339</v>
      </c>
      <c r="B2466" s="8">
        <v>8.0</v>
      </c>
      <c r="C2466" s="4"/>
      <c r="D2466" s="31"/>
      <c r="E2466" s="4"/>
      <c r="F2466" s="15"/>
      <c r="G2466" s="4"/>
    </row>
    <row r="2467" ht="14.25" customHeight="1">
      <c r="A2467" s="8" t="s">
        <v>3268</v>
      </c>
      <c r="B2467" s="8">
        <v>6.3</v>
      </c>
      <c r="C2467" s="4"/>
      <c r="D2467" s="31"/>
      <c r="E2467" s="4"/>
      <c r="F2467" s="15"/>
      <c r="G2467" s="4"/>
    </row>
    <row r="2468" ht="14.25" customHeight="1">
      <c r="A2468" s="8" t="s">
        <v>5033</v>
      </c>
      <c r="B2468" s="8">
        <v>7.2</v>
      </c>
      <c r="C2468" s="4"/>
      <c r="D2468" s="31"/>
      <c r="E2468" s="4"/>
      <c r="F2468" s="15"/>
      <c r="G2468" s="4"/>
    </row>
    <row r="2469" ht="14.25" customHeight="1">
      <c r="A2469" s="8" t="s">
        <v>5035</v>
      </c>
      <c r="B2469" s="8">
        <v>6.7</v>
      </c>
      <c r="C2469" s="4"/>
      <c r="D2469" s="31"/>
      <c r="E2469" s="4"/>
      <c r="F2469" s="15"/>
      <c r="G2469" s="4"/>
    </row>
    <row r="2470" ht="14.25" customHeight="1">
      <c r="A2470" s="8" t="s">
        <v>5038</v>
      </c>
      <c r="B2470" s="8">
        <v>5.3</v>
      </c>
      <c r="C2470" s="4"/>
      <c r="D2470" s="31"/>
      <c r="E2470" s="4"/>
      <c r="F2470" s="15"/>
      <c r="G2470" s="4"/>
    </row>
    <row r="2471" ht="14.25" customHeight="1">
      <c r="A2471" s="8" t="s">
        <v>5041</v>
      </c>
      <c r="B2471" s="8">
        <v>6.3</v>
      </c>
      <c r="C2471" s="4"/>
      <c r="D2471" s="31"/>
      <c r="E2471" s="4"/>
      <c r="F2471" s="15"/>
      <c r="G2471" s="4"/>
    </row>
    <row r="2472" ht="14.25" customHeight="1">
      <c r="A2472" s="8" t="s">
        <v>4619</v>
      </c>
      <c r="B2472" s="8">
        <v>6.5</v>
      </c>
      <c r="C2472" s="4"/>
      <c r="D2472" s="31"/>
      <c r="E2472" s="4"/>
      <c r="F2472" s="15"/>
      <c r="G2472" s="4"/>
    </row>
    <row r="2473" ht="14.25" customHeight="1">
      <c r="A2473" s="8" t="s">
        <v>5044</v>
      </c>
      <c r="B2473" s="8">
        <v>8.3</v>
      </c>
      <c r="C2473" s="4"/>
      <c r="D2473" s="31"/>
      <c r="E2473" s="4"/>
      <c r="F2473" s="15"/>
      <c r="G2473" s="4"/>
    </row>
    <row r="2474" ht="14.25" customHeight="1">
      <c r="A2474" s="8" t="s">
        <v>2007</v>
      </c>
      <c r="B2474" s="8">
        <v>7.2</v>
      </c>
      <c r="C2474" s="4"/>
      <c r="D2474" s="31"/>
      <c r="E2474" s="4"/>
      <c r="F2474" s="15"/>
      <c r="G2474" s="4"/>
    </row>
    <row r="2475" ht="14.25" customHeight="1">
      <c r="A2475" s="8" t="s">
        <v>2081</v>
      </c>
      <c r="B2475" s="8">
        <v>6.8</v>
      </c>
      <c r="C2475" s="4"/>
      <c r="D2475" s="31"/>
      <c r="E2475" s="4"/>
      <c r="F2475" s="15"/>
      <c r="G2475" s="4"/>
    </row>
    <row r="2476" ht="14.25" customHeight="1">
      <c r="A2476" s="8" t="s">
        <v>5050</v>
      </c>
      <c r="B2476" s="8">
        <v>6.4</v>
      </c>
      <c r="C2476" s="4"/>
      <c r="D2476" s="31"/>
      <c r="E2476" s="4"/>
      <c r="F2476" s="15"/>
      <c r="G2476" s="4"/>
    </row>
    <row r="2477" ht="14.25" customHeight="1">
      <c r="A2477" s="8" t="s">
        <v>5053</v>
      </c>
      <c r="B2477" s="8">
        <v>6.9</v>
      </c>
      <c r="C2477" s="4"/>
      <c r="D2477" s="31"/>
      <c r="E2477" s="4"/>
      <c r="F2477" s="15"/>
      <c r="G2477" s="4"/>
    </row>
    <row r="2478" ht="14.25" customHeight="1">
      <c r="A2478" s="8" t="s">
        <v>5056</v>
      </c>
      <c r="B2478" s="8">
        <v>6.2</v>
      </c>
      <c r="C2478" s="4"/>
      <c r="D2478" s="31"/>
      <c r="E2478" s="4"/>
      <c r="F2478" s="15"/>
      <c r="G2478" s="4"/>
    </row>
    <row r="2479" ht="14.25" customHeight="1">
      <c r="A2479" s="8" t="s">
        <v>5060</v>
      </c>
      <c r="B2479" s="8">
        <v>6.1</v>
      </c>
      <c r="C2479" s="4"/>
      <c r="D2479" s="31"/>
      <c r="E2479" s="4"/>
      <c r="F2479" s="15"/>
      <c r="G2479" s="4"/>
    </row>
    <row r="2480" ht="14.25" customHeight="1">
      <c r="A2480" s="8" t="s">
        <v>5063</v>
      </c>
      <c r="B2480" s="8">
        <v>5.1</v>
      </c>
      <c r="C2480" s="4"/>
      <c r="D2480" s="31"/>
      <c r="E2480" s="4"/>
      <c r="F2480" s="15"/>
      <c r="G2480" s="4"/>
    </row>
    <row r="2481" ht="14.25" customHeight="1">
      <c r="A2481" s="8" t="s">
        <v>5065</v>
      </c>
      <c r="B2481" s="8">
        <v>4.5</v>
      </c>
      <c r="C2481" s="4"/>
      <c r="D2481" s="31"/>
      <c r="E2481" s="4"/>
      <c r="F2481" s="15"/>
      <c r="G2481" s="4"/>
    </row>
    <row r="2482" ht="14.25" customHeight="1">
      <c r="A2482" s="8" t="s">
        <v>5069</v>
      </c>
      <c r="B2482" s="8">
        <v>5.9</v>
      </c>
      <c r="C2482" s="4"/>
      <c r="D2482" s="31"/>
      <c r="E2482" s="4"/>
      <c r="F2482" s="15"/>
      <c r="G2482" s="4"/>
    </row>
    <row r="2483" ht="14.25" customHeight="1">
      <c r="A2483" s="8" t="s">
        <v>1719</v>
      </c>
      <c r="B2483" s="8">
        <v>8.1</v>
      </c>
      <c r="C2483" s="4"/>
      <c r="D2483" s="31"/>
      <c r="E2483" s="4"/>
      <c r="F2483" s="15"/>
      <c r="G2483" s="4"/>
    </row>
    <row r="2484" ht="14.25" customHeight="1">
      <c r="A2484" s="8" t="s">
        <v>5074</v>
      </c>
      <c r="B2484" s="8">
        <v>5.7</v>
      </c>
      <c r="C2484" s="4"/>
      <c r="D2484" s="31"/>
      <c r="E2484" s="4"/>
      <c r="F2484" s="15"/>
      <c r="G2484" s="4"/>
    </row>
    <row r="2485" ht="14.25" customHeight="1">
      <c r="A2485" s="8" t="s">
        <v>159</v>
      </c>
      <c r="B2485" s="8">
        <v>6.8</v>
      </c>
      <c r="C2485" s="4"/>
      <c r="D2485" s="31"/>
      <c r="E2485" s="4"/>
      <c r="F2485" s="15"/>
      <c r="G2485" s="4"/>
    </row>
    <row r="2486" ht="14.25" customHeight="1">
      <c r="A2486" s="8" t="s">
        <v>5077</v>
      </c>
      <c r="B2486" s="8">
        <v>7.5</v>
      </c>
      <c r="C2486" s="4"/>
      <c r="D2486" s="31"/>
      <c r="E2486" s="4"/>
      <c r="F2486" s="15"/>
      <c r="G2486" s="4"/>
    </row>
    <row r="2487" ht="14.25" customHeight="1">
      <c r="A2487" s="8" t="s">
        <v>1506</v>
      </c>
      <c r="B2487" s="8">
        <v>8.3</v>
      </c>
      <c r="C2487" s="4"/>
      <c r="D2487" s="31"/>
      <c r="E2487" s="4"/>
      <c r="F2487" s="15"/>
      <c r="G2487" s="4"/>
    </row>
    <row r="2488" ht="14.25" customHeight="1">
      <c r="A2488" s="8" t="s">
        <v>5080</v>
      </c>
      <c r="B2488" s="8">
        <v>7.4</v>
      </c>
      <c r="C2488" s="4"/>
      <c r="D2488" s="31"/>
      <c r="E2488" s="4"/>
      <c r="F2488" s="15"/>
      <c r="G2488" s="4"/>
    </row>
    <row r="2489" ht="14.25" customHeight="1">
      <c r="A2489" s="8" t="s">
        <v>2132</v>
      </c>
      <c r="B2489" s="8">
        <v>8.0</v>
      </c>
      <c r="C2489" s="4"/>
      <c r="D2489" s="31"/>
      <c r="E2489" s="4"/>
      <c r="F2489" s="15"/>
      <c r="G2489" s="4"/>
    </row>
    <row r="2490" ht="14.25" customHeight="1">
      <c r="A2490" s="8" t="s">
        <v>2085</v>
      </c>
      <c r="B2490" s="8">
        <v>6.9</v>
      </c>
      <c r="C2490" s="4"/>
      <c r="D2490" s="31"/>
      <c r="E2490" s="4"/>
      <c r="F2490" s="15"/>
      <c r="G2490" s="4"/>
    </row>
    <row r="2491" ht="14.25" customHeight="1">
      <c r="A2491" s="8" t="s">
        <v>1349</v>
      </c>
      <c r="B2491" s="8">
        <v>6.9</v>
      </c>
      <c r="C2491" s="4"/>
      <c r="D2491" s="31"/>
      <c r="E2491" s="4"/>
      <c r="F2491" s="15"/>
      <c r="G2491" s="4"/>
    </row>
    <row r="2492" ht="14.25" customHeight="1">
      <c r="A2492" s="8" t="s">
        <v>5087</v>
      </c>
      <c r="B2492" s="8">
        <v>5.5</v>
      </c>
      <c r="C2492" s="4"/>
      <c r="D2492" s="31"/>
      <c r="E2492" s="4"/>
      <c r="F2492" s="15"/>
      <c r="G2492" s="4"/>
    </row>
    <row r="2493" ht="14.25" customHeight="1">
      <c r="A2493" s="8" t="s">
        <v>324</v>
      </c>
      <c r="B2493" s="8">
        <v>7.2</v>
      </c>
      <c r="C2493" s="4"/>
      <c r="D2493" s="31"/>
      <c r="E2493" s="4"/>
      <c r="F2493" s="15"/>
      <c r="G2493" s="4"/>
    </row>
    <row r="2494" ht="14.25" customHeight="1">
      <c r="A2494" s="8" t="s">
        <v>300</v>
      </c>
      <c r="B2494" s="8">
        <v>6.9</v>
      </c>
      <c r="C2494" s="4"/>
      <c r="D2494" s="31"/>
      <c r="E2494" s="4"/>
      <c r="F2494" s="15"/>
      <c r="G2494" s="4"/>
    </row>
    <row r="2495" ht="14.25" customHeight="1">
      <c r="A2495" s="8" t="s">
        <v>2205</v>
      </c>
      <c r="B2495" s="8">
        <v>5.5</v>
      </c>
      <c r="C2495" s="4"/>
      <c r="D2495" s="31"/>
      <c r="E2495" s="4"/>
      <c r="F2495" s="15"/>
      <c r="G2495" s="4"/>
    </row>
    <row r="2496" ht="14.25" customHeight="1">
      <c r="A2496" s="8" t="s">
        <v>3795</v>
      </c>
      <c r="B2496" s="8">
        <v>5.2</v>
      </c>
      <c r="C2496" s="4"/>
      <c r="D2496" s="31"/>
      <c r="E2496" s="4"/>
      <c r="F2496" s="15"/>
      <c r="G2496" s="4"/>
    </row>
    <row r="2497" ht="14.25" customHeight="1">
      <c r="A2497" s="8" t="s">
        <v>3187</v>
      </c>
      <c r="B2497" s="8">
        <v>7.1</v>
      </c>
      <c r="C2497" s="4"/>
      <c r="D2497" s="31"/>
      <c r="E2497" s="4"/>
      <c r="F2497" s="15"/>
      <c r="G2497" s="4"/>
    </row>
    <row r="2498" ht="14.25" customHeight="1">
      <c r="A2498" s="8" t="s">
        <v>5097</v>
      </c>
      <c r="B2498" s="8">
        <v>5.5</v>
      </c>
      <c r="C2498" s="4"/>
      <c r="D2498" s="31"/>
      <c r="E2498" s="4"/>
      <c r="F2498" s="15"/>
      <c r="G2498" s="4"/>
    </row>
    <row r="2499" ht="14.25" customHeight="1">
      <c r="A2499" s="8" t="s">
        <v>5099</v>
      </c>
      <c r="B2499" s="8">
        <v>6.7</v>
      </c>
      <c r="C2499" s="4"/>
      <c r="D2499" s="31"/>
      <c r="E2499" s="4"/>
      <c r="F2499" s="15"/>
      <c r="G2499" s="4"/>
    </row>
    <row r="2500" ht="14.25" customHeight="1">
      <c r="A2500" s="8" t="s">
        <v>3833</v>
      </c>
      <c r="B2500" s="8">
        <v>5.0</v>
      </c>
      <c r="C2500" s="4"/>
      <c r="D2500" s="31"/>
      <c r="E2500" s="4"/>
      <c r="F2500" s="15"/>
      <c r="G2500" s="4"/>
    </row>
    <row r="2501" ht="14.25" customHeight="1">
      <c r="A2501" s="8" t="s">
        <v>1992</v>
      </c>
      <c r="B2501" s="8">
        <v>6.4</v>
      </c>
      <c r="C2501" s="4"/>
      <c r="D2501" s="31"/>
      <c r="E2501" s="4"/>
      <c r="F2501" s="15"/>
      <c r="G2501" s="4"/>
    </row>
    <row r="2502" ht="14.25" customHeight="1">
      <c r="A2502" s="8" t="s">
        <v>4963</v>
      </c>
      <c r="B2502" s="8">
        <v>6.6</v>
      </c>
      <c r="C2502" s="4"/>
      <c r="D2502" s="31"/>
      <c r="E2502" s="4"/>
      <c r="F2502" s="15"/>
      <c r="G2502" s="4"/>
    </row>
    <row r="2503" ht="14.25" customHeight="1">
      <c r="A2503" s="8" t="s">
        <v>1205</v>
      </c>
      <c r="B2503" s="8">
        <v>5.9</v>
      </c>
      <c r="C2503" s="4"/>
      <c r="D2503" s="31"/>
      <c r="E2503" s="4"/>
      <c r="F2503" s="15"/>
      <c r="G2503" s="4"/>
    </row>
    <row r="2504" ht="14.25" customHeight="1">
      <c r="A2504" s="8" t="s">
        <v>1846</v>
      </c>
      <c r="B2504" s="8">
        <v>5.7</v>
      </c>
      <c r="C2504" s="4"/>
      <c r="D2504" s="31"/>
      <c r="E2504" s="4"/>
      <c r="F2504" s="15"/>
      <c r="G2504" s="4"/>
    </row>
    <row r="2505" ht="14.25" customHeight="1">
      <c r="A2505" s="8" t="s">
        <v>2511</v>
      </c>
      <c r="B2505" s="8">
        <v>4.5</v>
      </c>
      <c r="C2505" s="4"/>
      <c r="D2505" s="31"/>
      <c r="E2505" s="4"/>
      <c r="F2505" s="15"/>
      <c r="G2505" s="4"/>
    </row>
    <row r="2506" ht="14.25" customHeight="1">
      <c r="A2506" s="8" t="s">
        <v>4584</v>
      </c>
      <c r="B2506" s="8">
        <v>5.0</v>
      </c>
      <c r="C2506" s="4"/>
      <c r="D2506" s="31"/>
      <c r="E2506" s="4"/>
      <c r="F2506" s="15"/>
      <c r="G2506" s="4"/>
    </row>
    <row r="2507" ht="14.25" customHeight="1">
      <c r="A2507" s="8" t="s">
        <v>2271</v>
      </c>
      <c r="B2507" s="8">
        <v>4.6</v>
      </c>
      <c r="C2507" s="4"/>
      <c r="D2507" s="31"/>
      <c r="E2507" s="4"/>
      <c r="F2507" s="15"/>
      <c r="G2507" s="4"/>
    </row>
    <row r="2508" ht="14.25" customHeight="1">
      <c r="A2508" s="8" t="s">
        <v>583</v>
      </c>
      <c r="B2508" s="8">
        <v>6.5</v>
      </c>
      <c r="C2508" s="4"/>
      <c r="D2508" s="31"/>
      <c r="E2508" s="4"/>
      <c r="F2508" s="15"/>
      <c r="G2508" s="4"/>
    </row>
    <row r="2509" ht="14.25" customHeight="1">
      <c r="A2509" s="8" t="s">
        <v>5115</v>
      </c>
      <c r="B2509" s="8">
        <v>4.9</v>
      </c>
      <c r="C2509" s="4"/>
      <c r="D2509" s="31"/>
      <c r="E2509" s="4"/>
      <c r="F2509" s="15"/>
      <c r="G2509" s="4"/>
    </row>
    <row r="2510" ht="14.25" customHeight="1">
      <c r="A2510" s="8" t="s">
        <v>5118</v>
      </c>
      <c r="B2510" s="8">
        <v>6.0</v>
      </c>
      <c r="C2510" s="4"/>
      <c r="D2510" s="31"/>
      <c r="E2510" s="4"/>
      <c r="F2510" s="15"/>
      <c r="G2510" s="4"/>
    </row>
    <row r="2511" ht="14.25" customHeight="1">
      <c r="A2511" s="8" t="s">
        <v>5120</v>
      </c>
      <c r="B2511" s="8">
        <v>6.9</v>
      </c>
      <c r="C2511" s="4"/>
      <c r="D2511" s="31"/>
      <c r="E2511" s="4"/>
      <c r="F2511" s="15"/>
      <c r="G2511" s="4"/>
    </row>
    <row r="2512" ht="14.25" customHeight="1">
      <c r="A2512" s="8" t="s">
        <v>5124</v>
      </c>
      <c r="B2512" s="8">
        <v>5.7</v>
      </c>
      <c r="C2512" s="4"/>
      <c r="D2512" s="31"/>
      <c r="E2512" s="4"/>
      <c r="F2512" s="15"/>
      <c r="G2512" s="4"/>
    </row>
    <row r="2513" ht="14.25" customHeight="1">
      <c r="A2513" s="8" t="s">
        <v>2048</v>
      </c>
      <c r="B2513" s="8">
        <v>6.9</v>
      </c>
      <c r="C2513" s="4"/>
      <c r="D2513" s="31"/>
      <c r="E2513" s="4"/>
      <c r="F2513" s="15"/>
      <c r="G2513" s="4"/>
    </row>
    <row r="2514" ht="14.25" customHeight="1">
      <c r="A2514" s="8" t="s">
        <v>5127</v>
      </c>
      <c r="B2514" s="8">
        <v>4.4</v>
      </c>
      <c r="C2514" s="4"/>
      <c r="D2514" s="31"/>
      <c r="E2514" s="4"/>
      <c r="F2514" s="15"/>
      <c r="G2514" s="4"/>
    </row>
    <row r="2515" ht="14.25" customHeight="1">
      <c r="A2515" s="8" t="s">
        <v>5130</v>
      </c>
      <c r="B2515" s="8">
        <v>7.0</v>
      </c>
      <c r="C2515" s="4"/>
      <c r="D2515" s="31"/>
      <c r="E2515" s="4"/>
      <c r="F2515" s="15"/>
      <c r="G2515" s="4"/>
    </row>
    <row r="2516" ht="14.25" customHeight="1">
      <c r="A2516" s="8" t="s">
        <v>863</v>
      </c>
      <c r="B2516" s="8">
        <v>5.4</v>
      </c>
      <c r="C2516" s="4"/>
      <c r="D2516" s="31"/>
      <c r="E2516" s="4"/>
      <c r="F2516" s="15"/>
      <c r="G2516" s="4"/>
    </row>
    <row r="2517" ht="14.25" customHeight="1">
      <c r="A2517" s="8" t="s">
        <v>5135</v>
      </c>
      <c r="B2517" s="8">
        <v>5.4</v>
      </c>
      <c r="C2517" s="4"/>
      <c r="D2517" s="31"/>
      <c r="E2517" s="4"/>
      <c r="F2517" s="15"/>
      <c r="G2517" s="4"/>
    </row>
    <row r="2518" ht="14.25" customHeight="1">
      <c r="A2518" s="8" t="s">
        <v>5138</v>
      </c>
      <c r="B2518" s="8">
        <v>7.6</v>
      </c>
      <c r="C2518" s="4"/>
      <c r="D2518" s="31"/>
      <c r="E2518" s="4"/>
      <c r="F2518" s="15"/>
      <c r="G2518" s="4"/>
    </row>
    <row r="2519" ht="14.25" customHeight="1">
      <c r="A2519" s="8" t="s">
        <v>5140</v>
      </c>
      <c r="B2519" s="8">
        <v>5.9</v>
      </c>
      <c r="C2519" s="4"/>
      <c r="D2519" s="31"/>
      <c r="E2519" s="4"/>
      <c r="F2519" s="15"/>
      <c r="G2519" s="4"/>
    </row>
    <row r="2520" ht="14.25" customHeight="1">
      <c r="A2520" s="8" t="s">
        <v>3968</v>
      </c>
      <c r="B2520" s="8">
        <v>6.6</v>
      </c>
      <c r="C2520" s="4"/>
      <c r="D2520" s="31"/>
      <c r="E2520" s="4"/>
      <c r="F2520" s="15"/>
      <c r="G2520" s="4"/>
    </row>
    <row r="2521" ht="14.25" customHeight="1">
      <c r="A2521" s="8" t="s">
        <v>502</v>
      </c>
      <c r="B2521" s="8">
        <v>6.7</v>
      </c>
      <c r="C2521" s="4"/>
      <c r="D2521" s="31"/>
      <c r="E2521" s="4"/>
      <c r="F2521" s="15"/>
      <c r="G2521" s="4"/>
    </row>
    <row r="2522" ht="14.25" customHeight="1">
      <c r="A2522" s="8" t="s">
        <v>5145</v>
      </c>
      <c r="B2522" s="8">
        <v>3.9</v>
      </c>
      <c r="C2522" s="4"/>
      <c r="D2522" s="31"/>
      <c r="E2522" s="4"/>
      <c r="F2522" s="15"/>
      <c r="G2522" s="4"/>
    </row>
    <row r="2523" ht="14.25" customHeight="1">
      <c r="A2523" s="8" t="s">
        <v>4809</v>
      </c>
      <c r="B2523" s="8">
        <v>5.7</v>
      </c>
      <c r="C2523" s="4"/>
      <c r="D2523" s="31"/>
      <c r="E2523" s="4"/>
      <c r="F2523" s="15"/>
      <c r="G2523" s="4"/>
    </row>
    <row r="2524" ht="14.25" customHeight="1">
      <c r="A2524" s="8" t="s">
        <v>5150</v>
      </c>
      <c r="B2524" s="8">
        <v>6.5</v>
      </c>
      <c r="C2524" s="4"/>
      <c r="D2524" s="31"/>
      <c r="E2524" s="4"/>
      <c r="F2524" s="15"/>
      <c r="G2524" s="4"/>
    </row>
    <row r="2525" ht="14.25" customHeight="1">
      <c r="A2525" s="8" t="s">
        <v>4377</v>
      </c>
      <c r="B2525" s="8">
        <v>6.8</v>
      </c>
      <c r="C2525" s="4"/>
      <c r="D2525" s="31"/>
      <c r="E2525" s="4"/>
      <c r="F2525" s="15"/>
      <c r="G2525" s="4"/>
    </row>
    <row r="2526" ht="14.25" customHeight="1">
      <c r="A2526" s="8" t="s">
        <v>2181</v>
      </c>
      <c r="B2526" s="8">
        <v>7.3</v>
      </c>
      <c r="C2526" s="4"/>
      <c r="D2526" s="31"/>
      <c r="E2526" s="4"/>
      <c r="F2526" s="15"/>
      <c r="G2526" s="4"/>
    </row>
    <row r="2527" ht="14.25" customHeight="1">
      <c r="A2527" s="8" t="s">
        <v>1006</v>
      </c>
      <c r="B2527" s="8">
        <v>7.0</v>
      </c>
      <c r="C2527" s="4"/>
      <c r="D2527" s="31"/>
      <c r="E2527" s="4"/>
      <c r="F2527" s="15"/>
      <c r="G2527" s="4"/>
    </row>
    <row r="2528" ht="14.25" customHeight="1">
      <c r="A2528" s="8" t="s">
        <v>5159</v>
      </c>
      <c r="B2528" s="8">
        <v>6.5</v>
      </c>
      <c r="C2528" s="4"/>
      <c r="D2528" s="31"/>
      <c r="E2528" s="4"/>
      <c r="F2528" s="15"/>
      <c r="G2528" s="4"/>
    </row>
    <row r="2529" ht="14.25" customHeight="1">
      <c r="A2529" s="8" t="s">
        <v>1580</v>
      </c>
      <c r="B2529" s="8">
        <v>7.7</v>
      </c>
      <c r="C2529" s="4"/>
      <c r="D2529" s="31"/>
      <c r="E2529" s="4"/>
      <c r="F2529" s="15"/>
      <c r="G2529" s="4"/>
    </row>
    <row r="2530" ht="14.25" customHeight="1">
      <c r="A2530" s="8" t="s">
        <v>448</v>
      </c>
      <c r="B2530" s="8">
        <v>7.7</v>
      </c>
      <c r="C2530" s="4"/>
      <c r="D2530" s="31"/>
      <c r="E2530" s="4"/>
      <c r="F2530" s="15"/>
      <c r="G2530" s="4"/>
    </row>
    <row r="2531" ht="14.25" customHeight="1">
      <c r="A2531" s="8" t="s">
        <v>373</v>
      </c>
      <c r="B2531" s="8">
        <v>5.9</v>
      </c>
      <c r="C2531" s="4"/>
      <c r="D2531" s="31"/>
      <c r="E2531" s="4"/>
      <c r="F2531" s="15"/>
      <c r="G2531" s="4"/>
    </row>
    <row r="2532" ht="14.25" customHeight="1">
      <c r="A2532" s="8" t="s">
        <v>4308</v>
      </c>
      <c r="B2532" s="8">
        <v>6.8</v>
      </c>
      <c r="C2532" s="4"/>
      <c r="D2532" s="31"/>
      <c r="E2532" s="4"/>
      <c r="F2532" s="15"/>
      <c r="G2532" s="4"/>
    </row>
    <row r="2533" ht="14.25" customHeight="1">
      <c r="A2533" s="8" t="s">
        <v>4397</v>
      </c>
      <c r="B2533" s="8">
        <v>7.4</v>
      </c>
      <c r="C2533" s="4"/>
      <c r="D2533" s="31"/>
      <c r="E2533" s="4"/>
      <c r="F2533" s="15"/>
      <c r="G2533" s="4"/>
    </row>
    <row r="2534" ht="14.25" customHeight="1">
      <c r="A2534" s="8" t="s">
        <v>2856</v>
      </c>
      <c r="B2534" s="8">
        <v>5.1</v>
      </c>
      <c r="C2534" s="4"/>
      <c r="D2534" s="31"/>
      <c r="E2534" s="4"/>
      <c r="F2534" s="15"/>
      <c r="G2534" s="4"/>
    </row>
    <row r="2535" ht="14.25" customHeight="1">
      <c r="A2535" s="8" t="s">
        <v>3575</v>
      </c>
      <c r="B2535" s="8">
        <v>7.4</v>
      </c>
      <c r="C2535" s="4"/>
      <c r="D2535" s="31"/>
      <c r="E2535" s="4"/>
      <c r="F2535" s="15"/>
      <c r="G2535" s="4"/>
    </row>
    <row r="2536" ht="14.25" customHeight="1">
      <c r="A2536" s="8" t="s">
        <v>5008</v>
      </c>
      <c r="B2536" s="8">
        <v>7.2</v>
      </c>
      <c r="C2536" s="4"/>
      <c r="D2536" s="31"/>
      <c r="E2536" s="4"/>
      <c r="F2536" s="15"/>
      <c r="G2536" s="4"/>
    </row>
    <row r="2537" ht="14.25" customHeight="1">
      <c r="A2537" s="8" t="s">
        <v>1209</v>
      </c>
      <c r="B2537" s="8">
        <v>8.3</v>
      </c>
      <c r="C2537" s="4"/>
      <c r="D2537" s="31"/>
      <c r="E2537" s="4"/>
      <c r="F2537" s="15"/>
      <c r="G2537" s="4"/>
    </row>
    <row r="2538" ht="14.25" customHeight="1">
      <c r="A2538" s="8" t="s">
        <v>1456</v>
      </c>
      <c r="B2538" s="8">
        <v>8.1</v>
      </c>
      <c r="C2538" s="4"/>
      <c r="D2538" s="31"/>
      <c r="E2538" s="4"/>
      <c r="F2538" s="15"/>
      <c r="G2538" s="4"/>
    </row>
    <row r="2539" ht="14.25" customHeight="1">
      <c r="A2539" s="8" t="s">
        <v>1274</v>
      </c>
      <c r="B2539" s="8">
        <v>7.3</v>
      </c>
      <c r="C2539" s="4"/>
      <c r="D2539" s="31"/>
      <c r="E2539" s="4"/>
      <c r="F2539" s="15"/>
      <c r="G2539" s="4"/>
    </row>
    <row r="2540" ht="14.25" customHeight="1">
      <c r="A2540" s="8" t="s">
        <v>3164</v>
      </c>
      <c r="B2540" s="8">
        <v>3.6</v>
      </c>
      <c r="C2540" s="4"/>
      <c r="D2540" s="31"/>
      <c r="E2540" s="4"/>
      <c r="F2540" s="15"/>
      <c r="G2540" s="4"/>
    </row>
    <row r="2541" ht="14.25" customHeight="1">
      <c r="A2541" s="8" t="s">
        <v>451</v>
      </c>
      <c r="B2541" s="8">
        <v>1.6</v>
      </c>
      <c r="C2541" s="4"/>
      <c r="D2541" s="31"/>
      <c r="E2541" s="4"/>
      <c r="F2541" s="15"/>
      <c r="G2541" s="4"/>
    </row>
    <row r="2542" ht="14.25" customHeight="1">
      <c r="A2542" s="8" t="s">
        <v>505</v>
      </c>
      <c r="B2542" s="8">
        <v>8.0</v>
      </c>
      <c r="C2542" s="4"/>
      <c r="D2542" s="31"/>
      <c r="E2542" s="4"/>
      <c r="F2542" s="15"/>
      <c r="G2542" s="4"/>
    </row>
    <row r="2543" ht="14.25" customHeight="1">
      <c r="A2543" s="8" t="s">
        <v>586</v>
      </c>
      <c r="B2543" s="8">
        <v>6.2</v>
      </c>
      <c r="C2543" s="4"/>
      <c r="D2543" s="31"/>
      <c r="E2543" s="4"/>
      <c r="F2543" s="15"/>
      <c r="G2543" s="4"/>
    </row>
    <row r="2544" ht="14.25" customHeight="1">
      <c r="A2544" s="8" t="s">
        <v>1957</v>
      </c>
      <c r="B2544" s="8">
        <v>9.0</v>
      </c>
      <c r="C2544" s="4"/>
      <c r="D2544" s="31"/>
      <c r="E2544" s="4"/>
      <c r="F2544" s="15"/>
      <c r="G2544" s="4"/>
    </row>
    <row r="2545" ht="14.25" customHeight="1">
      <c r="A2545" s="8" t="s">
        <v>2297</v>
      </c>
      <c r="B2545" s="8">
        <v>6.1</v>
      </c>
      <c r="C2545" s="4"/>
      <c r="D2545" s="31"/>
      <c r="E2545" s="4"/>
      <c r="F2545" s="15"/>
      <c r="G2545" s="4"/>
    </row>
    <row r="2546" ht="14.25" customHeight="1">
      <c r="A2546" s="8" t="s">
        <v>875</v>
      </c>
      <c r="B2546" s="8">
        <v>5.7</v>
      </c>
      <c r="C2546" s="4"/>
      <c r="D2546" s="31"/>
      <c r="E2546" s="4"/>
      <c r="F2546" s="15"/>
      <c r="G2546" s="4"/>
    </row>
    <row r="2547" ht="14.25" customHeight="1">
      <c r="A2547" s="8" t="s">
        <v>3845</v>
      </c>
      <c r="B2547" s="8">
        <v>6.8</v>
      </c>
      <c r="C2547" s="4"/>
      <c r="D2547" s="31"/>
      <c r="E2547" s="4"/>
      <c r="F2547" s="15"/>
      <c r="G2547" s="4"/>
    </row>
    <row r="2548" ht="14.25" customHeight="1">
      <c r="A2548" s="8" t="s">
        <v>5184</v>
      </c>
      <c r="B2548" s="8">
        <v>5.5</v>
      </c>
      <c r="C2548" s="4"/>
      <c r="D2548" s="31"/>
      <c r="E2548" s="4"/>
      <c r="F2548" s="15"/>
      <c r="G2548" s="4"/>
    </row>
    <row r="2549" ht="14.25" customHeight="1">
      <c r="A2549" s="8" t="s">
        <v>5186</v>
      </c>
      <c r="B2549" s="8">
        <v>6.8</v>
      </c>
      <c r="C2549" s="4"/>
      <c r="D2549" s="31"/>
      <c r="E2549" s="4"/>
      <c r="F2549" s="15"/>
      <c r="G2549" s="4"/>
    </row>
    <row r="2550" ht="14.25" customHeight="1">
      <c r="A2550" s="8" t="s">
        <v>5189</v>
      </c>
      <c r="B2550" s="8">
        <v>7.3</v>
      </c>
      <c r="C2550" s="4"/>
      <c r="D2550" s="31"/>
      <c r="E2550" s="4"/>
      <c r="F2550" s="15"/>
      <c r="G2550" s="4"/>
    </row>
    <row r="2551" ht="14.25" customHeight="1">
      <c r="A2551" s="8" t="s">
        <v>2856</v>
      </c>
      <c r="B2551" s="8">
        <v>6.1</v>
      </c>
      <c r="C2551" s="4"/>
      <c r="D2551" s="31"/>
      <c r="E2551" s="4"/>
      <c r="F2551" s="15"/>
      <c r="G2551" s="4"/>
    </row>
    <row r="2552" ht="14.25" customHeight="1">
      <c r="A2552" s="8" t="s">
        <v>2957</v>
      </c>
      <c r="B2552" s="8">
        <v>7.2</v>
      </c>
      <c r="C2552" s="4"/>
      <c r="D2552" s="31"/>
      <c r="E2552" s="4"/>
      <c r="F2552" s="15"/>
      <c r="G2552" s="4"/>
    </row>
    <row r="2553" ht="14.25" customHeight="1">
      <c r="A2553" s="8" t="s">
        <v>5193</v>
      </c>
      <c r="B2553" s="8">
        <v>5.9</v>
      </c>
      <c r="C2553" s="4"/>
      <c r="D2553" s="31"/>
      <c r="E2553" s="4"/>
      <c r="F2553" s="15"/>
      <c r="G2553" s="4"/>
    </row>
    <row r="2554" ht="14.25" customHeight="1">
      <c r="A2554" s="8" t="s">
        <v>5195</v>
      </c>
      <c r="B2554" s="8">
        <v>6.1</v>
      </c>
      <c r="C2554" s="4"/>
      <c r="D2554" s="31"/>
      <c r="E2554" s="4"/>
      <c r="F2554" s="15"/>
      <c r="G2554" s="4"/>
    </row>
    <row r="2555" ht="14.25" customHeight="1">
      <c r="A2555" s="8" t="s">
        <v>2066</v>
      </c>
      <c r="B2555" s="8">
        <v>6.8</v>
      </c>
      <c r="C2555" s="4"/>
      <c r="D2555" s="31"/>
      <c r="E2555" s="4"/>
      <c r="F2555" s="15"/>
      <c r="G2555" s="4"/>
    </row>
    <row r="2556" ht="14.25" customHeight="1">
      <c r="A2556" s="8" t="s">
        <v>5199</v>
      </c>
      <c r="B2556" s="8">
        <v>7.7</v>
      </c>
      <c r="C2556" s="4"/>
      <c r="D2556" s="31"/>
      <c r="E2556" s="4"/>
      <c r="F2556" s="15"/>
      <c r="G2556" s="4"/>
    </row>
    <row r="2557" ht="14.25" customHeight="1">
      <c r="A2557" s="8" t="s">
        <v>4305</v>
      </c>
      <c r="B2557" s="8">
        <v>4.9</v>
      </c>
      <c r="C2557" s="4"/>
      <c r="D2557" s="31"/>
      <c r="E2557" s="4"/>
      <c r="F2557" s="15"/>
      <c r="G2557" s="4"/>
    </row>
    <row r="2558" ht="14.25" customHeight="1">
      <c r="A2558" s="8" t="s">
        <v>5203</v>
      </c>
      <c r="B2558" s="8">
        <v>6.1</v>
      </c>
      <c r="C2558" s="4"/>
      <c r="D2558" s="31"/>
      <c r="E2558" s="4"/>
      <c r="F2558" s="15"/>
      <c r="G2558" s="4"/>
    </row>
    <row r="2559" ht="14.25" customHeight="1">
      <c r="A2559" s="8" t="s">
        <v>4355</v>
      </c>
      <c r="B2559" s="8">
        <v>2.5</v>
      </c>
      <c r="C2559" s="4"/>
      <c r="D2559" s="31"/>
      <c r="E2559" s="4"/>
      <c r="F2559" s="15"/>
      <c r="G2559" s="4"/>
    </row>
    <row r="2560" ht="14.25" customHeight="1">
      <c r="A2560" s="8" t="s">
        <v>5208</v>
      </c>
      <c r="B2560" s="8">
        <v>6.1</v>
      </c>
      <c r="C2560" s="4"/>
      <c r="D2560" s="31"/>
      <c r="E2560" s="4"/>
      <c r="F2560" s="15"/>
      <c r="G2560" s="4"/>
    </row>
    <row r="2561" ht="14.25" customHeight="1">
      <c r="A2561" s="8" t="s">
        <v>5210</v>
      </c>
      <c r="B2561" s="8">
        <v>5.9</v>
      </c>
      <c r="C2561" s="4"/>
      <c r="D2561" s="31"/>
      <c r="E2561" s="4"/>
      <c r="F2561" s="15"/>
      <c r="G2561" s="4"/>
    </row>
    <row r="2562" ht="14.25" customHeight="1">
      <c r="A2562" s="8" t="s">
        <v>5212</v>
      </c>
      <c r="B2562" s="8">
        <v>5.7</v>
      </c>
      <c r="C2562" s="4"/>
      <c r="D2562" s="31"/>
      <c r="E2562" s="4"/>
      <c r="F2562" s="15"/>
      <c r="G2562" s="4"/>
    </row>
    <row r="2563" ht="14.25" customHeight="1">
      <c r="A2563" s="8" t="s">
        <v>5215</v>
      </c>
      <c r="B2563" s="8">
        <v>5.6</v>
      </c>
      <c r="C2563" s="4"/>
      <c r="D2563" s="31"/>
      <c r="E2563" s="4"/>
      <c r="F2563" s="15"/>
      <c r="G2563" s="4"/>
    </row>
    <row r="2564" ht="14.25" customHeight="1">
      <c r="A2564" s="8" t="s">
        <v>1331</v>
      </c>
      <c r="B2564" s="8">
        <v>7.2</v>
      </c>
      <c r="C2564" s="4"/>
      <c r="D2564" s="31"/>
      <c r="E2564" s="4"/>
      <c r="F2564" s="15"/>
      <c r="G2564" s="4"/>
    </row>
    <row r="2565" ht="14.25" customHeight="1">
      <c r="A2565" s="8" t="s">
        <v>5218</v>
      </c>
      <c r="B2565" s="8">
        <v>7.7</v>
      </c>
      <c r="C2565" s="4"/>
      <c r="D2565" s="31"/>
      <c r="E2565" s="4"/>
      <c r="F2565" s="15"/>
      <c r="G2565" s="4"/>
    </row>
    <row r="2566" ht="14.25" customHeight="1">
      <c r="A2566" s="8" t="s">
        <v>749</v>
      </c>
      <c r="B2566" s="8">
        <v>7.8</v>
      </c>
      <c r="C2566" s="4"/>
      <c r="D2566" s="31"/>
      <c r="E2566" s="4"/>
      <c r="F2566" s="15"/>
      <c r="G2566" s="4"/>
    </row>
    <row r="2567" ht="14.25" customHeight="1">
      <c r="A2567" s="8" t="s">
        <v>5222</v>
      </c>
      <c r="B2567" s="8">
        <v>6.1</v>
      </c>
      <c r="C2567" s="4"/>
      <c r="D2567" s="31"/>
      <c r="E2567" s="4"/>
      <c r="F2567" s="15"/>
      <c r="G2567" s="4"/>
    </row>
    <row r="2568" ht="14.25" customHeight="1">
      <c r="A2568" s="8" t="s">
        <v>623</v>
      </c>
      <c r="B2568" s="8">
        <v>5.8</v>
      </c>
      <c r="C2568" s="4"/>
      <c r="D2568" s="31"/>
      <c r="E2568" s="4"/>
      <c r="F2568" s="15"/>
      <c r="G2568" s="4"/>
    </row>
    <row r="2569" ht="14.25" customHeight="1">
      <c r="A2569" s="8" t="s">
        <v>2172</v>
      </c>
      <c r="B2569" s="8">
        <v>6.5</v>
      </c>
      <c r="C2569" s="4"/>
      <c r="D2569" s="31"/>
      <c r="E2569" s="4"/>
      <c r="F2569" s="15"/>
      <c r="G2569" s="4"/>
    </row>
    <row r="2570" ht="14.25" customHeight="1">
      <c r="A2570" s="8" t="s">
        <v>1506</v>
      </c>
      <c r="B2570" s="8">
        <v>7.9</v>
      </c>
      <c r="C2570" s="4"/>
      <c r="D2570" s="31"/>
      <c r="E2570" s="4"/>
      <c r="F2570" s="15"/>
      <c r="G2570" s="4"/>
    </row>
    <row r="2571" ht="14.25" customHeight="1">
      <c r="A2571" s="8" t="s">
        <v>5230</v>
      </c>
      <c r="B2571" s="8">
        <v>6.3</v>
      </c>
      <c r="C2571" s="4"/>
      <c r="D2571" s="31"/>
      <c r="E2571" s="4"/>
      <c r="F2571" s="15"/>
      <c r="G2571" s="4"/>
    </row>
    <row r="2572" ht="14.25" customHeight="1">
      <c r="A2572" s="8" t="s">
        <v>5232</v>
      </c>
      <c r="B2572" s="8">
        <v>3.8</v>
      </c>
      <c r="C2572" s="4"/>
      <c r="D2572" s="31"/>
      <c r="E2572" s="4"/>
      <c r="F2572" s="15"/>
      <c r="G2572" s="4"/>
    </row>
    <row r="2573" ht="14.25" customHeight="1">
      <c r="A2573" s="8" t="s">
        <v>5234</v>
      </c>
      <c r="B2573" s="8">
        <v>8.3</v>
      </c>
      <c r="C2573" s="4"/>
      <c r="D2573" s="31"/>
      <c r="E2573" s="4"/>
      <c r="F2573" s="15"/>
      <c r="G2573" s="4"/>
    </row>
    <row r="2574" ht="14.25" customHeight="1">
      <c r="A2574" s="8" t="s">
        <v>5236</v>
      </c>
      <c r="B2574" s="8">
        <v>6.4</v>
      </c>
      <c r="C2574" s="4"/>
      <c r="D2574" s="31"/>
      <c r="E2574" s="4"/>
      <c r="F2574" s="15"/>
      <c r="G2574" s="4"/>
    </row>
    <row r="2575" ht="14.25" customHeight="1">
      <c r="A2575" s="8" t="s">
        <v>5239</v>
      </c>
      <c r="B2575" s="8">
        <v>6.7</v>
      </c>
      <c r="C2575" s="4"/>
      <c r="D2575" s="31"/>
      <c r="E2575" s="4"/>
      <c r="F2575" s="15"/>
      <c r="G2575" s="4"/>
    </row>
    <row r="2576" ht="14.25" customHeight="1">
      <c r="A2576" s="8" t="s">
        <v>4237</v>
      </c>
      <c r="B2576" s="8">
        <v>6.1</v>
      </c>
      <c r="C2576" s="4"/>
      <c r="D2576" s="31"/>
      <c r="E2576" s="4"/>
      <c r="F2576" s="15"/>
      <c r="G2576" s="4"/>
    </row>
    <row r="2577" ht="14.25" customHeight="1">
      <c r="A2577" s="8" t="s">
        <v>5242</v>
      </c>
      <c r="B2577" s="8">
        <v>6.0</v>
      </c>
      <c r="C2577" s="4"/>
      <c r="D2577" s="31"/>
      <c r="E2577" s="4"/>
      <c r="F2577" s="15"/>
      <c r="G2577" s="4"/>
    </row>
    <row r="2578" ht="14.25" customHeight="1">
      <c r="A2578" s="8" t="s">
        <v>5244</v>
      </c>
      <c r="B2578" s="8">
        <v>5.8</v>
      </c>
      <c r="C2578" s="4"/>
      <c r="D2578" s="31"/>
      <c r="E2578" s="4"/>
      <c r="F2578" s="15"/>
      <c r="G2578" s="4"/>
    </row>
    <row r="2579" ht="14.25" customHeight="1">
      <c r="A2579" s="8" t="s">
        <v>5246</v>
      </c>
      <c r="B2579" s="8">
        <v>5.6</v>
      </c>
      <c r="C2579" s="4"/>
      <c r="D2579" s="31"/>
      <c r="E2579" s="4"/>
      <c r="F2579" s="15"/>
      <c r="G2579" s="4"/>
    </row>
    <row r="2580" ht="14.25" customHeight="1">
      <c r="A2580" s="8" t="s">
        <v>5249</v>
      </c>
      <c r="B2580" s="8">
        <v>6.1</v>
      </c>
      <c r="C2580" s="4"/>
      <c r="D2580" s="31"/>
      <c r="E2580" s="4"/>
      <c r="F2580" s="15"/>
      <c r="G2580" s="4"/>
    </row>
    <row r="2581" ht="14.25" customHeight="1">
      <c r="A2581" s="8" t="s">
        <v>4162</v>
      </c>
      <c r="B2581" s="8">
        <v>5.9</v>
      </c>
      <c r="C2581" s="4"/>
      <c r="D2581" s="31"/>
      <c r="E2581" s="4"/>
      <c r="F2581" s="15"/>
      <c r="G2581" s="4"/>
    </row>
    <row r="2582" ht="14.25" customHeight="1">
      <c r="A2582" s="8" t="s">
        <v>5253</v>
      </c>
      <c r="B2582" s="8">
        <v>7.3</v>
      </c>
      <c r="C2582" s="4"/>
      <c r="D2582" s="31"/>
      <c r="E2582" s="4"/>
      <c r="F2582" s="15"/>
      <c r="G2582" s="4"/>
    </row>
    <row r="2583" ht="14.25" customHeight="1">
      <c r="A2583" s="8" t="s">
        <v>1773</v>
      </c>
      <c r="B2583" s="8">
        <v>6.8</v>
      </c>
      <c r="C2583" s="4"/>
      <c r="D2583" s="31"/>
      <c r="E2583" s="4"/>
      <c r="F2583" s="15"/>
      <c r="G2583" s="4"/>
    </row>
    <row r="2584" ht="14.25" customHeight="1">
      <c r="A2584" s="8" t="s">
        <v>724</v>
      </c>
      <c r="B2584" s="8">
        <v>5.7</v>
      </c>
      <c r="C2584" s="4"/>
      <c r="D2584" s="31"/>
      <c r="E2584" s="4"/>
      <c r="F2584" s="15"/>
      <c r="G2584" s="4"/>
    </row>
    <row r="2585" ht="14.25" customHeight="1">
      <c r="A2585" s="8" t="s">
        <v>5257</v>
      </c>
      <c r="B2585" s="8">
        <v>7.3</v>
      </c>
      <c r="C2585" s="4"/>
      <c r="D2585" s="31"/>
      <c r="E2585" s="4"/>
      <c r="F2585" s="15"/>
      <c r="G2585" s="4"/>
    </row>
    <row r="2586" ht="14.25" customHeight="1">
      <c r="A2586" s="8" t="s">
        <v>3888</v>
      </c>
      <c r="B2586" s="8">
        <v>6.3</v>
      </c>
      <c r="C2586" s="4"/>
      <c r="D2586" s="31"/>
      <c r="E2586" s="4"/>
      <c r="F2586" s="15"/>
      <c r="G2586" s="4"/>
    </row>
    <row r="2587" ht="14.25" customHeight="1">
      <c r="A2587" s="8" t="s">
        <v>5260</v>
      </c>
      <c r="B2587" s="8">
        <v>5.9</v>
      </c>
      <c r="C2587" s="4"/>
      <c r="D2587" s="31"/>
      <c r="E2587" s="4"/>
      <c r="F2587" s="15"/>
      <c r="G2587" s="4"/>
    </row>
    <row r="2588" ht="14.25" customHeight="1">
      <c r="A2588" s="8" t="s">
        <v>2179</v>
      </c>
      <c r="B2588" s="8">
        <v>7.1</v>
      </c>
      <c r="C2588" s="4"/>
      <c r="D2588" s="31"/>
      <c r="E2588" s="4"/>
      <c r="F2588" s="15"/>
      <c r="G2588" s="4"/>
    </row>
    <row r="2589" ht="14.25" customHeight="1">
      <c r="A2589" s="8" t="s">
        <v>3937</v>
      </c>
      <c r="B2589" s="8">
        <v>7.1</v>
      </c>
      <c r="C2589" s="4"/>
      <c r="D2589" s="31"/>
      <c r="E2589" s="4"/>
      <c r="F2589" s="15"/>
      <c r="G2589" s="4"/>
    </row>
    <row r="2590" ht="14.25" customHeight="1">
      <c r="A2590" s="8" t="s">
        <v>5263</v>
      </c>
      <c r="B2590" s="8">
        <v>8.0</v>
      </c>
      <c r="C2590" s="4"/>
      <c r="D2590" s="31"/>
      <c r="E2590" s="4"/>
      <c r="F2590" s="15"/>
      <c r="G2590" s="4"/>
    </row>
    <row r="2591" ht="14.25" customHeight="1">
      <c r="A2591" s="8" t="s">
        <v>5265</v>
      </c>
      <c r="B2591" s="8">
        <v>5.1</v>
      </c>
      <c r="C2591" s="4"/>
      <c r="D2591" s="31"/>
      <c r="E2591" s="4"/>
      <c r="F2591" s="15"/>
      <c r="G2591" s="4"/>
    </row>
    <row r="2592" ht="14.25" customHeight="1">
      <c r="A2592" s="8" t="s">
        <v>3944</v>
      </c>
      <c r="B2592" s="8">
        <v>7.1</v>
      </c>
      <c r="C2592" s="4"/>
      <c r="D2592" s="31"/>
      <c r="E2592" s="4"/>
      <c r="F2592" s="15"/>
      <c r="G2592" s="4"/>
    </row>
    <row r="2593" ht="14.25" customHeight="1">
      <c r="A2593" s="8" t="s">
        <v>4998</v>
      </c>
      <c r="B2593" s="8">
        <v>6.5</v>
      </c>
      <c r="C2593" s="4"/>
      <c r="D2593" s="31"/>
      <c r="E2593" s="4"/>
      <c r="F2593" s="15"/>
      <c r="G2593" s="4"/>
    </row>
    <row r="2594" ht="14.25" customHeight="1">
      <c r="A2594" s="8" t="s">
        <v>1839</v>
      </c>
      <c r="B2594" s="8">
        <v>4.5</v>
      </c>
      <c r="C2594" s="4"/>
      <c r="D2594" s="31"/>
      <c r="E2594" s="4"/>
      <c r="F2594" s="15"/>
      <c r="G2594" s="4"/>
    </row>
    <row r="2595" ht="14.25" customHeight="1">
      <c r="A2595" s="8" t="s">
        <v>5271</v>
      </c>
      <c r="B2595" s="8">
        <v>6.6</v>
      </c>
      <c r="C2595" s="4"/>
      <c r="D2595" s="31"/>
      <c r="E2595" s="4"/>
      <c r="F2595" s="15"/>
      <c r="G2595" s="4"/>
    </row>
    <row r="2596" ht="14.25" customHeight="1">
      <c r="A2596" s="8" t="s">
        <v>245</v>
      </c>
      <c r="B2596" s="8">
        <v>4.3</v>
      </c>
      <c r="C2596" s="4"/>
      <c r="D2596" s="31"/>
      <c r="E2596" s="4"/>
      <c r="F2596" s="15"/>
      <c r="G2596" s="4"/>
    </row>
    <row r="2597" ht="14.25" customHeight="1">
      <c r="A2597" s="8" t="s">
        <v>5035</v>
      </c>
      <c r="B2597" s="8">
        <v>6.7</v>
      </c>
      <c r="C2597" s="4"/>
      <c r="D2597" s="31"/>
      <c r="E2597" s="4"/>
      <c r="F2597" s="15"/>
      <c r="G2597" s="4"/>
    </row>
    <row r="2598" ht="14.25" customHeight="1">
      <c r="A2598" s="8" t="s">
        <v>5278</v>
      </c>
      <c r="B2598" s="8">
        <v>6.8</v>
      </c>
      <c r="C2598" s="4"/>
      <c r="D2598" s="31"/>
      <c r="E2598" s="4"/>
      <c r="F2598" s="15"/>
      <c r="G2598" s="4"/>
    </row>
    <row r="2599" ht="14.25" customHeight="1">
      <c r="A2599" s="8" t="s">
        <v>5280</v>
      </c>
      <c r="B2599" s="8">
        <v>5.4</v>
      </c>
      <c r="C2599" s="4"/>
      <c r="D2599" s="31"/>
      <c r="E2599" s="4"/>
      <c r="F2599" s="15"/>
      <c r="G2599" s="4"/>
    </row>
    <row r="2600" ht="14.25" customHeight="1">
      <c r="A2600" s="8" t="s">
        <v>1523</v>
      </c>
      <c r="B2600" s="8">
        <v>6.6</v>
      </c>
      <c r="C2600" s="4"/>
      <c r="D2600" s="31"/>
      <c r="E2600" s="4"/>
      <c r="F2600" s="15"/>
      <c r="G2600" s="4"/>
    </row>
    <row r="2601" ht="14.25" customHeight="1">
      <c r="A2601" s="8" t="s">
        <v>717</v>
      </c>
      <c r="B2601" s="8">
        <v>7.3</v>
      </c>
      <c r="C2601" s="4"/>
      <c r="D2601" s="31"/>
      <c r="E2601" s="4"/>
      <c r="F2601" s="15"/>
      <c r="G2601" s="4"/>
    </row>
    <row r="2602" ht="14.25" customHeight="1">
      <c r="A2602" s="8" t="s">
        <v>3666</v>
      </c>
      <c r="B2602" s="8">
        <v>6.9</v>
      </c>
      <c r="C2602" s="4"/>
      <c r="D2602" s="31"/>
      <c r="E2602" s="4"/>
      <c r="F2602" s="15"/>
      <c r="G2602" s="4"/>
    </row>
    <row r="2603" ht="14.25" customHeight="1">
      <c r="A2603" s="8" t="s">
        <v>722</v>
      </c>
      <c r="B2603" s="8">
        <v>8.0</v>
      </c>
      <c r="C2603" s="4"/>
      <c r="D2603" s="31"/>
      <c r="E2603" s="4"/>
      <c r="F2603" s="15"/>
      <c r="G2603" s="4"/>
    </row>
    <row r="2604" ht="14.25" customHeight="1">
      <c r="A2604" s="8" t="s">
        <v>4976</v>
      </c>
      <c r="B2604" s="8">
        <v>7.8</v>
      </c>
      <c r="C2604" s="4"/>
      <c r="D2604" s="31"/>
      <c r="E2604" s="4"/>
      <c r="F2604" s="15"/>
      <c r="G2604" s="4"/>
    </row>
    <row r="2605" ht="14.25" customHeight="1">
      <c r="A2605" s="8" t="s">
        <v>4998</v>
      </c>
      <c r="B2605" s="8">
        <v>6.1</v>
      </c>
      <c r="C2605" s="4"/>
      <c r="D2605" s="31"/>
      <c r="E2605" s="4"/>
      <c r="F2605" s="15"/>
      <c r="G2605" s="4"/>
    </row>
    <row r="2606" ht="14.25" customHeight="1">
      <c r="A2606" s="8" t="s">
        <v>5293</v>
      </c>
      <c r="B2606" s="8">
        <v>5.1</v>
      </c>
      <c r="C2606" s="4"/>
      <c r="D2606" s="31"/>
      <c r="E2606" s="4"/>
      <c r="F2606" s="15"/>
      <c r="G2606" s="4"/>
    </row>
    <row r="2607" ht="14.25" customHeight="1">
      <c r="A2607" s="8" t="s">
        <v>3394</v>
      </c>
      <c r="B2607" s="8">
        <v>7.4</v>
      </c>
      <c r="C2607" s="4"/>
      <c r="D2607" s="31"/>
      <c r="E2607" s="4"/>
      <c r="F2607" s="15"/>
      <c r="G2607" s="4"/>
    </row>
    <row r="2608" ht="14.25" customHeight="1">
      <c r="A2608" s="8" t="s">
        <v>5297</v>
      </c>
      <c r="B2608" s="8">
        <v>7.8</v>
      </c>
      <c r="C2608" s="4"/>
      <c r="D2608" s="31"/>
      <c r="E2608" s="4"/>
      <c r="F2608" s="15"/>
      <c r="G2608" s="4"/>
    </row>
    <row r="2609" ht="14.25" customHeight="1">
      <c r="A2609" s="8" t="s">
        <v>5080</v>
      </c>
      <c r="B2609" s="8">
        <v>8.0</v>
      </c>
      <c r="C2609" s="4"/>
      <c r="D2609" s="31"/>
      <c r="E2609" s="4"/>
      <c r="F2609" s="15"/>
      <c r="G2609" s="4"/>
    </row>
    <row r="2610" ht="14.25" customHeight="1">
      <c r="A2610" s="8" t="s">
        <v>4860</v>
      </c>
      <c r="B2610" s="8">
        <v>6.7</v>
      </c>
      <c r="C2610" s="4"/>
      <c r="D2610" s="31"/>
      <c r="E2610" s="4"/>
      <c r="F2610" s="15"/>
      <c r="G2610" s="4"/>
    </row>
    <row r="2611" ht="14.25" customHeight="1">
      <c r="A2611" s="8" t="s">
        <v>5303</v>
      </c>
      <c r="B2611" s="8">
        <v>6.6</v>
      </c>
      <c r="C2611" s="4"/>
      <c r="D2611" s="31"/>
      <c r="E2611" s="4"/>
      <c r="F2611" s="15"/>
      <c r="G2611" s="4"/>
    </row>
    <row r="2612" ht="14.25" customHeight="1">
      <c r="A2612" s="8" t="s">
        <v>5306</v>
      </c>
      <c r="B2612" s="8">
        <v>6.4</v>
      </c>
      <c r="C2612" s="4"/>
      <c r="D2612" s="31"/>
      <c r="E2612" s="4"/>
      <c r="F2612" s="15"/>
      <c r="G2612" s="4"/>
    </row>
    <row r="2613" ht="14.25" customHeight="1">
      <c r="A2613" s="8" t="s">
        <v>5308</v>
      </c>
      <c r="B2613" s="8">
        <v>6.7</v>
      </c>
      <c r="C2613" s="4"/>
      <c r="D2613" s="31"/>
      <c r="E2613" s="4"/>
      <c r="F2613" s="15"/>
      <c r="G2613" s="4"/>
    </row>
    <row r="2614" ht="14.25" customHeight="1">
      <c r="A2614" s="8" t="s">
        <v>5310</v>
      </c>
      <c r="B2614" s="8">
        <v>6.2</v>
      </c>
      <c r="C2614" s="4"/>
      <c r="D2614" s="31"/>
      <c r="E2614" s="4"/>
      <c r="F2614" s="15"/>
      <c r="G2614" s="4"/>
    </row>
    <row r="2615" ht="14.25" customHeight="1">
      <c r="A2615" s="8" t="s">
        <v>1289</v>
      </c>
      <c r="B2615" s="8">
        <v>7.3</v>
      </c>
      <c r="C2615" s="4"/>
      <c r="D2615" s="31"/>
      <c r="E2615" s="4"/>
      <c r="F2615" s="15"/>
      <c r="G2615" s="4"/>
    </row>
    <row r="2616" ht="14.25" customHeight="1">
      <c r="A2616" s="8" t="s">
        <v>5313</v>
      </c>
      <c r="B2616" s="8">
        <v>8.1</v>
      </c>
      <c r="C2616" s="4"/>
      <c r="D2616" s="31"/>
      <c r="E2616" s="4"/>
      <c r="F2616" s="15"/>
      <c r="G2616" s="4"/>
    </row>
    <row r="2617" ht="14.25" customHeight="1">
      <c r="A2617" s="8" t="s">
        <v>5317</v>
      </c>
      <c r="B2617" s="8">
        <v>7.0</v>
      </c>
      <c r="C2617" s="4"/>
      <c r="D2617" s="31"/>
      <c r="E2617" s="4"/>
      <c r="F2617" s="15"/>
      <c r="G2617" s="4"/>
    </row>
    <row r="2618" ht="14.25" customHeight="1">
      <c r="A2618" s="8" t="s">
        <v>1914</v>
      </c>
      <c r="B2618" s="8">
        <v>8.0</v>
      </c>
      <c r="C2618" s="4"/>
      <c r="D2618" s="31"/>
      <c r="E2618" s="4"/>
      <c r="F2618" s="15"/>
      <c r="G2618" s="4"/>
    </row>
    <row r="2619" ht="14.25" customHeight="1">
      <c r="A2619" s="8" t="s">
        <v>168</v>
      </c>
      <c r="B2619" s="8">
        <v>8.0</v>
      </c>
      <c r="C2619" s="4"/>
      <c r="D2619" s="31"/>
      <c r="E2619" s="4"/>
      <c r="F2619" s="15"/>
      <c r="G2619" s="4"/>
    </row>
    <row r="2620" ht="14.25" customHeight="1">
      <c r="A2620" s="8" t="s">
        <v>724</v>
      </c>
      <c r="B2620" s="8">
        <v>7.0</v>
      </c>
      <c r="C2620" s="4"/>
      <c r="D2620" s="31"/>
      <c r="E2620" s="4"/>
      <c r="F2620" s="15"/>
      <c r="G2620" s="4"/>
    </row>
    <row r="2621" ht="14.25" customHeight="1">
      <c r="A2621" s="8" t="s">
        <v>5323</v>
      </c>
      <c r="B2621" s="8">
        <v>7.9</v>
      </c>
      <c r="C2621" s="4"/>
      <c r="D2621" s="31"/>
      <c r="E2621" s="4"/>
      <c r="F2621" s="15"/>
      <c r="G2621" s="4"/>
    </row>
    <row r="2622" ht="14.25" customHeight="1">
      <c r="A2622" s="8" t="s">
        <v>3529</v>
      </c>
      <c r="B2622" s="8">
        <v>5.9</v>
      </c>
      <c r="C2622" s="4"/>
      <c r="D2622" s="31"/>
      <c r="E2622" s="4"/>
      <c r="F2622" s="15"/>
      <c r="G2622" s="4"/>
    </row>
    <row r="2623" ht="14.25" customHeight="1">
      <c r="A2623" s="8" t="s">
        <v>563</v>
      </c>
      <c r="B2623" s="8">
        <v>6.6</v>
      </c>
      <c r="C2623" s="4"/>
      <c r="D2623" s="31"/>
      <c r="E2623" s="4"/>
      <c r="F2623" s="15"/>
      <c r="G2623" s="4"/>
    </row>
    <row r="2624" ht="14.25" customHeight="1">
      <c r="A2624" s="8" t="s">
        <v>563</v>
      </c>
      <c r="B2624" s="8">
        <v>6.3</v>
      </c>
      <c r="C2624" s="4"/>
      <c r="D2624" s="31"/>
      <c r="E2624" s="4"/>
      <c r="F2624" s="15"/>
      <c r="G2624" s="4"/>
    </row>
    <row r="2625" ht="14.25" customHeight="1">
      <c r="A2625" s="8" t="s">
        <v>3559</v>
      </c>
      <c r="B2625" s="8">
        <v>7.7</v>
      </c>
      <c r="C2625" s="4"/>
      <c r="D2625" s="31"/>
      <c r="E2625" s="4"/>
      <c r="F2625" s="15"/>
      <c r="G2625" s="4"/>
    </row>
    <row r="2626" ht="14.25" customHeight="1">
      <c r="A2626" s="8" t="s">
        <v>221</v>
      </c>
      <c r="B2626" s="8">
        <v>6.9</v>
      </c>
      <c r="C2626" s="4"/>
      <c r="D2626" s="31"/>
      <c r="E2626" s="4"/>
      <c r="F2626" s="15"/>
      <c r="G2626" s="4"/>
    </row>
    <row r="2627" ht="14.25" customHeight="1">
      <c r="A2627" s="8" t="s">
        <v>5333</v>
      </c>
      <c r="B2627" s="8">
        <v>7.1</v>
      </c>
      <c r="C2627" s="4"/>
      <c r="D2627" s="31"/>
      <c r="E2627" s="4"/>
      <c r="F2627" s="15"/>
      <c r="G2627" s="4"/>
    </row>
    <row r="2628" ht="14.25" customHeight="1">
      <c r="A2628" s="8" t="s">
        <v>463</v>
      </c>
      <c r="B2628" s="8">
        <v>7.4</v>
      </c>
      <c r="C2628" s="4"/>
      <c r="D2628" s="31"/>
      <c r="E2628" s="4"/>
      <c r="F2628" s="15"/>
      <c r="G2628" s="4"/>
    </row>
    <row r="2629" ht="14.25" customHeight="1">
      <c r="A2629" s="8" t="s">
        <v>5336</v>
      </c>
      <c r="B2629" s="8">
        <v>6.5</v>
      </c>
      <c r="C2629" s="4"/>
      <c r="D2629" s="31"/>
      <c r="E2629" s="4"/>
      <c r="F2629" s="15"/>
      <c r="G2629" s="4"/>
    </row>
    <row r="2630" ht="14.25" customHeight="1">
      <c r="A2630" s="8" t="s">
        <v>2484</v>
      </c>
      <c r="B2630" s="8">
        <v>6.5</v>
      </c>
      <c r="C2630" s="4"/>
      <c r="D2630" s="31"/>
      <c r="E2630" s="4"/>
      <c r="F2630" s="15"/>
      <c r="G2630" s="4"/>
    </row>
    <row r="2631" ht="14.25" customHeight="1">
      <c r="A2631" s="8" t="s">
        <v>5342</v>
      </c>
      <c r="B2631" s="8">
        <v>6.8</v>
      </c>
      <c r="C2631" s="4"/>
      <c r="D2631" s="31"/>
      <c r="E2631" s="4"/>
      <c r="F2631" s="15"/>
      <c r="G2631" s="4"/>
    </row>
    <row r="2632" ht="14.25" customHeight="1">
      <c r="A2632" s="8" t="s">
        <v>734</v>
      </c>
      <c r="B2632" s="8">
        <v>7.5</v>
      </c>
      <c r="C2632" s="4"/>
      <c r="D2632" s="31"/>
      <c r="E2632" s="4"/>
      <c r="F2632" s="15"/>
      <c r="G2632" s="4"/>
    </row>
    <row r="2633" ht="14.25" customHeight="1">
      <c r="A2633" s="8" t="s">
        <v>2108</v>
      </c>
      <c r="B2633" s="8">
        <v>6.6</v>
      </c>
      <c r="C2633" s="4"/>
      <c r="D2633" s="31"/>
      <c r="E2633" s="4"/>
      <c r="F2633" s="15"/>
      <c r="G2633" s="4"/>
    </row>
    <row r="2634" ht="14.25" customHeight="1">
      <c r="A2634" s="8" t="s">
        <v>626</v>
      </c>
      <c r="B2634" s="8">
        <v>7.1</v>
      </c>
      <c r="C2634" s="4"/>
      <c r="D2634" s="31"/>
      <c r="E2634" s="4"/>
      <c r="F2634" s="15"/>
      <c r="G2634" s="4"/>
    </row>
    <row r="2635" ht="14.25" customHeight="1">
      <c r="A2635" s="8" t="s">
        <v>2436</v>
      </c>
      <c r="B2635" s="8">
        <v>6.6</v>
      </c>
      <c r="C2635" s="4"/>
      <c r="D2635" s="31"/>
      <c r="E2635" s="4"/>
      <c r="F2635" s="15"/>
      <c r="G2635" s="4"/>
    </row>
    <row r="2636" ht="14.25" customHeight="1">
      <c r="A2636" s="8" t="s">
        <v>1150</v>
      </c>
      <c r="B2636" s="8">
        <v>7.0</v>
      </c>
      <c r="C2636" s="4"/>
      <c r="D2636" s="31"/>
      <c r="E2636" s="4"/>
      <c r="F2636" s="15"/>
      <c r="G2636" s="4"/>
    </row>
    <row r="2637" ht="14.25" customHeight="1">
      <c r="A2637" s="8" t="s">
        <v>5352</v>
      </c>
      <c r="B2637" s="8">
        <v>3.3</v>
      </c>
      <c r="C2637" s="4"/>
      <c r="D2637" s="31"/>
      <c r="E2637" s="4"/>
      <c r="F2637" s="15"/>
      <c r="G2637" s="4"/>
    </row>
    <row r="2638" ht="14.25" customHeight="1">
      <c r="A2638" s="8" t="s">
        <v>5355</v>
      </c>
      <c r="B2638" s="8">
        <v>6.7</v>
      </c>
      <c r="C2638" s="4"/>
      <c r="D2638" s="31"/>
      <c r="E2638" s="4"/>
      <c r="F2638" s="15"/>
      <c r="G2638" s="4"/>
    </row>
    <row r="2639" ht="14.25" customHeight="1">
      <c r="A2639" s="8" t="s">
        <v>5033</v>
      </c>
      <c r="B2639" s="8">
        <v>6.8</v>
      </c>
      <c r="C2639" s="4"/>
      <c r="D2639" s="31"/>
      <c r="E2639" s="4"/>
      <c r="F2639" s="15"/>
      <c r="G2639" s="4"/>
    </row>
    <row r="2640" ht="14.25" customHeight="1">
      <c r="A2640" s="8" t="s">
        <v>5359</v>
      </c>
      <c r="B2640" s="8">
        <v>6.0</v>
      </c>
      <c r="C2640" s="4"/>
      <c r="D2640" s="31"/>
      <c r="E2640" s="4"/>
      <c r="F2640" s="15"/>
      <c r="G2640" s="4"/>
    </row>
    <row r="2641" ht="14.25" customHeight="1">
      <c r="A2641" s="8" t="s">
        <v>5361</v>
      </c>
      <c r="B2641" s="8">
        <v>5.4</v>
      </c>
      <c r="C2641" s="4"/>
      <c r="D2641" s="31"/>
      <c r="E2641" s="4"/>
      <c r="F2641" s="15"/>
      <c r="G2641" s="4"/>
    </row>
    <row r="2642" ht="14.25" customHeight="1">
      <c r="A2642" s="8" t="s">
        <v>5363</v>
      </c>
      <c r="B2642" s="8">
        <v>4.3</v>
      </c>
      <c r="C2642" s="4"/>
      <c r="D2642" s="31"/>
      <c r="E2642" s="4"/>
      <c r="F2642" s="15"/>
      <c r="G2642" s="4"/>
    </row>
    <row r="2643" ht="14.25" customHeight="1">
      <c r="A2643" s="8" t="s">
        <v>1864</v>
      </c>
      <c r="B2643" s="8">
        <v>6.2</v>
      </c>
      <c r="C2643" s="4"/>
      <c r="D2643" s="31"/>
      <c r="E2643" s="4"/>
      <c r="F2643" s="15"/>
      <c r="G2643" s="4"/>
    </row>
    <row r="2644" ht="14.25" customHeight="1">
      <c r="A2644" s="8" t="s">
        <v>5366</v>
      </c>
      <c r="B2644" s="8">
        <v>7.7</v>
      </c>
      <c r="C2644" s="4"/>
      <c r="D2644" s="31"/>
      <c r="E2644" s="4"/>
      <c r="F2644" s="15"/>
      <c r="G2644" s="4"/>
    </row>
    <row r="2645" ht="14.25" customHeight="1">
      <c r="A2645" s="8" t="s">
        <v>136</v>
      </c>
      <c r="B2645" s="8">
        <v>8.0</v>
      </c>
      <c r="C2645" s="4"/>
      <c r="D2645" s="31"/>
      <c r="E2645" s="4"/>
      <c r="F2645" s="15"/>
      <c r="G2645" s="4"/>
    </row>
    <row r="2646" ht="14.25" customHeight="1">
      <c r="A2646" s="8" t="s">
        <v>2342</v>
      </c>
      <c r="B2646" s="8">
        <v>7.4</v>
      </c>
      <c r="C2646" s="4"/>
      <c r="D2646" s="31"/>
      <c r="E2646" s="4"/>
      <c r="F2646" s="15"/>
      <c r="G2646" s="4"/>
    </row>
    <row r="2647" ht="14.25" customHeight="1">
      <c r="A2647" s="8" t="s">
        <v>5371</v>
      </c>
      <c r="B2647" s="8">
        <v>5.9</v>
      </c>
      <c r="C2647" s="4"/>
      <c r="D2647" s="31"/>
      <c r="E2647" s="4"/>
      <c r="F2647" s="15"/>
      <c r="G2647" s="4"/>
    </row>
    <row r="2648" ht="14.25" customHeight="1">
      <c r="A2648" s="8" t="s">
        <v>5374</v>
      </c>
      <c r="B2648" s="8">
        <v>7.8</v>
      </c>
      <c r="C2648" s="4"/>
      <c r="D2648" s="31"/>
      <c r="E2648" s="4"/>
      <c r="F2648" s="15"/>
      <c r="G2648" s="4"/>
    </row>
    <row r="2649" ht="14.25" customHeight="1">
      <c r="A2649" s="8" t="s">
        <v>1803</v>
      </c>
      <c r="B2649" s="8">
        <v>7.4</v>
      </c>
      <c r="C2649" s="4"/>
      <c r="D2649" s="31"/>
      <c r="E2649" s="4"/>
      <c r="F2649" s="15"/>
      <c r="G2649" s="4"/>
    </row>
    <row r="2650" ht="14.25" customHeight="1">
      <c r="A2650" s="8" t="s">
        <v>2877</v>
      </c>
      <c r="B2650" s="8">
        <v>6.5</v>
      </c>
      <c r="C2650" s="4"/>
      <c r="D2650" s="31"/>
      <c r="E2650" s="4"/>
      <c r="F2650" s="15"/>
      <c r="G2650" s="4"/>
    </row>
    <row r="2651" ht="14.25" customHeight="1">
      <c r="A2651" s="8" t="s">
        <v>1797</v>
      </c>
      <c r="B2651" s="8">
        <v>7.0</v>
      </c>
      <c r="C2651" s="4"/>
      <c r="D2651" s="31"/>
      <c r="E2651" s="4"/>
      <c r="F2651" s="15"/>
      <c r="G2651" s="4"/>
    </row>
    <row r="2652" ht="14.25" customHeight="1">
      <c r="A2652" s="8" t="s">
        <v>2251</v>
      </c>
      <c r="B2652" s="8">
        <v>7.6</v>
      </c>
      <c r="C2652" s="4"/>
      <c r="D2652" s="31"/>
      <c r="E2652" s="4"/>
      <c r="F2652" s="15"/>
      <c r="G2652" s="4"/>
    </row>
    <row r="2653" ht="14.25" customHeight="1">
      <c r="A2653" s="8" t="s">
        <v>4277</v>
      </c>
      <c r="B2653" s="8">
        <v>6.9</v>
      </c>
      <c r="C2653" s="4"/>
      <c r="D2653" s="31"/>
      <c r="E2653" s="4"/>
      <c r="F2653" s="15"/>
      <c r="G2653" s="4"/>
    </row>
    <row r="2654" ht="14.25" customHeight="1">
      <c r="A2654" s="8" t="s">
        <v>4926</v>
      </c>
      <c r="B2654" s="8">
        <v>5.3</v>
      </c>
      <c r="C2654" s="4"/>
      <c r="D2654" s="31"/>
      <c r="E2654" s="4"/>
      <c r="F2654" s="15"/>
      <c r="G2654" s="4"/>
    </row>
    <row r="2655" ht="14.25" customHeight="1">
      <c r="A2655" s="8" t="s">
        <v>5383</v>
      </c>
      <c r="B2655" s="8">
        <v>6.4</v>
      </c>
      <c r="C2655" s="4"/>
      <c r="D2655" s="31"/>
      <c r="E2655" s="4"/>
      <c r="F2655" s="15"/>
      <c r="G2655" s="4"/>
    </row>
    <row r="2656" ht="14.25" customHeight="1">
      <c r="A2656" s="8" t="s">
        <v>3242</v>
      </c>
      <c r="B2656" s="8">
        <v>7.8</v>
      </c>
      <c r="C2656" s="4"/>
      <c r="D2656" s="31"/>
      <c r="E2656" s="4"/>
      <c r="F2656" s="15"/>
      <c r="G2656" s="4"/>
    </row>
    <row r="2657" ht="14.25" customHeight="1">
      <c r="A2657" s="8" t="s">
        <v>5388</v>
      </c>
      <c r="B2657" s="8">
        <v>6.7</v>
      </c>
      <c r="C2657" s="4"/>
      <c r="D2657" s="31"/>
      <c r="E2657" s="4"/>
      <c r="F2657" s="15"/>
      <c r="G2657" s="4"/>
    </row>
    <row r="2658" ht="14.25" customHeight="1">
      <c r="A2658" s="8" t="s">
        <v>1594</v>
      </c>
      <c r="B2658" s="8">
        <v>5.3</v>
      </c>
      <c r="C2658" s="4"/>
      <c r="D2658" s="31"/>
      <c r="E2658" s="4"/>
      <c r="F2658" s="15"/>
      <c r="G2658" s="4"/>
    </row>
    <row r="2659" ht="14.25" customHeight="1">
      <c r="A2659" s="8" t="s">
        <v>3240</v>
      </c>
      <c r="B2659" s="8">
        <v>6.3</v>
      </c>
      <c r="C2659" s="4"/>
      <c r="D2659" s="31"/>
      <c r="E2659" s="4"/>
      <c r="F2659" s="15"/>
      <c r="G2659" s="4"/>
    </row>
    <row r="2660" ht="14.25" customHeight="1">
      <c r="A2660" s="8" t="s">
        <v>1839</v>
      </c>
      <c r="B2660" s="8">
        <v>7.0</v>
      </c>
      <c r="C2660" s="4"/>
      <c r="D2660" s="31"/>
      <c r="E2660" s="4"/>
      <c r="F2660" s="15"/>
      <c r="G2660" s="4"/>
    </row>
    <row r="2661" ht="14.25" customHeight="1">
      <c r="A2661" s="8" t="s">
        <v>2195</v>
      </c>
      <c r="B2661" s="8">
        <v>6.6</v>
      </c>
      <c r="C2661" s="4"/>
      <c r="D2661" s="31"/>
      <c r="E2661" s="4"/>
      <c r="F2661" s="15"/>
      <c r="G2661" s="4"/>
    </row>
    <row r="2662" ht="14.25" customHeight="1">
      <c r="A2662" s="8" t="s">
        <v>303</v>
      </c>
      <c r="B2662" s="8">
        <v>8.4</v>
      </c>
      <c r="C2662" s="4"/>
      <c r="D2662" s="31"/>
      <c r="E2662" s="4"/>
      <c r="F2662" s="15"/>
      <c r="G2662" s="4"/>
    </row>
    <row r="2663" ht="14.25" customHeight="1">
      <c r="A2663" s="8" t="s">
        <v>5398</v>
      </c>
      <c r="B2663" s="8">
        <v>5.4</v>
      </c>
      <c r="C2663" s="4"/>
      <c r="D2663" s="31"/>
      <c r="E2663" s="4"/>
      <c r="F2663" s="15"/>
      <c r="G2663" s="4"/>
    </row>
    <row r="2664" ht="14.25" customHeight="1">
      <c r="A2664" s="8" t="s">
        <v>2307</v>
      </c>
      <c r="B2664" s="8">
        <v>7.8</v>
      </c>
      <c r="C2664" s="4"/>
      <c r="D2664" s="31"/>
      <c r="E2664" s="4"/>
      <c r="F2664" s="15"/>
      <c r="G2664" s="4"/>
    </row>
    <row r="2665" ht="14.25" customHeight="1">
      <c r="A2665" s="8" t="s">
        <v>813</v>
      </c>
      <c r="B2665" s="8">
        <v>7.6</v>
      </c>
      <c r="C2665" s="4"/>
      <c r="D2665" s="31"/>
      <c r="E2665" s="4"/>
      <c r="F2665" s="15"/>
      <c r="G2665" s="4"/>
    </row>
    <row r="2666" ht="14.25" customHeight="1">
      <c r="A2666" s="8" t="s">
        <v>5404</v>
      </c>
      <c r="B2666" s="8">
        <v>6.6</v>
      </c>
      <c r="C2666" s="4"/>
      <c r="D2666" s="31"/>
      <c r="E2666" s="4"/>
      <c r="F2666" s="15"/>
      <c r="G2666" s="4"/>
    </row>
    <row r="2667" ht="14.25" customHeight="1">
      <c r="A2667" s="8" t="s">
        <v>5407</v>
      </c>
      <c r="B2667" s="8">
        <v>6.4</v>
      </c>
      <c r="C2667" s="4"/>
      <c r="D2667" s="31"/>
      <c r="E2667" s="4"/>
      <c r="F2667" s="15"/>
      <c r="G2667" s="4"/>
    </row>
    <row r="2668" ht="14.25" customHeight="1">
      <c r="A2668" s="8" t="s">
        <v>5410</v>
      </c>
      <c r="B2668" s="8">
        <v>7.0</v>
      </c>
      <c r="C2668" s="4"/>
      <c r="D2668" s="31"/>
      <c r="E2668" s="4"/>
      <c r="F2668" s="15"/>
      <c r="G2668" s="4"/>
    </row>
    <row r="2669" ht="14.25" customHeight="1">
      <c r="A2669" s="8" t="s">
        <v>5412</v>
      </c>
      <c r="B2669" s="8">
        <v>5.7</v>
      </c>
      <c r="C2669" s="4"/>
      <c r="D2669" s="31"/>
      <c r="E2669" s="4"/>
      <c r="F2669" s="15"/>
      <c r="G2669" s="4"/>
    </row>
    <row r="2670" ht="14.25" customHeight="1">
      <c r="A2670" s="8" t="s">
        <v>5414</v>
      </c>
      <c r="B2670" s="8">
        <v>5.9</v>
      </c>
      <c r="C2670" s="4"/>
      <c r="D2670" s="31"/>
      <c r="E2670" s="4"/>
      <c r="F2670" s="15"/>
      <c r="G2670" s="4"/>
    </row>
    <row r="2671" ht="14.25" customHeight="1">
      <c r="A2671" s="8" t="s">
        <v>5416</v>
      </c>
      <c r="B2671" s="8">
        <v>6.3</v>
      </c>
      <c r="C2671" s="4"/>
      <c r="D2671" s="31"/>
      <c r="E2671" s="4"/>
      <c r="F2671" s="15"/>
      <c r="G2671" s="4"/>
    </row>
    <row r="2672" ht="14.25" customHeight="1">
      <c r="A2672" s="8" t="s">
        <v>3268</v>
      </c>
      <c r="B2672" s="8">
        <v>6.3</v>
      </c>
      <c r="C2672" s="4"/>
      <c r="D2672" s="31"/>
      <c r="E2672" s="4"/>
      <c r="F2672" s="15"/>
      <c r="G2672" s="4"/>
    </row>
    <row r="2673" ht="14.25" customHeight="1">
      <c r="A2673" s="8" t="s">
        <v>1635</v>
      </c>
      <c r="B2673" s="8">
        <v>6.2</v>
      </c>
      <c r="C2673" s="4"/>
      <c r="D2673" s="31"/>
      <c r="E2673" s="4"/>
      <c r="F2673" s="15"/>
      <c r="G2673" s="4"/>
    </row>
    <row r="2674" ht="14.25" customHeight="1">
      <c r="A2674" s="8" t="s">
        <v>4776</v>
      </c>
      <c r="B2674" s="8">
        <v>2.1</v>
      </c>
      <c r="C2674" s="4"/>
      <c r="D2674" s="31"/>
      <c r="E2674" s="4"/>
      <c r="F2674" s="15"/>
      <c r="G2674" s="4"/>
    </row>
    <row r="2675" ht="14.25" customHeight="1">
      <c r="A2675" s="8" t="s">
        <v>2048</v>
      </c>
      <c r="B2675" s="8">
        <v>5.0</v>
      </c>
      <c r="C2675" s="4"/>
      <c r="D2675" s="31"/>
      <c r="E2675" s="4"/>
      <c r="F2675" s="15"/>
      <c r="G2675" s="4"/>
    </row>
    <row r="2676" ht="14.25" customHeight="1">
      <c r="A2676" s="8" t="s">
        <v>5425</v>
      </c>
      <c r="B2676" s="8">
        <v>5.3</v>
      </c>
      <c r="C2676" s="4"/>
      <c r="D2676" s="31"/>
      <c r="E2676" s="4"/>
      <c r="F2676" s="15"/>
      <c r="G2676" s="4"/>
    </row>
    <row r="2677" ht="14.25" customHeight="1">
      <c r="A2677" s="8" t="s">
        <v>3516</v>
      </c>
      <c r="B2677" s="8">
        <v>7.1</v>
      </c>
      <c r="C2677" s="4"/>
      <c r="D2677" s="31"/>
      <c r="E2677" s="4"/>
      <c r="F2677" s="15"/>
      <c r="G2677" s="4"/>
    </row>
    <row r="2678" ht="14.25" customHeight="1">
      <c r="A2678" s="8" t="s">
        <v>5428</v>
      </c>
      <c r="B2678" s="8">
        <v>7.0</v>
      </c>
      <c r="C2678" s="4"/>
      <c r="D2678" s="31"/>
      <c r="E2678" s="4"/>
      <c r="F2678" s="15"/>
      <c r="G2678" s="4"/>
    </row>
    <row r="2679" ht="14.25" customHeight="1">
      <c r="A2679" s="8" t="s">
        <v>2750</v>
      </c>
      <c r="B2679" s="8">
        <v>7.0</v>
      </c>
      <c r="C2679" s="4"/>
      <c r="D2679" s="31"/>
      <c r="E2679" s="4"/>
      <c r="F2679" s="15"/>
      <c r="G2679" s="4"/>
    </row>
    <row r="2680" ht="14.25" customHeight="1">
      <c r="A2680" s="8" t="s">
        <v>5432</v>
      </c>
      <c r="B2680" s="8">
        <v>7.1</v>
      </c>
      <c r="C2680" s="4"/>
      <c r="D2680" s="31"/>
      <c r="E2680" s="4"/>
      <c r="F2680" s="15"/>
      <c r="G2680" s="4"/>
    </row>
    <row r="2681" ht="14.25" customHeight="1">
      <c r="A2681" s="8" t="s">
        <v>5435</v>
      </c>
      <c r="B2681" s="8">
        <v>7.0</v>
      </c>
      <c r="C2681" s="4"/>
      <c r="D2681" s="31"/>
      <c r="E2681" s="4"/>
      <c r="F2681" s="15"/>
      <c r="G2681" s="4"/>
    </row>
    <row r="2682" ht="14.25" customHeight="1">
      <c r="A2682" s="8" t="s">
        <v>5437</v>
      </c>
      <c r="B2682" s="8">
        <v>7.7</v>
      </c>
      <c r="C2682" s="4"/>
      <c r="D2682" s="31"/>
      <c r="E2682" s="4"/>
      <c r="F2682" s="15"/>
      <c r="G2682" s="4"/>
    </row>
    <row r="2683" ht="14.25" customHeight="1">
      <c r="A2683" s="8" t="s">
        <v>5440</v>
      </c>
      <c r="B2683" s="8">
        <v>7.1</v>
      </c>
      <c r="C2683" s="4"/>
      <c r="D2683" s="31"/>
      <c r="E2683" s="4"/>
      <c r="F2683" s="15"/>
      <c r="G2683" s="4"/>
    </row>
    <row r="2684" ht="14.25" customHeight="1">
      <c r="A2684" s="8" t="s">
        <v>5442</v>
      </c>
      <c r="B2684" s="8">
        <v>6.8</v>
      </c>
      <c r="C2684" s="4"/>
      <c r="D2684" s="31"/>
      <c r="E2684" s="4"/>
      <c r="F2684" s="15"/>
      <c r="G2684" s="4"/>
    </row>
    <row r="2685" ht="14.25" customHeight="1">
      <c r="A2685" s="8" t="s">
        <v>2781</v>
      </c>
      <c r="B2685" s="8">
        <v>7.5</v>
      </c>
      <c r="C2685" s="4"/>
      <c r="D2685" s="31"/>
      <c r="E2685" s="4"/>
      <c r="F2685" s="15"/>
      <c r="G2685" s="4"/>
    </row>
    <row r="2686" ht="14.25" customHeight="1">
      <c r="A2686" s="8" t="s">
        <v>5446</v>
      </c>
      <c r="B2686" s="8">
        <v>6.3</v>
      </c>
      <c r="C2686" s="4"/>
      <c r="D2686" s="31"/>
      <c r="E2686" s="4"/>
      <c r="F2686" s="15"/>
      <c r="G2686" s="4"/>
    </row>
    <row r="2687" ht="14.25" customHeight="1">
      <c r="A2687" s="8" t="s">
        <v>5450</v>
      </c>
      <c r="B2687" s="8">
        <v>7.3</v>
      </c>
      <c r="C2687" s="4"/>
      <c r="D2687" s="31"/>
      <c r="E2687" s="4"/>
      <c r="F2687" s="15"/>
      <c r="G2687" s="4"/>
    </row>
    <row r="2688" ht="14.25" customHeight="1">
      <c r="A2688" s="8" t="s">
        <v>2038</v>
      </c>
      <c r="B2688" s="8">
        <v>6.8</v>
      </c>
      <c r="C2688" s="4"/>
      <c r="D2688" s="31"/>
      <c r="E2688" s="4"/>
      <c r="F2688" s="15"/>
      <c r="G2688" s="4"/>
    </row>
    <row r="2689" ht="14.25" customHeight="1">
      <c r="A2689" s="8" t="s">
        <v>5454</v>
      </c>
      <c r="B2689" s="8">
        <v>7.2</v>
      </c>
      <c r="C2689" s="4"/>
      <c r="D2689" s="31"/>
      <c r="E2689" s="4"/>
      <c r="F2689" s="15"/>
      <c r="G2689" s="4"/>
    </row>
    <row r="2690" ht="14.25" customHeight="1">
      <c r="A2690" s="8" t="s">
        <v>95</v>
      </c>
      <c r="B2690" s="8">
        <v>6.4</v>
      </c>
      <c r="C2690" s="4"/>
      <c r="D2690" s="31"/>
      <c r="E2690" s="4"/>
      <c r="F2690" s="15"/>
      <c r="G2690" s="4"/>
    </row>
    <row r="2691" ht="14.25" customHeight="1">
      <c r="A2691" s="8" t="s">
        <v>3937</v>
      </c>
      <c r="B2691" s="8">
        <v>6.0</v>
      </c>
      <c r="C2691" s="4"/>
      <c r="D2691" s="31"/>
      <c r="E2691" s="4"/>
      <c r="F2691" s="15"/>
      <c r="G2691" s="4"/>
    </row>
    <row r="2692" ht="14.25" customHeight="1">
      <c r="A2692" s="8" t="s">
        <v>4733</v>
      </c>
      <c r="B2692" s="8">
        <v>6.4</v>
      </c>
      <c r="C2692" s="4"/>
      <c r="D2692" s="31"/>
      <c r="E2692" s="4"/>
      <c r="F2692" s="15"/>
      <c r="G2692" s="4"/>
    </row>
    <row r="2693" ht="14.25" customHeight="1">
      <c r="A2693" s="8" t="s">
        <v>5460</v>
      </c>
      <c r="B2693" s="8">
        <v>7.5</v>
      </c>
      <c r="C2693" s="4"/>
      <c r="D2693" s="31"/>
      <c r="E2693" s="4"/>
      <c r="F2693" s="15"/>
      <c r="G2693" s="4"/>
    </row>
    <row r="2694" ht="14.25" customHeight="1">
      <c r="A2694" s="8" t="s">
        <v>5462</v>
      </c>
      <c r="B2694" s="8">
        <v>7.1</v>
      </c>
      <c r="C2694" s="4"/>
      <c r="D2694" s="31"/>
      <c r="E2694" s="4"/>
      <c r="F2694" s="15"/>
      <c r="G2694" s="4"/>
    </row>
    <row r="2695" ht="14.25" customHeight="1">
      <c r="A2695" s="8" t="s">
        <v>5466</v>
      </c>
      <c r="B2695" s="8">
        <v>4.6</v>
      </c>
      <c r="C2695" s="4"/>
      <c r="D2695" s="31"/>
      <c r="E2695" s="4"/>
      <c r="F2695" s="15"/>
      <c r="G2695" s="4"/>
    </row>
    <row r="2696" ht="14.25" customHeight="1">
      <c r="A2696" s="8" t="s">
        <v>5468</v>
      </c>
      <c r="B2696" s="8">
        <v>7.7</v>
      </c>
      <c r="C2696" s="4"/>
      <c r="D2696" s="31"/>
      <c r="E2696" s="4"/>
      <c r="F2696" s="15"/>
      <c r="G2696" s="4"/>
    </row>
    <row r="2697" ht="14.25" customHeight="1">
      <c r="A2697" s="8" t="s">
        <v>494</v>
      </c>
      <c r="B2697" s="8">
        <v>6.7</v>
      </c>
      <c r="C2697" s="4"/>
      <c r="D2697" s="31"/>
      <c r="E2697" s="4"/>
      <c r="F2697" s="15"/>
      <c r="G2697" s="4"/>
    </row>
    <row r="2698" ht="14.25" customHeight="1">
      <c r="A2698" s="8" t="s">
        <v>875</v>
      </c>
      <c r="B2698" s="8">
        <v>5.6</v>
      </c>
      <c r="C2698" s="4"/>
      <c r="D2698" s="31"/>
      <c r="E2698" s="4"/>
      <c r="F2698" s="15"/>
      <c r="G2698" s="4"/>
    </row>
    <row r="2699" ht="14.25" customHeight="1">
      <c r="A2699" s="8" t="s">
        <v>5473</v>
      </c>
      <c r="B2699" s="8">
        <v>7.5</v>
      </c>
      <c r="C2699" s="4"/>
      <c r="D2699" s="31"/>
      <c r="E2699" s="4"/>
      <c r="F2699" s="15"/>
      <c r="G2699" s="4"/>
    </row>
    <row r="2700" ht="14.25" customHeight="1">
      <c r="A2700" s="8" t="s">
        <v>1373</v>
      </c>
      <c r="B2700" s="8">
        <v>5.8</v>
      </c>
      <c r="C2700" s="4"/>
      <c r="D2700" s="31"/>
      <c r="E2700" s="4"/>
      <c r="F2700" s="15"/>
      <c r="G2700" s="4"/>
    </row>
    <row r="2701" ht="14.25" customHeight="1">
      <c r="A2701" s="8" t="s">
        <v>538</v>
      </c>
      <c r="B2701" s="8">
        <v>8.3</v>
      </c>
      <c r="C2701" s="4"/>
      <c r="D2701" s="31"/>
      <c r="E2701" s="4"/>
      <c r="F2701" s="15"/>
      <c r="G2701" s="4"/>
    </row>
    <row r="2702" ht="14.25" customHeight="1">
      <c r="A2702" s="8" t="s">
        <v>5020</v>
      </c>
      <c r="B2702" s="8">
        <v>6.6</v>
      </c>
      <c r="C2702" s="4"/>
      <c r="D2702" s="31"/>
      <c r="E2702" s="4"/>
      <c r="F2702" s="15"/>
      <c r="G2702" s="4"/>
    </row>
    <row r="2703" ht="14.25" customHeight="1">
      <c r="A2703" s="8" t="s">
        <v>5480</v>
      </c>
      <c r="B2703" s="8">
        <v>7.5</v>
      </c>
      <c r="C2703" s="4"/>
      <c r="D2703" s="31"/>
      <c r="E2703" s="4"/>
      <c r="F2703" s="15"/>
      <c r="G2703" s="4"/>
    </row>
    <row r="2704" ht="14.25" customHeight="1">
      <c r="A2704" s="8" t="s">
        <v>1167</v>
      </c>
      <c r="B2704" s="8">
        <v>7.2</v>
      </c>
      <c r="C2704" s="4"/>
      <c r="D2704" s="31"/>
      <c r="E2704" s="4"/>
      <c r="F2704" s="15"/>
      <c r="G2704" s="4"/>
    </row>
    <row r="2705" ht="14.25" customHeight="1">
      <c r="A2705" s="8" t="s">
        <v>602</v>
      </c>
      <c r="B2705" s="8">
        <v>8.7</v>
      </c>
      <c r="C2705" s="4"/>
      <c r="D2705" s="31"/>
      <c r="E2705" s="4"/>
      <c r="F2705" s="15"/>
      <c r="G2705" s="4"/>
    </row>
    <row r="2706" ht="14.25" customHeight="1">
      <c r="A2706" s="8" t="s">
        <v>5486</v>
      </c>
      <c r="B2706" s="8">
        <v>6.0</v>
      </c>
      <c r="C2706" s="4"/>
      <c r="D2706" s="31"/>
      <c r="E2706" s="4"/>
      <c r="F2706" s="15"/>
      <c r="G2706" s="4"/>
    </row>
    <row r="2707" ht="14.25" customHeight="1">
      <c r="A2707" s="8" t="s">
        <v>3552</v>
      </c>
      <c r="B2707" s="8">
        <v>8.0</v>
      </c>
      <c r="C2707" s="4"/>
      <c r="D2707" s="31"/>
      <c r="E2707" s="4"/>
      <c r="F2707" s="15"/>
      <c r="G2707" s="4"/>
    </row>
    <row r="2708" ht="14.25" customHeight="1">
      <c r="A2708" s="8" t="s">
        <v>1650</v>
      </c>
      <c r="B2708" s="8">
        <v>4.5</v>
      </c>
      <c r="C2708" s="4"/>
      <c r="D2708" s="31"/>
      <c r="E2708" s="4"/>
      <c r="F2708" s="15"/>
      <c r="G2708" s="4"/>
    </row>
    <row r="2709" ht="14.25" customHeight="1">
      <c r="A2709" s="8" t="s">
        <v>1695</v>
      </c>
      <c r="B2709" s="8">
        <v>7.9</v>
      </c>
      <c r="C2709" s="4"/>
      <c r="D2709" s="31"/>
      <c r="E2709" s="4"/>
      <c r="F2709" s="15"/>
      <c r="G2709" s="4"/>
    </row>
    <row r="2710" ht="14.25" customHeight="1">
      <c r="A2710" s="8" t="s">
        <v>2775</v>
      </c>
      <c r="B2710" s="8">
        <v>7.5</v>
      </c>
      <c r="C2710" s="4"/>
      <c r="D2710" s="31"/>
      <c r="E2710" s="4"/>
      <c r="F2710" s="15"/>
      <c r="G2710" s="4"/>
    </row>
    <row r="2711" ht="14.25" customHeight="1">
      <c r="A2711" s="8" t="s">
        <v>5493</v>
      </c>
      <c r="B2711" s="8">
        <v>6.8</v>
      </c>
      <c r="C2711" s="4"/>
      <c r="D2711" s="31"/>
      <c r="E2711" s="4"/>
      <c r="F2711" s="15"/>
      <c r="G2711" s="4"/>
    </row>
    <row r="2712" ht="14.25" customHeight="1">
      <c r="A2712" s="8" t="s">
        <v>5496</v>
      </c>
      <c r="B2712" s="8">
        <v>7.2</v>
      </c>
      <c r="C2712" s="4"/>
      <c r="D2712" s="31"/>
      <c r="E2712" s="4"/>
      <c r="F2712" s="15"/>
      <c r="G2712" s="4"/>
    </row>
    <row r="2713" ht="14.25" customHeight="1">
      <c r="A2713" s="8" t="s">
        <v>552</v>
      </c>
      <c r="B2713" s="8">
        <v>7.1</v>
      </c>
      <c r="C2713" s="4"/>
      <c r="D2713" s="31"/>
      <c r="E2713" s="4"/>
      <c r="F2713" s="15"/>
      <c r="G2713" s="4"/>
    </row>
    <row r="2714" ht="14.25" customHeight="1">
      <c r="A2714" s="8" t="s">
        <v>1087</v>
      </c>
      <c r="B2714" s="8">
        <v>7.4</v>
      </c>
      <c r="C2714" s="4"/>
      <c r="D2714" s="31"/>
      <c r="E2714" s="4"/>
      <c r="F2714" s="15"/>
      <c r="G2714" s="4"/>
    </row>
    <row r="2715" ht="14.25" customHeight="1">
      <c r="A2715" s="8" t="s">
        <v>3173</v>
      </c>
      <c r="B2715" s="8">
        <v>7.6</v>
      </c>
      <c r="C2715" s="4"/>
      <c r="D2715" s="31"/>
      <c r="E2715" s="4"/>
      <c r="F2715" s="15"/>
      <c r="G2715" s="4"/>
    </row>
    <row r="2716" ht="14.25" customHeight="1">
      <c r="A2716" s="8" t="s">
        <v>2413</v>
      </c>
      <c r="B2716" s="8">
        <v>6.9</v>
      </c>
      <c r="C2716" s="4"/>
      <c r="D2716" s="31"/>
      <c r="E2716" s="4"/>
      <c r="F2716" s="15"/>
      <c r="G2716" s="4"/>
    </row>
    <row r="2717" ht="14.25" customHeight="1">
      <c r="A2717" s="8" t="s">
        <v>4669</v>
      </c>
      <c r="B2717" s="8">
        <v>6.0</v>
      </c>
      <c r="C2717" s="4"/>
      <c r="D2717" s="31"/>
      <c r="E2717" s="4"/>
      <c r="F2717" s="15"/>
      <c r="G2717" s="4"/>
    </row>
    <row r="2718" ht="14.25" customHeight="1">
      <c r="A2718" s="8" t="s">
        <v>4914</v>
      </c>
      <c r="B2718" s="8">
        <v>7.3</v>
      </c>
      <c r="C2718" s="4"/>
      <c r="D2718" s="31"/>
      <c r="E2718" s="4"/>
      <c r="F2718" s="15"/>
      <c r="G2718" s="4"/>
    </row>
    <row r="2719" ht="14.25" customHeight="1">
      <c r="A2719" s="8" t="s">
        <v>5507</v>
      </c>
      <c r="B2719" s="8">
        <v>4.6</v>
      </c>
      <c r="C2719" s="4"/>
      <c r="D2719" s="31"/>
      <c r="E2719" s="4"/>
      <c r="F2719" s="15"/>
      <c r="G2719" s="4"/>
    </row>
    <row r="2720" ht="14.25" customHeight="1">
      <c r="A2720" s="8" t="s">
        <v>950</v>
      </c>
      <c r="B2720" s="8">
        <v>6.0</v>
      </c>
      <c r="C2720" s="4"/>
      <c r="D2720" s="31"/>
      <c r="E2720" s="4"/>
      <c r="F2720" s="15"/>
      <c r="G2720" s="4"/>
    </row>
    <row r="2721" ht="14.25" customHeight="1">
      <c r="A2721" s="8" t="s">
        <v>2944</v>
      </c>
      <c r="B2721" s="8">
        <v>5.5</v>
      </c>
      <c r="C2721" s="4"/>
      <c r="D2721" s="31"/>
      <c r="E2721" s="4"/>
      <c r="F2721" s="15"/>
      <c r="G2721" s="4"/>
    </row>
    <row r="2722" ht="14.25" customHeight="1">
      <c r="A2722" s="8" t="s">
        <v>5513</v>
      </c>
      <c r="B2722" s="8">
        <v>7.5</v>
      </c>
      <c r="C2722" s="4"/>
      <c r="D2722" s="31"/>
      <c r="E2722" s="4"/>
      <c r="F2722" s="15"/>
      <c r="G2722" s="4"/>
    </row>
    <row r="2723" ht="14.25" customHeight="1">
      <c r="A2723" s="8" t="s">
        <v>5515</v>
      </c>
      <c r="B2723" s="8">
        <v>6.3</v>
      </c>
      <c r="C2723" s="4"/>
      <c r="D2723" s="31"/>
      <c r="E2723" s="4"/>
      <c r="F2723" s="15"/>
      <c r="G2723" s="4"/>
    </row>
    <row r="2724" ht="14.25" customHeight="1">
      <c r="A2724" s="8" t="s">
        <v>2427</v>
      </c>
      <c r="B2724" s="8">
        <v>5.1</v>
      </c>
      <c r="C2724" s="4"/>
      <c r="D2724" s="31"/>
      <c r="E2724" s="4"/>
      <c r="F2724" s="15"/>
      <c r="G2724" s="4"/>
    </row>
    <row r="2725" ht="14.25" customHeight="1">
      <c r="A2725" s="8" t="s">
        <v>5519</v>
      </c>
      <c r="B2725" s="8">
        <v>6.8</v>
      </c>
      <c r="C2725" s="4"/>
      <c r="D2725" s="31"/>
      <c r="E2725" s="4"/>
      <c r="F2725" s="15"/>
      <c r="G2725" s="4"/>
    </row>
    <row r="2726" ht="14.25" customHeight="1">
      <c r="A2726" s="8" t="s">
        <v>5522</v>
      </c>
      <c r="B2726" s="8">
        <v>5.3</v>
      </c>
      <c r="C2726" s="4"/>
      <c r="D2726" s="31"/>
      <c r="E2726" s="4"/>
      <c r="F2726" s="15"/>
      <c r="G2726" s="4"/>
    </row>
    <row r="2727" ht="14.25" customHeight="1">
      <c r="A2727" s="8" t="s">
        <v>5524</v>
      </c>
      <c r="B2727" s="8">
        <v>7.3</v>
      </c>
      <c r="C2727" s="4"/>
      <c r="D2727" s="31"/>
      <c r="E2727" s="4"/>
      <c r="F2727" s="15"/>
      <c r="G2727" s="4"/>
    </row>
    <row r="2728" ht="14.25" customHeight="1">
      <c r="A2728" s="8" t="s">
        <v>5526</v>
      </c>
      <c r="B2728" s="8">
        <v>7.3</v>
      </c>
      <c r="C2728" s="4"/>
      <c r="D2728" s="31"/>
      <c r="E2728" s="4"/>
      <c r="F2728" s="15"/>
      <c r="G2728" s="4"/>
    </row>
    <row r="2729" ht="14.25" customHeight="1">
      <c r="A2729" s="8" t="s">
        <v>467</v>
      </c>
      <c r="B2729" s="8">
        <v>7.1</v>
      </c>
      <c r="C2729" s="4"/>
      <c r="D2729" s="31"/>
      <c r="E2729" s="4"/>
      <c r="F2729" s="15"/>
      <c r="G2729" s="4"/>
    </row>
    <row r="2730" ht="14.25" customHeight="1">
      <c r="A2730" s="8" t="s">
        <v>33</v>
      </c>
      <c r="B2730" s="8">
        <v>7.6</v>
      </c>
      <c r="C2730" s="4"/>
      <c r="D2730" s="31"/>
      <c r="E2730" s="4"/>
      <c r="F2730" s="15"/>
      <c r="G2730" s="4"/>
    </row>
    <row r="2731" ht="14.25" customHeight="1">
      <c r="A2731" s="8" t="s">
        <v>5531</v>
      </c>
      <c r="B2731" s="8">
        <v>5.3</v>
      </c>
      <c r="C2731" s="4"/>
      <c r="D2731" s="31"/>
      <c r="E2731" s="4"/>
      <c r="F2731" s="15"/>
      <c r="G2731" s="4"/>
    </row>
    <row r="2732" ht="14.25" customHeight="1">
      <c r="A2732" s="8" t="s">
        <v>3025</v>
      </c>
      <c r="B2732" s="8">
        <v>7.8</v>
      </c>
      <c r="C2732" s="4"/>
      <c r="D2732" s="31"/>
      <c r="E2732" s="4"/>
      <c r="F2732" s="15"/>
      <c r="G2732" s="4"/>
    </row>
    <row r="2733" ht="14.25" customHeight="1">
      <c r="A2733" s="8" t="s">
        <v>5534</v>
      </c>
      <c r="B2733" s="8">
        <v>7.7</v>
      </c>
      <c r="C2733" s="4"/>
      <c r="D2733" s="31"/>
      <c r="E2733" s="4"/>
      <c r="F2733" s="15"/>
      <c r="G2733" s="4"/>
    </row>
    <row r="2734" ht="14.25" customHeight="1">
      <c r="A2734" s="8" t="s">
        <v>4377</v>
      </c>
      <c r="B2734" s="8">
        <v>7.7</v>
      </c>
      <c r="C2734" s="4"/>
      <c r="D2734" s="31"/>
      <c r="E2734" s="4"/>
      <c r="F2734" s="15"/>
      <c r="G2734" s="4"/>
    </row>
    <row r="2735" ht="14.25" customHeight="1">
      <c r="A2735" s="8" t="s">
        <v>5232</v>
      </c>
      <c r="B2735" s="8">
        <v>5.4</v>
      </c>
      <c r="C2735" s="4"/>
      <c r="D2735" s="31"/>
      <c r="E2735" s="4"/>
      <c r="F2735" s="15"/>
      <c r="G2735" s="4"/>
    </row>
    <row r="2736" ht="14.25" customHeight="1">
      <c r="A2736" s="8" t="s">
        <v>3996</v>
      </c>
      <c r="B2736" s="8">
        <v>6.2</v>
      </c>
      <c r="C2736" s="4"/>
      <c r="D2736" s="31"/>
      <c r="E2736" s="4"/>
      <c r="F2736" s="15"/>
      <c r="G2736" s="4"/>
    </row>
    <row r="2737" ht="14.25" customHeight="1">
      <c r="A2737" s="8" t="s">
        <v>2831</v>
      </c>
      <c r="B2737" s="8">
        <v>7.4</v>
      </c>
      <c r="C2737" s="4"/>
      <c r="D2737" s="31"/>
      <c r="E2737" s="4"/>
      <c r="F2737" s="15"/>
      <c r="G2737" s="4"/>
    </row>
    <row r="2738" ht="14.25" customHeight="1">
      <c r="A2738" s="8" t="s">
        <v>627</v>
      </c>
      <c r="B2738" s="8">
        <v>6.2</v>
      </c>
      <c r="C2738" s="4"/>
      <c r="D2738" s="31"/>
      <c r="E2738" s="4"/>
      <c r="F2738" s="15"/>
      <c r="G2738" s="4"/>
    </row>
    <row r="2739" ht="14.25" customHeight="1">
      <c r="A2739" s="8" t="s">
        <v>5542</v>
      </c>
      <c r="B2739" s="8">
        <v>5.1</v>
      </c>
      <c r="C2739" s="4"/>
      <c r="D2739" s="31"/>
      <c r="E2739" s="4"/>
      <c r="F2739" s="15"/>
      <c r="G2739" s="4"/>
    </row>
    <row r="2740" ht="14.25" customHeight="1">
      <c r="A2740" s="8" t="s">
        <v>5544</v>
      </c>
      <c r="B2740" s="8">
        <v>6.8</v>
      </c>
      <c r="C2740" s="4"/>
      <c r="D2740" s="31"/>
      <c r="E2740" s="4"/>
      <c r="F2740" s="15"/>
      <c r="G2740" s="4"/>
    </row>
    <row r="2741" ht="14.25" customHeight="1">
      <c r="A2741" s="8" t="s">
        <v>2944</v>
      </c>
      <c r="B2741" s="8">
        <v>7.4</v>
      </c>
      <c r="C2741" s="4"/>
      <c r="D2741" s="31"/>
      <c r="E2741" s="4"/>
      <c r="F2741" s="15"/>
      <c r="G2741" s="4"/>
    </row>
    <row r="2742" ht="14.25" customHeight="1">
      <c r="A2742" s="8" t="s">
        <v>5547</v>
      </c>
      <c r="B2742" s="8">
        <v>5.8</v>
      </c>
      <c r="C2742" s="4"/>
      <c r="D2742" s="31"/>
      <c r="E2742" s="4"/>
      <c r="F2742" s="15"/>
      <c r="G2742" s="4"/>
    </row>
    <row r="2743" ht="14.25" customHeight="1">
      <c r="A2743" s="8" t="s">
        <v>5549</v>
      </c>
      <c r="B2743" s="8">
        <v>6.4</v>
      </c>
      <c r="C2743" s="4"/>
      <c r="D2743" s="31"/>
      <c r="E2743" s="4"/>
      <c r="F2743" s="15"/>
      <c r="G2743" s="4"/>
    </row>
    <row r="2744" ht="14.25" customHeight="1">
      <c r="A2744" s="8" t="s">
        <v>5552</v>
      </c>
      <c r="B2744" s="8">
        <v>6.0</v>
      </c>
      <c r="C2744" s="4"/>
      <c r="D2744" s="31"/>
      <c r="E2744" s="4"/>
      <c r="F2744" s="15"/>
      <c r="G2744" s="4"/>
    </row>
    <row r="2745" ht="14.25" customHeight="1">
      <c r="A2745" s="8" t="s">
        <v>2385</v>
      </c>
      <c r="B2745" s="8">
        <v>6.9</v>
      </c>
      <c r="C2745" s="4"/>
      <c r="D2745" s="31"/>
      <c r="E2745" s="4"/>
      <c r="F2745" s="15"/>
      <c r="G2745" s="4"/>
    </row>
    <row r="2746" ht="14.25" customHeight="1">
      <c r="A2746" s="8" t="s">
        <v>5557</v>
      </c>
      <c r="B2746" s="8">
        <v>5.5</v>
      </c>
      <c r="C2746" s="4"/>
      <c r="D2746" s="31"/>
      <c r="E2746" s="4"/>
      <c r="F2746" s="15"/>
      <c r="G2746" s="4"/>
    </row>
    <row r="2747" ht="14.25" customHeight="1">
      <c r="A2747" s="8" t="s">
        <v>5559</v>
      </c>
      <c r="B2747" s="8">
        <v>5.4</v>
      </c>
      <c r="C2747" s="4"/>
      <c r="D2747" s="31"/>
      <c r="E2747" s="4"/>
      <c r="F2747" s="15"/>
      <c r="G2747" s="4"/>
    </row>
    <row r="2748" ht="14.25" customHeight="1">
      <c r="A2748" s="8" t="s">
        <v>1517</v>
      </c>
      <c r="B2748" s="8">
        <v>8.3</v>
      </c>
      <c r="C2748" s="4"/>
      <c r="D2748" s="31"/>
      <c r="E2748" s="4"/>
      <c r="F2748" s="15"/>
      <c r="G2748" s="4"/>
    </row>
    <row r="2749" ht="14.25" customHeight="1">
      <c r="A2749" s="8" t="s">
        <v>168</v>
      </c>
      <c r="B2749" s="8">
        <v>7.9</v>
      </c>
      <c r="C2749" s="4"/>
      <c r="D2749" s="31"/>
      <c r="E2749" s="4"/>
      <c r="F2749" s="15"/>
      <c r="G2749" s="4"/>
    </row>
    <row r="2750" ht="14.25" customHeight="1">
      <c r="A2750" s="8" t="s">
        <v>5566</v>
      </c>
      <c r="B2750" s="8">
        <v>6.5</v>
      </c>
      <c r="C2750" s="4"/>
      <c r="D2750" s="31"/>
      <c r="E2750" s="4"/>
      <c r="F2750" s="15"/>
      <c r="G2750" s="4"/>
    </row>
    <row r="2751" ht="14.25" customHeight="1">
      <c r="A2751" s="8" t="s">
        <v>5568</v>
      </c>
      <c r="B2751" s="8">
        <v>6.4</v>
      </c>
      <c r="C2751" s="4"/>
      <c r="D2751" s="31"/>
      <c r="E2751" s="4"/>
      <c r="F2751" s="15"/>
      <c r="G2751" s="4"/>
    </row>
    <row r="2752" ht="14.25" customHeight="1">
      <c r="A2752" s="8" t="s">
        <v>5571</v>
      </c>
      <c r="B2752" s="8">
        <v>6.6</v>
      </c>
      <c r="C2752" s="4"/>
      <c r="D2752" s="31"/>
      <c r="E2752" s="4"/>
      <c r="F2752" s="15"/>
      <c r="G2752" s="4"/>
    </row>
    <row r="2753" ht="14.25" customHeight="1">
      <c r="A2753" s="8" t="s">
        <v>2409</v>
      </c>
      <c r="B2753" s="8">
        <v>8.3</v>
      </c>
      <c r="C2753" s="4"/>
      <c r="D2753" s="31"/>
      <c r="E2753" s="4"/>
      <c r="F2753" s="15"/>
      <c r="G2753" s="4"/>
    </row>
    <row r="2754" ht="14.25" customHeight="1">
      <c r="A2754" s="8" t="s">
        <v>5575</v>
      </c>
      <c r="B2754" s="8">
        <v>6.2</v>
      </c>
      <c r="C2754" s="4"/>
      <c r="D2754" s="31"/>
      <c r="E2754" s="4"/>
      <c r="F2754" s="15"/>
      <c r="G2754" s="4"/>
    </row>
    <row r="2755" ht="14.25" customHeight="1">
      <c r="A2755" s="8" t="s">
        <v>1117</v>
      </c>
      <c r="B2755" s="8">
        <v>6.9</v>
      </c>
      <c r="C2755" s="4"/>
      <c r="D2755" s="31"/>
      <c r="E2755" s="4"/>
      <c r="F2755" s="15"/>
      <c r="G2755" s="4"/>
    </row>
    <row r="2756" ht="14.25" customHeight="1">
      <c r="A2756" s="8" t="s">
        <v>490</v>
      </c>
      <c r="B2756" s="8">
        <v>5.9</v>
      </c>
      <c r="C2756" s="4"/>
      <c r="D2756" s="31"/>
      <c r="E2756" s="4"/>
      <c r="F2756" s="15"/>
      <c r="G2756" s="4"/>
    </row>
    <row r="2757" ht="14.25" customHeight="1">
      <c r="A2757" s="8" t="s">
        <v>5580</v>
      </c>
      <c r="B2757" s="8">
        <v>6.1</v>
      </c>
      <c r="C2757" s="4"/>
      <c r="D2757" s="31"/>
      <c r="E2757" s="4"/>
      <c r="F2757" s="15"/>
      <c r="G2757" s="4"/>
    </row>
    <row r="2758" ht="14.25" customHeight="1">
      <c r="A2758" s="8" t="s">
        <v>4776</v>
      </c>
      <c r="B2758" s="8">
        <v>5.8</v>
      </c>
      <c r="C2758" s="4"/>
      <c r="D2758" s="31"/>
      <c r="E2758" s="4"/>
      <c r="F2758" s="15"/>
      <c r="G2758" s="4"/>
    </row>
    <row r="2759" ht="14.25" customHeight="1">
      <c r="A2759" s="8" t="s">
        <v>2802</v>
      </c>
      <c r="B2759" s="8">
        <v>7.3</v>
      </c>
      <c r="C2759" s="4"/>
      <c r="D2759" s="31"/>
      <c r="E2759" s="4"/>
      <c r="F2759" s="15"/>
      <c r="G2759" s="4"/>
    </row>
    <row r="2760" ht="14.25" customHeight="1">
      <c r="A2760" s="8" t="s">
        <v>5575</v>
      </c>
      <c r="B2760" s="8">
        <v>5.9</v>
      </c>
      <c r="C2760" s="4"/>
      <c r="D2760" s="31"/>
      <c r="E2760" s="4"/>
      <c r="F2760" s="15"/>
      <c r="G2760" s="4"/>
    </row>
    <row r="2761" ht="14.25" customHeight="1">
      <c r="A2761" s="8" t="s">
        <v>2733</v>
      </c>
      <c r="B2761" s="8">
        <v>5.5</v>
      </c>
      <c r="C2761" s="4"/>
      <c r="D2761" s="31"/>
      <c r="E2761" s="4"/>
      <c r="F2761" s="15"/>
      <c r="G2761" s="4"/>
    </row>
    <row r="2762" ht="14.25" customHeight="1">
      <c r="A2762" s="8" t="s">
        <v>3709</v>
      </c>
      <c r="B2762" s="8">
        <v>5.0</v>
      </c>
      <c r="C2762" s="4"/>
      <c r="D2762" s="31"/>
      <c r="E2762" s="4"/>
      <c r="F2762" s="15"/>
      <c r="G2762" s="4"/>
    </row>
    <row r="2763" ht="14.25" customHeight="1">
      <c r="A2763" s="8" t="s">
        <v>208</v>
      </c>
      <c r="B2763" s="8">
        <v>7.0</v>
      </c>
      <c r="C2763" s="4"/>
      <c r="D2763" s="31"/>
      <c r="E2763" s="4"/>
      <c r="F2763" s="15"/>
      <c r="G2763" s="4"/>
    </row>
    <row r="2764" ht="14.25" customHeight="1">
      <c r="A2764" s="8" t="s">
        <v>1809</v>
      </c>
      <c r="B2764" s="8">
        <v>6.4</v>
      </c>
      <c r="C2764" s="4"/>
      <c r="D2764" s="31"/>
      <c r="E2764" s="4"/>
      <c r="F2764" s="15"/>
      <c r="G2764" s="4"/>
    </row>
    <row r="2765" ht="14.25" customHeight="1">
      <c r="A2765" s="8" t="s">
        <v>4188</v>
      </c>
      <c r="B2765" s="8">
        <v>5.9</v>
      </c>
      <c r="C2765" s="4"/>
      <c r="D2765" s="31"/>
      <c r="E2765" s="4"/>
      <c r="F2765" s="15"/>
      <c r="G2765" s="4"/>
    </row>
    <row r="2766" ht="14.25" customHeight="1">
      <c r="A2766" s="8" t="s">
        <v>922</v>
      </c>
      <c r="B2766" s="8">
        <v>7.0</v>
      </c>
      <c r="C2766" s="4"/>
      <c r="D2766" s="31"/>
      <c r="E2766" s="4"/>
      <c r="F2766" s="15"/>
      <c r="G2766" s="4"/>
    </row>
    <row r="2767" ht="14.25" customHeight="1">
      <c r="A2767" s="8" t="s">
        <v>3745</v>
      </c>
      <c r="B2767" s="8">
        <v>6.1</v>
      </c>
      <c r="C2767" s="4"/>
      <c r="D2767" s="31"/>
      <c r="E2767" s="4"/>
      <c r="F2767" s="15"/>
      <c r="G2767" s="4"/>
    </row>
    <row r="2768" ht="14.25" customHeight="1">
      <c r="A2768" s="8" t="s">
        <v>1809</v>
      </c>
      <c r="B2768" s="8">
        <v>6.9</v>
      </c>
      <c r="C2768" s="4"/>
      <c r="D2768" s="31"/>
      <c r="E2768" s="4"/>
      <c r="F2768" s="15"/>
      <c r="G2768" s="4"/>
    </row>
    <row r="2769" ht="14.25" customHeight="1">
      <c r="A2769" s="8" t="s">
        <v>5595</v>
      </c>
      <c r="B2769" s="8">
        <v>7.5</v>
      </c>
      <c r="C2769" s="4"/>
      <c r="D2769" s="31"/>
      <c r="E2769" s="4"/>
      <c r="F2769" s="15"/>
      <c r="G2769" s="4"/>
    </row>
    <row r="2770" ht="14.25" customHeight="1">
      <c r="A2770" s="8" t="s">
        <v>1841</v>
      </c>
      <c r="B2770" s="8">
        <v>7.3</v>
      </c>
      <c r="C2770" s="4"/>
      <c r="D2770" s="31"/>
      <c r="E2770" s="4"/>
      <c r="F2770" s="15"/>
      <c r="G2770" s="4"/>
    </row>
    <row r="2771" ht="14.25" customHeight="1">
      <c r="A2771" s="8" t="s">
        <v>5600</v>
      </c>
      <c r="B2771" s="8">
        <v>6.5</v>
      </c>
      <c r="C2771" s="4"/>
      <c r="D2771" s="31"/>
      <c r="E2771" s="4"/>
      <c r="F2771" s="15"/>
      <c r="G2771" s="4"/>
    </row>
    <row r="2772" ht="14.25" customHeight="1">
      <c r="A2772" s="8" t="s">
        <v>359</v>
      </c>
      <c r="B2772" s="8">
        <v>6.2</v>
      </c>
      <c r="C2772" s="4"/>
      <c r="D2772" s="31"/>
      <c r="E2772" s="4"/>
      <c r="F2772" s="15"/>
      <c r="G2772" s="4"/>
    </row>
    <row r="2773" ht="14.25" customHeight="1">
      <c r="A2773" s="8" t="s">
        <v>4249</v>
      </c>
      <c r="B2773" s="8">
        <v>6.0</v>
      </c>
      <c r="C2773" s="4"/>
      <c r="D2773" s="31"/>
      <c r="E2773" s="4"/>
      <c r="F2773" s="15"/>
      <c r="G2773" s="4"/>
    </row>
    <row r="2774" ht="14.25" customHeight="1">
      <c r="A2774" s="8" t="s">
        <v>5359</v>
      </c>
      <c r="B2774" s="8">
        <v>6.3</v>
      </c>
      <c r="C2774" s="4"/>
      <c r="D2774" s="31"/>
      <c r="E2774" s="4"/>
      <c r="F2774" s="15"/>
      <c r="G2774" s="4"/>
    </row>
    <row r="2775" ht="14.25" customHeight="1">
      <c r="A2775" s="8" t="s">
        <v>5607</v>
      </c>
      <c r="B2775" s="8">
        <v>5.8</v>
      </c>
      <c r="C2775" s="4"/>
      <c r="D2775" s="31"/>
      <c r="E2775" s="4"/>
      <c r="F2775" s="15"/>
      <c r="G2775" s="4"/>
    </row>
    <row r="2776" ht="14.25" customHeight="1">
      <c r="A2776" s="8" t="s">
        <v>5609</v>
      </c>
      <c r="B2776" s="8">
        <v>6.1</v>
      </c>
      <c r="C2776" s="4"/>
      <c r="D2776" s="31"/>
      <c r="E2776" s="4"/>
      <c r="F2776" s="15"/>
      <c r="G2776" s="4"/>
    </row>
    <row r="2777" ht="14.25" customHeight="1">
      <c r="A2777" s="8" t="s">
        <v>5611</v>
      </c>
      <c r="B2777" s="8">
        <v>6.9</v>
      </c>
      <c r="C2777" s="4"/>
      <c r="D2777" s="31"/>
      <c r="E2777" s="4"/>
      <c r="F2777" s="15"/>
      <c r="G2777" s="4"/>
    </row>
    <row r="2778" ht="14.25" customHeight="1">
      <c r="A2778" s="8" t="s">
        <v>3350</v>
      </c>
      <c r="B2778" s="8">
        <v>5.4</v>
      </c>
      <c r="C2778" s="4"/>
      <c r="D2778" s="31"/>
      <c r="E2778" s="4"/>
      <c r="F2778" s="15"/>
      <c r="G2778" s="4"/>
    </row>
    <row r="2779" ht="14.25" customHeight="1">
      <c r="A2779" s="8" t="s">
        <v>5616</v>
      </c>
      <c r="B2779" s="8">
        <v>6.7</v>
      </c>
      <c r="C2779" s="4"/>
      <c r="D2779" s="31"/>
      <c r="E2779" s="4"/>
      <c r="F2779" s="15"/>
      <c r="G2779" s="4"/>
    </row>
    <row r="2780" ht="14.25" customHeight="1">
      <c r="A2780" s="8" t="s">
        <v>2839</v>
      </c>
      <c r="B2780" s="8">
        <v>7.4</v>
      </c>
      <c r="C2780" s="4"/>
      <c r="D2780" s="31"/>
      <c r="E2780" s="4"/>
      <c r="F2780" s="15"/>
      <c r="G2780" s="4"/>
    </row>
    <row r="2781" ht="14.25" customHeight="1">
      <c r="A2781" s="8" t="s">
        <v>5621</v>
      </c>
      <c r="B2781" s="8">
        <v>5.6</v>
      </c>
      <c r="C2781" s="4"/>
      <c r="D2781" s="31"/>
      <c r="E2781" s="4"/>
      <c r="F2781" s="15"/>
      <c r="G2781" s="4"/>
    </row>
    <row r="2782" ht="14.25" customHeight="1">
      <c r="A2782" s="8" t="s">
        <v>1167</v>
      </c>
      <c r="B2782" s="8">
        <v>6.5</v>
      </c>
      <c r="C2782" s="4"/>
      <c r="D2782" s="31"/>
      <c r="E2782" s="4"/>
      <c r="F2782" s="15"/>
      <c r="G2782" s="4"/>
    </row>
    <row r="2783" ht="14.25" customHeight="1">
      <c r="A2783" s="8" t="s">
        <v>5625</v>
      </c>
      <c r="B2783" s="8">
        <v>6.5</v>
      </c>
      <c r="C2783" s="4"/>
      <c r="D2783" s="31"/>
      <c r="E2783" s="4"/>
      <c r="F2783" s="15"/>
      <c r="G2783" s="4"/>
    </row>
    <row r="2784" ht="14.25" customHeight="1">
      <c r="A2784" s="8" t="s">
        <v>1576</v>
      </c>
      <c r="B2784" s="8">
        <v>5.8</v>
      </c>
      <c r="C2784" s="4"/>
      <c r="D2784" s="31"/>
      <c r="E2784" s="4"/>
      <c r="F2784" s="15"/>
      <c r="G2784" s="4"/>
    </row>
    <row r="2785" ht="14.25" customHeight="1">
      <c r="A2785" s="8" t="s">
        <v>3713</v>
      </c>
      <c r="B2785" s="8">
        <v>5.0</v>
      </c>
      <c r="C2785" s="4"/>
      <c r="D2785" s="31"/>
      <c r="E2785" s="4"/>
      <c r="F2785" s="15"/>
      <c r="G2785" s="4"/>
    </row>
    <row r="2786" ht="14.25" customHeight="1">
      <c r="A2786" s="8" t="s">
        <v>5629</v>
      </c>
      <c r="B2786" s="8">
        <v>5.5</v>
      </c>
      <c r="C2786" s="4"/>
      <c r="D2786" s="31"/>
      <c r="E2786" s="4"/>
      <c r="F2786" s="15"/>
      <c r="G2786" s="4"/>
    </row>
    <row r="2787" ht="14.25" customHeight="1">
      <c r="A2787" s="8" t="s">
        <v>4043</v>
      </c>
      <c r="B2787" s="8">
        <v>6.5</v>
      </c>
      <c r="C2787" s="4"/>
      <c r="D2787" s="31"/>
      <c r="E2787" s="4"/>
      <c r="F2787" s="15"/>
      <c r="G2787" s="4"/>
    </row>
    <row r="2788" ht="14.25" customHeight="1">
      <c r="A2788" s="8" t="s">
        <v>1957</v>
      </c>
      <c r="B2788" s="8">
        <v>7.2</v>
      </c>
      <c r="C2788" s="4"/>
      <c r="D2788" s="31"/>
      <c r="E2788" s="4"/>
      <c r="F2788" s="15"/>
      <c r="G2788" s="4"/>
    </row>
    <row r="2789" ht="14.25" customHeight="1">
      <c r="A2789" s="8" t="s">
        <v>5633</v>
      </c>
      <c r="B2789" s="8">
        <v>5.2</v>
      </c>
      <c r="C2789" s="4"/>
      <c r="D2789" s="31"/>
      <c r="E2789" s="4"/>
      <c r="F2789" s="15"/>
      <c r="G2789" s="4"/>
    </row>
    <row r="2790" ht="14.25" customHeight="1">
      <c r="A2790" s="8" t="s">
        <v>5636</v>
      </c>
      <c r="B2790" s="8">
        <v>5.7</v>
      </c>
      <c r="C2790" s="4"/>
      <c r="D2790" s="31"/>
      <c r="E2790" s="4"/>
      <c r="F2790" s="15"/>
      <c r="G2790" s="4"/>
    </row>
    <row r="2791" ht="14.25" customHeight="1">
      <c r="A2791" s="8" t="s">
        <v>5097</v>
      </c>
      <c r="B2791" s="8">
        <v>4.7</v>
      </c>
      <c r="C2791" s="4"/>
      <c r="D2791" s="31"/>
      <c r="E2791" s="4"/>
      <c r="F2791" s="15"/>
      <c r="G2791" s="4"/>
    </row>
    <row r="2792" ht="14.25" customHeight="1">
      <c r="A2792" s="8" t="s">
        <v>5640</v>
      </c>
      <c r="B2792" s="8">
        <v>5.9</v>
      </c>
      <c r="C2792" s="4"/>
      <c r="D2792" s="31"/>
      <c r="E2792" s="4"/>
      <c r="F2792" s="15"/>
      <c r="G2792" s="4"/>
    </row>
    <row r="2793" ht="14.25" customHeight="1">
      <c r="A2793" s="8" t="s">
        <v>4490</v>
      </c>
      <c r="B2793" s="8">
        <v>6.8</v>
      </c>
      <c r="C2793" s="4"/>
      <c r="D2793" s="31"/>
      <c r="E2793" s="4"/>
      <c r="F2793" s="15"/>
      <c r="G2793" s="4"/>
    </row>
    <row r="2794" ht="14.25" customHeight="1">
      <c r="A2794" s="8" t="s">
        <v>5643</v>
      </c>
      <c r="B2794" s="8">
        <v>5.9</v>
      </c>
      <c r="C2794" s="4"/>
      <c r="D2794" s="31"/>
      <c r="E2794" s="4"/>
      <c r="F2794" s="15"/>
      <c r="G2794" s="4"/>
    </row>
    <row r="2795" ht="14.25" customHeight="1">
      <c r="A2795" s="8" t="s">
        <v>2161</v>
      </c>
      <c r="B2795" s="8">
        <v>7.7</v>
      </c>
      <c r="C2795" s="4"/>
      <c r="D2795" s="31"/>
      <c r="E2795" s="4"/>
      <c r="F2795" s="15"/>
      <c r="G2795" s="4"/>
    </row>
    <row r="2796" ht="14.25" customHeight="1">
      <c r="A2796" s="8" t="s">
        <v>2600</v>
      </c>
      <c r="B2796" s="8">
        <v>4.4</v>
      </c>
      <c r="C2796" s="4"/>
      <c r="D2796" s="31"/>
      <c r="E2796" s="4"/>
      <c r="F2796" s="15"/>
      <c r="G2796" s="4"/>
    </row>
    <row r="2797" ht="14.25" customHeight="1">
      <c r="A2797" s="8" t="s">
        <v>1841</v>
      </c>
      <c r="B2797" s="8">
        <v>6.6</v>
      </c>
      <c r="C2797" s="4"/>
      <c r="D2797" s="31"/>
      <c r="E2797" s="4"/>
      <c r="F2797" s="15"/>
      <c r="G2797" s="4"/>
    </row>
    <row r="2798" ht="14.25" customHeight="1">
      <c r="A2798" s="8" t="s">
        <v>5650</v>
      </c>
      <c r="B2798" s="8">
        <v>6.7</v>
      </c>
      <c r="C2798" s="4"/>
      <c r="D2798" s="31"/>
      <c r="E2798" s="4"/>
      <c r="F2798" s="15"/>
      <c r="G2798" s="4"/>
    </row>
    <row r="2799" ht="14.25" customHeight="1">
      <c r="A2799" s="8" t="s">
        <v>4454</v>
      </c>
      <c r="B2799" s="8">
        <v>5.5</v>
      </c>
      <c r="C2799" s="4"/>
      <c r="D2799" s="31"/>
      <c r="E2799" s="4"/>
      <c r="F2799" s="15"/>
      <c r="G2799" s="4"/>
    </row>
    <row r="2800" ht="14.25" customHeight="1">
      <c r="A2800" s="8" t="s">
        <v>2048</v>
      </c>
      <c r="B2800" s="8">
        <v>6.5</v>
      </c>
      <c r="C2800" s="4"/>
      <c r="D2800" s="31"/>
      <c r="E2800" s="4"/>
      <c r="F2800" s="15"/>
      <c r="G2800" s="4"/>
    </row>
    <row r="2801" ht="14.25" customHeight="1">
      <c r="A2801" s="8" t="s">
        <v>2014</v>
      </c>
      <c r="B2801" s="8">
        <v>6.2</v>
      </c>
      <c r="C2801" s="4"/>
      <c r="D2801" s="31"/>
      <c r="E2801" s="4"/>
      <c r="F2801" s="15"/>
      <c r="G2801" s="4"/>
    </row>
    <row r="2802" ht="14.25" customHeight="1">
      <c r="A2802" s="8" t="s">
        <v>796</v>
      </c>
      <c r="B2802" s="8">
        <v>7.1</v>
      </c>
      <c r="C2802" s="4"/>
      <c r="D2802" s="31"/>
      <c r="E2802" s="4"/>
      <c r="F2802" s="15"/>
      <c r="G2802" s="4"/>
    </row>
    <row r="2803" ht="14.25" customHeight="1">
      <c r="A2803" s="8" t="s">
        <v>5658</v>
      </c>
      <c r="B2803" s="8">
        <v>6.1</v>
      </c>
      <c r="C2803" s="4"/>
      <c r="D2803" s="31"/>
      <c r="E2803" s="4"/>
      <c r="F2803" s="15"/>
      <c r="G2803" s="4"/>
    </row>
    <row r="2804" ht="14.25" customHeight="1">
      <c r="A2804" s="8" t="s">
        <v>4976</v>
      </c>
      <c r="B2804" s="8">
        <v>6.0</v>
      </c>
      <c r="C2804" s="4"/>
      <c r="D2804" s="31"/>
      <c r="E2804" s="4"/>
      <c r="F2804" s="15"/>
      <c r="G2804" s="4"/>
    </row>
    <row r="2805" ht="14.25" customHeight="1">
      <c r="A2805" s="8" t="s">
        <v>4613</v>
      </c>
      <c r="B2805" s="8">
        <v>7.4</v>
      </c>
      <c r="C2805" s="4"/>
      <c r="D2805" s="31"/>
      <c r="E2805" s="4"/>
      <c r="F2805" s="15"/>
      <c r="G2805" s="4"/>
    </row>
    <row r="2806" ht="14.25" customHeight="1">
      <c r="A2806" s="8" t="s">
        <v>5663</v>
      </c>
      <c r="B2806" s="8">
        <v>5.9</v>
      </c>
      <c r="C2806" s="4"/>
      <c r="D2806" s="31"/>
      <c r="E2806" s="4"/>
      <c r="F2806" s="15"/>
      <c r="G2806" s="4"/>
    </row>
    <row r="2807" ht="14.25" customHeight="1">
      <c r="A2807" s="8" t="s">
        <v>5666</v>
      </c>
      <c r="B2807" s="8">
        <v>4.1</v>
      </c>
      <c r="C2807" s="4"/>
      <c r="D2807" s="31"/>
      <c r="E2807" s="4"/>
      <c r="F2807" s="15"/>
      <c r="G2807" s="4"/>
    </row>
    <row r="2808" ht="14.25" customHeight="1">
      <c r="A2808" s="8" t="s">
        <v>5669</v>
      </c>
      <c r="B2808" s="8">
        <v>5.9</v>
      </c>
      <c r="C2808" s="4"/>
      <c r="D2808" s="31"/>
      <c r="E2808" s="4"/>
      <c r="F2808" s="15"/>
      <c r="G2808" s="4"/>
    </row>
    <row r="2809" ht="14.25" customHeight="1">
      <c r="A2809" s="8" t="s">
        <v>5526</v>
      </c>
      <c r="B2809" s="8">
        <v>7.0</v>
      </c>
      <c r="C2809" s="4"/>
      <c r="D2809" s="31"/>
      <c r="E2809" s="4"/>
      <c r="F2809" s="15"/>
      <c r="G2809" s="4"/>
    </row>
    <row r="2810" ht="14.25" customHeight="1">
      <c r="A2810" s="8" t="s">
        <v>2739</v>
      </c>
      <c r="B2810" s="8">
        <v>6.8</v>
      </c>
      <c r="C2810" s="4"/>
      <c r="D2810" s="31"/>
      <c r="E2810" s="4"/>
      <c r="F2810" s="15"/>
      <c r="G2810" s="4"/>
    </row>
    <row r="2811" ht="14.25" customHeight="1">
      <c r="A2811" s="8" t="s">
        <v>5673</v>
      </c>
      <c r="B2811" s="8">
        <v>7.4</v>
      </c>
      <c r="C2811" s="4"/>
      <c r="D2811" s="31"/>
      <c r="E2811" s="4"/>
      <c r="F2811" s="15"/>
      <c r="G2811" s="4"/>
    </row>
    <row r="2812" ht="14.25" customHeight="1">
      <c r="A2812" s="8" t="s">
        <v>5675</v>
      </c>
      <c r="B2812" s="8">
        <v>7.1</v>
      </c>
      <c r="C2812" s="4"/>
      <c r="D2812" s="31"/>
      <c r="E2812" s="4"/>
      <c r="F2812" s="15"/>
      <c r="G2812" s="4"/>
    </row>
    <row r="2813" ht="14.25" customHeight="1">
      <c r="A2813" s="8" t="s">
        <v>5677</v>
      </c>
      <c r="B2813" s="8">
        <v>7.0</v>
      </c>
      <c r="C2813" s="4"/>
      <c r="D2813" s="31"/>
      <c r="E2813" s="4"/>
      <c r="F2813" s="15"/>
      <c r="G2813" s="4"/>
    </row>
    <row r="2814" ht="14.25" customHeight="1">
      <c r="A2814" s="8" t="s">
        <v>2991</v>
      </c>
      <c r="B2814" s="8">
        <v>5.8</v>
      </c>
      <c r="C2814" s="4"/>
      <c r="D2814" s="31"/>
      <c r="E2814" s="4"/>
      <c r="F2814" s="15"/>
      <c r="G2814" s="4"/>
    </row>
    <row r="2815" ht="14.25" customHeight="1">
      <c r="A2815" s="8" t="s">
        <v>5342</v>
      </c>
      <c r="B2815" s="8">
        <v>7.8</v>
      </c>
      <c r="C2815" s="4"/>
      <c r="D2815" s="31"/>
      <c r="E2815" s="4"/>
      <c r="F2815" s="15"/>
      <c r="G2815" s="4"/>
    </row>
    <row r="2816" ht="14.25" customHeight="1">
      <c r="A2816" s="8" t="s">
        <v>5682</v>
      </c>
      <c r="B2816" s="8">
        <v>6.5</v>
      </c>
      <c r="C2816" s="4"/>
      <c r="D2816" s="31"/>
      <c r="E2816" s="4"/>
      <c r="F2816" s="15"/>
      <c r="G2816" s="4"/>
    </row>
    <row r="2817" ht="14.25" customHeight="1">
      <c r="A2817" s="8" t="s">
        <v>111</v>
      </c>
      <c r="B2817" s="8">
        <v>7.0</v>
      </c>
      <c r="C2817" s="4"/>
      <c r="D2817" s="31"/>
      <c r="E2817" s="4"/>
      <c r="F2817" s="15"/>
      <c r="G2817" s="4"/>
    </row>
    <row r="2818" ht="14.25" customHeight="1">
      <c r="A2818" s="8" t="s">
        <v>98</v>
      </c>
      <c r="B2818" s="8">
        <v>6.3</v>
      </c>
      <c r="C2818" s="4"/>
      <c r="D2818" s="31"/>
      <c r="E2818" s="4"/>
      <c r="F2818" s="15"/>
      <c r="G2818" s="4"/>
    </row>
    <row r="2819" ht="14.25" customHeight="1">
      <c r="A2819" s="8" t="s">
        <v>4730</v>
      </c>
      <c r="B2819" s="8">
        <v>5.3</v>
      </c>
      <c r="C2819" s="4"/>
      <c r="D2819" s="31"/>
      <c r="E2819" s="4"/>
      <c r="F2819" s="15"/>
      <c r="G2819" s="4"/>
    </row>
    <row r="2820" ht="14.25" customHeight="1">
      <c r="A2820" s="8" t="s">
        <v>5689</v>
      </c>
      <c r="B2820" s="8">
        <v>5.5</v>
      </c>
      <c r="C2820" s="4"/>
      <c r="D2820" s="31"/>
      <c r="E2820" s="4"/>
      <c r="F2820" s="15"/>
      <c r="G2820" s="4"/>
    </row>
    <row r="2821" ht="14.25" customHeight="1">
      <c r="A2821" s="8" t="s">
        <v>2251</v>
      </c>
      <c r="B2821" s="8">
        <v>7.4</v>
      </c>
      <c r="C2821" s="4"/>
      <c r="D2821" s="31"/>
      <c r="E2821" s="4"/>
      <c r="F2821" s="15"/>
      <c r="G2821" s="4"/>
    </row>
    <row r="2822" ht="14.25" customHeight="1">
      <c r="A2822" s="8" t="s">
        <v>3444</v>
      </c>
      <c r="B2822" s="8">
        <v>4.3</v>
      </c>
      <c r="C2822" s="4"/>
      <c r="D2822" s="31"/>
      <c r="E2822" s="4"/>
      <c r="F2822" s="15"/>
      <c r="G2822" s="4"/>
    </row>
    <row r="2823" ht="14.25" customHeight="1">
      <c r="A2823" s="8" t="s">
        <v>755</v>
      </c>
      <c r="B2823" s="8">
        <v>6.0</v>
      </c>
      <c r="C2823" s="4"/>
      <c r="D2823" s="31"/>
      <c r="E2823" s="4"/>
      <c r="F2823" s="15"/>
      <c r="G2823" s="4"/>
    </row>
    <row r="2824" ht="14.25" customHeight="1">
      <c r="A2824" s="8" t="s">
        <v>5695</v>
      </c>
      <c r="B2824" s="8">
        <v>5.2</v>
      </c>
      <c r="C2824" s="4"/>
      <c r="D2824" s="31"/>
      <c r="E2824" s="4"/>
      <c r="F2824" s="15"/>
      <c r="G2824" s="4"/>
    </row>
    <row r="2825" ht="14.25" customHeight="1">
      <c r="A2825" s="8" t="s">
        <v>5697</v>
      </c>
      <c r="B2825" s="8">
        <v>6.7</v>
      </c>
      <c r="C2825" s="4"/>
      <c r="D2825" s="31"/>
      <c r="E2825" s="4"/>
      <c r="F2825" s="15"/>
      <c r="G2825" s="4"/>
    </row>
    <row r="2826" ht="14.25" customHeight="1">
      <c r="A2826" s="8" t="s">
        <v>5700</v>
      </c>
      <c r="B2826" s="8">
        <v>8.6</v>
      </c>
      <c r="C2826" s="4"/>
      <c r="D2826" s="31"/>
      <c r="E2826" s="4"/>
      <c r="F2826" s="15"/>
      <c r="G2826" s="4"/>
    </row>
    <row r="2827" ht="14.25" customHeight="1">
      <c r="A2827" s="8" t="s">
        <v>5702</v>
      </c>
      <c r="B2827" s="8">
        <v>6.1</v>
      </c>
      <c r="C2827" s="4"/>
      <c r="D2827" s="31"/>
      <c r="E2827" s="4"/>
      <c r="F2827" s="15"/>
      <c r="G2827" s="4"/>
    </row>
    <row r="2828" ht="14.25" customHeight="1">
      <c r="A2828" s="8" t="s">
        <v>5705</v>
      </c>
      <c r="B2828" s="8">
        <v>5.8</v>
      </c>
      <c r="C2828" s="4"/>
      <c r="D2828" s="31"/>
      <c r="E2828" s="4"/>
      <c r="F2828" s="15"/>
      <c r="G2828" s="4"/>
    </row>
    <row r="2829" ht="14.25" customHeight="1">
      <c r="A2829" s="8" t="s">
        <v>5707</v>
      </c>
      <c r="B2829" s="8">
        <v>7.7</v>
      </c>
      <c r="C2829" s="4"/>
      <c r="D2829" s="31"/>
      <c r="E2829" s="4"/>
      <c r="F2829" s="15"/>
      <c r="G2829" s="4"/>
    </row>
    <row r="2830" ht="14.25" customHeight="1">
      <c r="A2830" s="8" t="s">
        <v>2339</v>
      </c>
      <c r="B2830" s="8">
        <v>8.0</v>
      </c>
      <c r="C2830" s="4"/>
      <c r="D2830" s="31"/>
      <c r="E2830" s="4"/>
      <c r="F2830" s="15"/>
      <c r="G2830" s="4"/>
    </row>
    <row r="2831" ht="14.25" customHeight="1">
      <c r="A2831" s="8" t="s">
        <v>5712</v>
      </c>
      <c r="B2831" s="8">
        <v>5.6</v>
      </c>
      <c r="C2831" s="4"/>
      <c r="D2831" s="31"/>
      <c r="E2831" s="4"/>
      <c r="F2831" s="15"/>
      <c r="G2831" s="4"/>
    </row>
    <row r="2832" ht="14.25" customHeight="1">
      <c r="A2832" s="8" t="s">
        <v>5715</v>
      </c>
      <c r="B2832" s="8">
        <v>6.7</v>
      </c>
      <c r="C2832" s="4"/>
      <c r="D2832" s="31"/>
      <c r="E2832" s="4"/>
      <c r="F2832" s="15"/>
      <c r="G2832" s="4"/>
    </row>
    <row r="2833" ht="14.25" customHeight="1">
      <c r="A2833" s="8" t="s">
        <v>4277</v>
      </c>
      <c r="B2833" s="8">
        <v>6.6</v>
      </c>
      <c r="C2833" s="4"/>
      <c r="D2833" s="31"/>
      <c r="E2833" s="4"/>
      <c r="F2833" s="15"/>
      <c r="G2833" s="4"/>
    </row>
    <row r="2834" ht="14.25" customHeight="1">
      <c r="A2834" s="8" t="s">
        <v>5718</v>
      </c>
      <c r="B2834" s="8">
        <v>4.1</v>
      </c>
      <c r="C2834" s="4"/>
      <c r="D2834" s="31"/>
      <c r="E2834" s="4"/>
      <c r="F2834" s="15"/>
      <c r="G2834" s="4"/>
    </row>
    <row r="2835" ht="14.25" customHeight="1">
      <c r="A2835" s="8" t="s">
        <v>3897</v>
      </c>
      <c r="B2835" s="8">
        <v>7.3</v>
      </c>
      <c r="C2835" s="4"/>
      <c r="D2835" s="31"/>
      <c r="E2835" s="4"/>
      <c r="F2835" s="15"/>
      <c r="G2835" s="4"/>
    </row>
    <row r="2836" ht="14.25" customHeight="1">
      <c r="A2836" s="8" t="s">
        <v>5722</v>
      </c>
      <c r="B2836" s="8">
        <v>7.1</v>
      </c>
      <c r="C2836" s="4"/>
      <c r="D2836" s="31"/>
      <c r="E2836" s="4"/>
      <c r="F2836" s="15"/>
      <c r="G2836" s="4"/>
    </row>
    <row r="2837" ht="14.25" customHeight="1">
      <c r="A2837" s="8" t="s">
        <v>5724</v>
      </c>
      <c r="B2837" s="8">
        <v>6.5</v>
      </c>
      <c r="C2837" s="4"/>
      <c r="D2837" s="31"/>
      <c r="E2837" s="4"/>
      <c r="F2837" s="15"/>
      <c r="G2837" s="4"/>
    </row>
    <row r="2838" ht="14.25" customHeight="1">
      <c r="A2838" s="8" t="s">
        <v>5726</v>
      </c>
      <c r="B2838" s="8">
        <v>7.0</v>
      </c>
      <c r="C2838" s="4"/>
      <c r="D2838" s="31"/>
      <c r="E2838" s="4"/>
      <c r="F2838" s="15"/>
      <c r="G2838" s="4"/>
    </row>
    <row r="2839" ht="14.25" customHeight="1">
      <c r="A2839" s="8" t="s">
        <v>5729</v>
      </c>
      <c r="B2839" s="8">
        <v>5.5</v>
      </c>
      <c r="C2839" s="4"/>
      <c r="D2839" s="31"/>
      <c r="E2839" s="4"/>
      <c r="F2839" s="15"/>
      <c r="G2839" s="4"/>
    </row>
    <row r="2840" ht="14.25" customHeight="1">
      <c r="A2840" s="8" t="s">
        <v>5732</v>
      </c>
      <c r="B2840" s="8">
        <v>6.6</v>
      </c>
      <c r="C2840" s="4"/>
      <c r="D2840" s="31"/>
      <c r="E2840" s="4"/>
      <c r="F2840" s="15"/>
      <c r="G2840" s="4"/>
    </row>
    <row r="2841" ht="14.25" customHeight="1">
      <c r="A2841" s="8" t="s">
        <v>639</v>
      </c>
      <c r="B2841" s="8">
        <v>7.1</v>
      </c>
      <c r="C2841" s="4"/>
      <c r="D2841" s="31"/>
      <c r="E2841" s="4"/>
      <c r="F2841" s="15"/>
      <c r="G2841" s="4"/>
    </row>
    <row r="2842" ht="14.25" customHeight="1">
      <c r="A2842" s="8" t="s">
        <v>3362</v>
      </c>
      <c r="B2842" s="8">
        <v>7.9</v>
      </c>
      <c r="C2842" s="4"/>
      <c r="D2842" s="31"/>
      <c r="E2842" s="4"/>
      <c r="F2842" s="15"/>
      <c r="G2842" s="4"/>
    </row>
    <row r="2843" ht="14.25" customHeight="1">
      <c r="A2843" s="8" t="s">
        <v>5737</v>
      </c>
      <c r="B2843" s="8">
        <v>7.1</v>
      </c>
      <c r="C2843" s="4"/>
      <c r="D2843" s="31"/>
      <c r="E2843" s="4"/>
      <c r="F2843" s="15"/>
      <c r="G2843" s="4"/>
    </row>
    <row r="2844" ht="14.25" customHeight="1">
      <c r="A2844" s="8" t="s">
        <v>5740</v>
      </c>
      <c r="B2844" s="8">
        <v>5.6</v>
      </c>
      <c r="C2844" s="4"/>
      <c r="D2844" s="31"/>
      <c r="E2844" s="4"/>
      <c r="F2844" s="15"/>
      <c r="G2844" s="4"/>
    </row>
    <row r="2845" ht="14.25" customHeight="1">
      <c r="A2845" s="8" t="s">
        <v>3745</v>
      </c>
      <c r="B2845" s="8">
        <v>7.3</v>
      </c>
      <c r="C2845" s="4"/>
      <c r="D2845" s="31"/>
      <c r="E2845" s="4"/>
      <c r="F2845" s="15"/>
      <c r="G2845" s="4"/>
    </row>
    <row r="2846" ht="14.25" customHeight="1">
      <c r="A2846" s="8" t="s">
        <v>5745</v>
      </c>
      <c r="B2846" s="8">
        <v>3.3</v>
      </c>
      <c r="C2846" s="4"/>
      <c r="D2846" s="31"/>
      <c r="E2846" s="4"/>
      <c r="F2846" s="15"/>
      <c r="G2846" s="4"/>
    </row>
    <row r="2847" ht="14.25" customHeight="1">
      <c r="A2847" s="8" t="s">
        <v>2048</v>
      </c>
      <c r="B2847" s="8">
        <v>6.5</v>
      </c>
      <c r="C2847" s="4"/>
      <c r="D2847" s="31"/>
      <c r="E2847" s="4"/>
      <c r="F2847" s="15"/>
      <c r="G2847" s="4"/>
    </row>
    <row r="2848" ht="14.25" customHeight="1">
      <c r="A2848" s="8" t="s">
        <v>5749</v>
      </c>
      <c r="B2848" s="8">
        <v>4.8</v>
      </c>
      <c r="C2848" s="4"/>
      <c r="D2848" s="31"/>
      <c r="E2848" s="4"/>
      <c r="F2848" s="15"/>
      <c r="G2848" s="4"/>
    </row>
    <row r="2849" ht="14.25" customHeight="1">
      <c r="A2849" s="8" t="s">
        <v>5752</v>
      </c>
      <c r="B2849" s="8">
        <v>5.2</v>
      </c>
      <c r="C2849" s="4"/>
      <c r="D2849" s="31"/>
      <c r="E2849" s="4"/>
      <c r="F2849" s="15"/>
      <c r="G2849" s="4"/>
    </row>
    <row r="2850" ht="14.25" customHeight="1">
      <c r="A2850" s="8" t="s">
        <v>5754</v>
      </c>
      <c r="B2850" s="8">
        <v>6.3</v>
      </c>
      <c r="C2850" s="4"/>
      <c r="D2850" s="31"/>
      <c r="E2850" s="4"/>
      <c r="F2850" s="15"/>
      <c r="G2850" s="4"/>
    </row>
    <row r="2851" ht="14.25" customHeight="1">
      <c r="A2851" s="8" t="s">
        <v>85</v>
      </c>
      <c r="B2851" s="8">
        <v>7.2</v>
      </c>
      <c r="C2851" s="4"/>
      <c r="D2851" s="31"/>
      <c r="E2851" s="4"/>
      <c r="F2851" s="15"/>
      <c r="G2851" s="4"/>
    </row>
    <row r="2852" ht="14.25" customHeight="1">
      <c r="A2852" s="8" t="s">
        <v>2170</v>
      </c>
      <c r="B2852" s="8">
        <v>6.8</v>
      </c>
      <c r="C2852" s="4"/>
      <c r="D2852" s="31"/>
      <c r="E2852" s="4"/>
      <c r="F2852" s="15"/>
      <c r="G2852" s="4"/>
    </row>
    <row r="2853" ht="14.25" customHeight="1">
      <c r="A2853" s="8" t="s">
        <v>5759</v>
      </c>
      <c r="B2853" s="8">
        <v>5.7</v>
      </c>
      <c r="C2853" s="4"/>
      <c r="D2853" s="31"/>
      <c r="E2853" s="4"/>
      <c r="F2853" s="15"/>
      <c r="G2853" s="4"/>
    </row>
    <row r="2854" ht="14.25" customHeight="1">
      <c r="A2854" s="8" t="s">
        <v>3944</v>
      </c>
      <c r="B2854" s="8">
        <v>7.2</v>
      </c>
      <c r="C2854" s="4"/>
      <c r="D2854" s="31"/>
      <c r="E2854" s="4"/>
      <c r="F2854" s="15"/>
      <c r="G2854" s="4"/>
    </row>
    <row r="2855" ht="14.25" customHeight="1">
      <c r="A2855" s="8" t="s">
        <v>3182</v>
      </c>
      <c r="B2855" s="8">
        <v>6.9</v>
      </c>
      <c r="C2855" s="4"/>
      <c r="D2855" s="31"/>
      <c r="E2855" s="4"/>
      <c r="F2855" s="15"/>
      <c r="G2855" s="4"/>
    </row>
    <row r="2856" ht="14.25" customHeight="1">
      <c r="A2856" s="8" t="s">
        <v>5239</v>
      </c>
      <c r="B2856" s="8">
        <v>6.2</v>
      </c>
      <c r="C2856" s="4"/>
      <c r="D2856" s="31"/>
      <c r="E2856" s="4"/>
      <c r="F2856" s="15"/>
      <c r="G2856" s="4"/>
    </row>
    <row r="2857" ht="14.25" customHeight="1">
      <c r="A2857" s="8" t="s">
        <v>1914</v>
      </c>
      <c r="B2857" s="8">
        <v>6.7</v>
      </c>
      <c r="C2857" s="4"/>
      <c r="D2857" s="31"/>
      <c r="E2857" s="4"/>
      <c r="F2857" s="15"/>
      <c r="G2857" s="4"/>
    </row>
    <row r="2858" ht="14.25" customHeight="1">
      <c r="A2858" s="8" t="s">
        <v>5765</v>
      </c>
      <c r="B2858" s="8">
        <v>6.5</v>
      </c>
      <c r="C2858" s="4"/>
      <c r="D2858" s="31"/>
      <c r="E2858" s="4"/>
      <c r="F2858" s="15"/>
      <c r="G2858" s="4"/>
    </row>
    <row r="2859" ht="14.25" customHeight="1">
      <c r="A2859" s="8" t="s">
        <v>5767</v>
      </c>
      <c r="B2859" s="8">
        <v>7.2</v>
      </c>
      <c r="C2859" s="4"/>
      <c r="D2859" s="31"/>
      <c r="E2859" s="4"/>
      <c r="F2859" s="15"/>
      <c r="G2859" s="4"/>
    </row>
    <row r="2860" ht="14.25" customHeight="1">
      <c r="A2860" s="8" t="s">
        <v>5769</v>
      </c>
      <c r="B2860" s="8">
        <v>5.3</v>
      </c>
      <c r="C2860" s="4"/>
      <c r="D2860" s="31"/>
      <c r="E2860" s="4"/>
      <c r="F2860" s="15"/>
      <c r="G2860" s="4"/>
    </row>
    <row r="2861" ht="14.25" customHeight="1">
      <c r="A2861" s="8" t="s">
        <v>2781</v>
      </c>
      <c r="B2861" s="8">
        <v>6.7</v>
      </c>
      <c r="C2861" s="4"/>
      <c r="D2861" s="31"/>
      <c r="E2861" s="4"/>
      <c r="F2861" s="15"/>
      <c r="G2861" s="4"/>
    </row>
    <row r="2862" ht="14.25" customHeight="1">
      <c r="A2862" s="8" t="s">
        <v>538</v>
      </c>
      <c r="B2862" s="8">
        <v>3.6</v>
      </c>
      <c r="C2862" s="4"/>
      <c r="D2862" s="31"/>
      <c r="E2862" s="4"/>
      <c r="F2862" s="15"/>
      <c r="G2862" s="4"/>
    </row>
    <row r="2863" ht="14.25" customHeight="1">
      <c r="A2863" s="8" t="s">
        <v>5773</v>
      </c>
      <c r="B2863" s="8">
        <v>5.7</v>
      </c>
      <c r="C2863" s="4"/>
      <c r="D2863" s="31"/>
      <c r="E2863" s="4"/>
      <c r="F2863" s="15"/>
      <c r="G2863" s="4"/>
    </row>
    <row r="2864" ht="14.25" customHeight="1">
      <c r="A2864" s="8" t="s">
        <v>4291</v>
      </c>
      <c r="B2864" s="8">
        <v>7.3</v>
      </c>
      <c r="C2864" s="4"/>
      <c r="D2864" s="31"/>
      <c r="E2864" s="4"/>
      <c r="F2864" s="15"/>
      <c r="G2864" s="4"/>
    </row>
    <row r="2865" ht="14.25" customHeight="1">
      <c r="A2865" s="8" t="s">
        <v>5778</v>
      </c>
      <c r="B2865" s="8">
        <v>5.0</v>
      </c>
      <c r="C2865" s="4"/>
      <c r="D2865" s="31"/>
      <c r="E2865" s="4"/>
      <c r="F2865" s="15"/>
      <c r="G2865" s="4"/>
    </row>
    <row r="2866" ht="14.25" customHeight="1">
      <c r="A2866" s="8" t="s">
        <v>5780</v>
      </c>
      <c r="B2866" s="8">
        <v>6.6</v>
      </c>
      <c r="C2866" s="4"/>
      <c r="D2866" s="31"/>
      <c r="E2866" s="4"/>
      <c r="F2866" s="15"/>
      <c r="G2866" s="4"/>
    </row>
    <row r="2867" ht="14.25" customHeight="1">
      <c r="A2867" s="8" t="s">
        <v>5783</v>
      </c>
      <c r="B2867" s="8">
        <v>6.6</v>
      </c>
      <c r="C2867" s="4"/>
      <c r="D2867" s="31"/>
      <c r="E2867" s="4"/>
      <c r="F2867" s="15"/>
      <c r="G2867" s="4"/>
    </row>
    <row r="2868" ht="14.25" customHeight="1">
      <c r="A2868" s="8" t="s">
        <v>5786</v>
      </c>
      <c r="B2868" s="8">
        <v>7.3</v>
      </c>
      <c r="C2868" s="4"/>
      <c r="D2868" s="31"/>
      <c r="E2868" s="4"/>
      <c r="F2868" s="15"/>
      <c r="G2868" s="4"/>
    </row>
    <row r="2869" ht="14.25" customHeight="1">
      <c r="A2869" s="8" t="s">
        <v>5789</v>
      </c>
      <c r="B2869" s="8">
        <v>6.2</v>
      </c>
      <c r="C2869" s="4"/>
      <c r="D2869" s="31"/>
      <c r="E2869" s="4"/>
      <c r="F2869" s="15"/>
      <c r="G2869" s="4"/>
    </row>
    <row r="2870" ht="14.25" customHeight="1">
      <c r="A2870" s="8" t="s">
        <v>5792</v>
      </c>
      <c r="B2870" s="8">
        <v>6.6</v>
      </c>
      <c r="C2870" s="4"/>
      <c r="D2870" s="31"/>
      <c r="E2870" s="4"/>
      <c r="F2870" s="15"/>
      <c r="G2870" s="4"/>
    </row>
    <row r="2871" ht="14.25" customHeight="1">
      <c r="A2871" s="8" t="s">
        <v>5414</v>
      </c>
      <c r="B2871" s="8">
        <v>6.3</v>
      </c>
      <c r="C2871" s="4"/>
      <c r="D2871" s="31"/>
      <c r="E2871" s="4"/>
      <c r="F2871" s="15"/>
      <c r="G2871" s="4"/>
    </row>
    <row r="2872" ht="14.25" customHeight="1">
      <c r="A2872" s="8" t="s">
        <v>5796</v>
      </c>
      <c r="B2872" s="8">
        <v>3.3</v>
      </c>
      <c r="C2872" s="4"/>
      <c r="D2872" s="31"/>
      <c r="E2872" s="4"/>
      <c r="F2872" s="15"/>
      <c r="G2872" s="4"/>
    </row>
    <row r="2873" ht="14.25" customHeight="1">
      <c r="A2873" s="8" t="s">
        <v>5798</v>
      </c>
      <c r="B2873" s="8">
        <v>6.2</v>
      </c>
      <c r="C2873" s="4"/>
      <c r="D2873" s="31"/>
      <c r="E2873" s="4"/>
      <c r="F2873" s="15"/>
      <c r="G2873" s="4"/>
    </row>
    <row r="2874" ht="14.25" customHeight="1">
      <c r="A2874" s="8" t="s">
        <v>5801</v>
      </c>
      <c r="B2874" s="8">
        <v>3.5</v>
      </c>
      <c r="C2874" s="4"/>
      <c r="D2874" s="31"/>
      <c r="E2874" s="4"/>
      <c r="F2874" s="15"/>
      <c r="G2874" s="4"/>
    </row>
    <row r="2875" ht="14.25" customHeight="1">
      <c r="A2875" s="8" t="s">
        <v>5803</v>
      </c>
      <c r="B2875" s="8">
        <v>5.5</v>
      </c>
      <c r="C2875" s="4"/>
      <c r="D2875" s="31"/>
      <c r="E2875" s="4"/>
      <c r="F2875" s="15"/>
      <c r="G2875" s="4"/>
    </row>
    <row r="2876" ht="14.25" customHeight="1">
      <c r="A2876" s="8" t="s">
        <v>5805</v>
      </c>
      <c r="B2876" s="8">
        <v>5.9</v>
      </c>
      <c r="C2876" s="4"/>
      <c r="D2876" s="31"/>
      <c r="E2876" s="4"/>
      <c r="F2876" s="15"/>
      <c r="G2876" s="4"/>
    </row>
    <row r="2877" ht="14.25" customHeight="1">
      <c r="A2877" s="8" t="s">
        <v>5808</v>
      </c>
      <c r="B2877" s="8">
        <v>4.7</v>
      </c>
      <c r="C2877" s="4"/>
      <c r="D2877" s="31"/>
      <c r="E2877" s="4"/>
      <c r="F2877" s="15"/>
      <c r="G2877" s="4"/>
    </row>
    <row r="2878" ht="14.25" customHeight="1">
      <c r="A2878" s="8" t="s">
        <v>5811</v>
      </c>
      <c r="B2878" s="8">
        <v>3.9</v>
      </c>
      <c r="C2878" s="4"/>
      <c r="D2878" s="31"/>
      <c r="E2878" s="4"/>
      <c r="F2878" s="15"/>
      <c r="G2878" s="4"/>
    </row>
    <row r="2879" ht="14.25" customHeight="1">
      <c r="A2879" s="8" t="s">
        <v>5814</v>
      </c>
      <c r="B2879" s="8">
        <v>6.1</v>
      </c>
      <c r="C2879" s="4"/>
      <c r="D2879" s="31"/>
      <c r="E2879" s="4"/>
      <c r="F2879" s="15"/>
      <c r="G2879" s="4"/>
    </row>
    <row r="2880" ht="14.25" customHeight="1">
      <c r="A2880" s="8" t="s">
        <v>5817</v>
      </c>
      <c r="B2880" s="8">
        <v>6.7</v>
      </c>
      <c r="C2880" s="4"/>
      <c r="D2880" s="31"/>
      <c r="E2880" s="4"/>
      <c r="F2880" s="15"/>
      <c r="G2880" s="4"/>
    </row>
    <row r="2881" ht="14.25" customHeight="1">
      <c r="A2881" s="8" t="s">
        <v>5819</v>
      </c>
      <c r="B2881" s="8">
        <v>6.9</v>
      </c>
      <c r="C2881" s="4"/>
      <c r="D2881" s="31"/>
      <c r="E2881" s="4"/>
      <c r="F2881" s="15"/>
      <c r="G2881" s="4"/>
    </row>
    <row r="2882" ht="14.25" customHeight="1">
      <c r="A2882" s="8" t="s">
        <v>3404</v>
      </c>
      <c r="B2882" s="8">
        <v>7.3</v>
      </c>
      <c r="C2882" s="4"/>
      <c r="D2882" s="31"/>
      <c r="E2882" s="4"/>
      <c r="F2882" s="15"/>
      <c r="G2882" s="4"/>
    </row>
    <row r="2883" ht="14.25" customHeight="1">
      <c r="A2883" s="8" t="s">
        <v>5825</v>
      </c>
      <c r="B2883" s="8">
        <v>6.7</v>
      </c>
      <c r="C2883" s="4"/>
      <c r="D2883" s="31"/>
      <c r="E2883" s="4"/>
      <c r="F2883" s="15"/>
      <c r="G2883" s="4"/>
    </row>
    <row r="2884" ht="14.25" customHeight="1">
      <c r="A2884" s="8" t="s">
        <v>1319</v>
      </c>
      <c r="B2884" s="8">
        <v>6.1</v>
      </c>
      <c r="C2884" s="4"/>
      <c r="D2884" s="31"/>
      <c r="E2884" s="4"/>
      <c r="F2884" s="15"/>
      <c r="G2884" s="4"/>
    </row>
    <row r="2885" ht="14.25" customHeight="1">
      <c r="A2885" s="8" t="s">
        <v>3187</v>
      </c>
      <c r="B2885" s="8">
        <v>6.9</v>
      </c>
      <c r="C2885" s="4"/>
      <c r="D2885" s="31"/>
      <c r="E2885" s="4"/>
      <c r="F2885" s="15"/>
      <c r="G2885" s="4"/>
    </row>
    <row r="2886" ht="14.25" customHeight="1">
      <c r="A2886" s="8" t="s">
        <v>4619</v>
      </c>
      <c r="B2886" s="8">
        <v>7.9</v>
      </c>
      <c r="C2886" s="4"/>
      <c r="D2886" s="31"/>
      <c r="E2886" s="4"/>
      <c r="F2886" s="15"/>
      <c r="G2886" s="4"/>
    </row>
    <row r="2887" ht="14.25" customHeight="1">
      <c r="A2887" s="8" t="s">
        <v>5831</v>
      </c>
      <c r="B2887" s="8">
        <v>4.5</v>
      </c>
      <c r="C2887" s="4"/>
      <c r="D2887" s="31"/>
      <c r="E2887" s="4"/>
      <c r="F2887" s="15"/>
      <c r="G2887" s="4"/>
    </row>
    <row r="2888" ht="14.25" customHeight="1">
      <c r="A2888" s="8" t="s">
        <v>5833</v>
      </c>
      <c r="B2888" s="8">
        <v>7.6</v>
      </c>
      <c r="C2888" s="4"/>
      <c r="D2888" s="31"/>
      <c r="E2888" s="4"/>
      <c r="F2888" s="15"/>
      <c r="G2888" s="4"/>
    </row>
    <row r="2889" ht="14.25" customHeight="1">
      <c r="A2889" s="8" t="s">
        <v>2095</v>
      </c>
      <c r="B2889" s="8">
        <v>7.5</v>
      </c>
      <c r="C2889" s="4"/>
      <c r="D2889" s="31"/>
      <c r="E2889" s="4"/>
      <c r="F2889" s="15"/>
      <c r="G2889" s="4"/>
    </row>
    <row r="2890" ht="14.25" customHeight="1">
      <c r="A2890" s="8" t="s">
        <v>5836</v>
      </c>
      <c r="B2890" s="8">
        <v>6.0</v>
      </c>
      <c r="C2890" s="4"/>
      <c r="D2890" s="31"/>
      <c r="E2890" s="4"/>
      <c r="F2890" s="15"/>
      <c r="G2890" s="4"/>
    </row>
    <row r="2891" ht="14.25" customHeight="1">
      <c r="A2891" s="8" t="s">
        <v>5080</v>
      </c>
      <c r="B2891" s="8">
        <v>7.1</v>
      </c>
      <c r="C2891" s="4"/>
      <c r="D2891" s="31"/>
      <c r="E2891" s="4"/>
      <c r="F2891" s="15"/>
      <c r="G2891" s="4"/>
    </row>
    <row r="2892" ht="14.25" customHeight="1">
      <c r="A2892" s="8" t="s">
        <v>5841</v>
      </c>
      <c r="B2892" s="8">
        <v>6.9</v>
      </c>
      <c r="C2892" s="4"/>
      <c r="D2892" s="31"/>
      <c r="E2892" s="4"/>
      <c r="F2892" s="15"/>
      <c r="G2892" s="4"/>
    </row>
    <row r="2893" ht="14.25" customHeight="1">
      <c r="A2893" s="8" t="s">
        <v>80</v>
      </c>
      <c r="B2893" s="8">
        <v>8.5</v>
      </c>
      <c r="C2893" s="4"/>
      <c r="D2893" s="31"/>
      <c r="E2893" s="4"/>
      <c r="F2893" s="15"/>
      <c r="G2893" s="4"/>
    </row>
    <row r="2894" ht="14.25" customHeight="1">
      <c r="A2894" s="8" t="s">
        <v>2944</v>
      </c>
      <c r="B2894" s="8">
        <v>7.5</v>
      </c>
      <c r="C2894" s="4"/>
      <c r="D2894" s="31"/>
      <c r="E2894" s="4"/>
      <c r="F2894" s="15"/>
      <c r="G2894" s="4"/>
    </row>
    <row r="2895" ht="14.25" customHeight="1">
      <c r="A2895" s="8" t="s">
        <v>5845</v>
      </c>
      <c r="B2895" s="8">
        <v>6.6</v>
      </c>
      <c r="C2895" s="4"/>
      <c r="D2895" s="31"/>
      <c r="E2895" s="4"/>
      <c r="F2895" s="15"/>
      <c r="G2895" s="4"/>
    </row>
    <row r="2896" ht="14.25" customHeight="1">
      <c r="A2896" s="8" t="s">
        <v>2786</v>
      </c>
      <c r="B2896" s="8">
        <v>8.0</v>
      </c>
      <c r="C2896" s="4"/>
      <c r="D2896" s="31"/>
      <c r="E2896" s="4"/>
      <c r="F2896" s="15"/>
      <c r="G2896" s="4"/>
    </row>
    <row r="2897" ht="14.25" customHeight="1">
      <c r="A2897" s="8" t="s">
        <v>5849</v>
      </c>
      <c r="B2897" s="8">
        <v>7.0</v>
      </c>
      <c r="C2897" s="4"/>
      <c r="D2897" s="31"/>
      <c r="E2897" s="4"/>
      <c r="F2897" s="15"/>
      <c r="G2897" s="4"/>
    </row>
    <row r="2898" ht="14.25" customHeight="1">
      <c r="A2898" s="8" t="s">
        <v>1258</v>
      </c>
      <c r="B2898" s="8">
        <v>6.8</v>
      </c>
      <c r="C2898" s="4"/>
      <c r="D2898" s="31"/>
      <c r="E2898" s="4"/>
      <c r="F2898" s="15"/>
      <c r="G2898" s="4"/>
    </row>
    <row r="2899" ht="14.25" customHeight="1">
      <c r="A2899" s="8" t="s">
        <v>3550</v>
      </c>
      <c r="B2899" s="8">
        <v>6.7</v>
      </c>
      <c r="C2899" s="4"/>
      <c r="D2899" s="31"/>
      <c r="E2899" s="4"/>
      <c r="F2899" s="15"/>
      <c r="G2899" s="4"/>
    </row>
    <row r="2900" ht="14.25" customHeight="1">
      <c r="A2900" s="8" t="s">
        <v>5124</v>
      </c>
      <c r="B2900" s="8">
        <v>6.5</v>
      </c>
      <c r="C2900" s="4"/>
      <c r="D2900" s="31"/>
      <c r="E2900" s="4"/>
      <c r="F2900" s="15"/>
      <c r="G2900" s="4"/>
    </row>
    <row r="2901" ht="14.25" customHeight="1">
      <c r="A2901" s="8" t="s">
        <v>5855</v>
      </c>
      <c r="B2901" s="8">
        <v>8.0</v>
      </c>
      <c r="C2901" s="4"/>
      <c r="D2901" s="31"/>
      <c r="E2901" s="4"/>
      <c r="F2901" s="15"/>
      <c r="G2901" s="4"/>
    </row>
    <row r="2902" ht="14.25" customHeight="1">
      <c r="A2902" s="8" t="s">
        <v>5580</v>
      </c>
      <c r="B2902" s="8">
        <v>6.5</v>
      </c>
      <c r="C2902" s="4"/>
      <c r="D2902" s="31"/>
      <c r="E2902" s="4"/>
      <c r="F2902" s="15"/>
      <c r="G2902" s="4"/>
    </row>
    <row r="2903" ht="14.25" customHeight="1">
      <c r="A2903" s="8" t="s">
        <v>5859</v>
      </c>
      <c r="B2903" s="8">
        <v>4.9</v>
      </c>
      <c r="C2903" s="4"/>
      <c r="D2903" s="31"/>
      <c r="E2903" s="4"/>
      <c r="F2903" s="15"/>
      <c r="G2903" s="4"/>
    </row>
    <row r="2904" ht="14.25" customHeight="1">
      <c r="A2904" s="8" t="s">
        <v>5184</v>
      </c>
      <c r="B2904" s="8">
        <v>7.1</v>
      </c>
      <c r="C2904" s="4"/>
      <c r="D2904" s="31"/>
      <c r="E2904" s="4"/>
      <c r="F2904" s="15"/>
      <c r="G2904" s="4"/>
    </row>
    <row r="2905" ht="14.25" customHeight="1">
      <c r="A2905" s="8" t="s">
        <v>1773</v>
      </c>
      <c r="B2905" s="8">
        <v>7.0</v>
      </c>
      <c r="C2905" s="4"/>
      <c r="D2905" s="31"/>
      <c r="E2905" s="4"/>
      <c r="F2905" s="15"/>
      <c r="G2905" s="4"/>
    </row>
    <row r="2906" ht="14.25" customHeight="1">
      <c r="A2906" s="8" t="s">
        <v>5863</v>
      </c>
      <c r="B2906" s="8">
        <v>7.0</v>
      </c>
      <c r="C2906" s="4"/>
      <c r="D2906" s="31"/>
      <c r="E2906" s="4"/>
      <c r="F2906" s="15"/>
      <c r="G2906" s="4"/>
    </row>
    <row r="2907" ht="14.25" customHeight="1">
      <c r="A2907" s="8" t="s">
        <v>4373</v>
      </c>
      <c r="B2907" s="8">
        <v>4.5</v>
      </c>
      <c r="C2907" s="4"/>
      <c r="D2907" s="31"/>
      <c r="E2907" s="4"/>
      <c r="F2907" s="15"/>
      <c r="G2907" s="4"/>
    </row>
    <row r="2908" ht="14.25" customHeight="1">
      <c r="A2908" s="8" t="s">
        <v>364</v>
      </c>
      <c r="B2908" s="8">
        <v>7.7</v>
      </c>
      <c r="C2908" s="4"/>
      <c r="D2908" s="31"/>
      <c r="E2908" s="4"/>
      <c r="F2908" s="15"/>
      <c r="G2908" s="4"/>
    </row>
    <row r="2909" ht="14.25" customHeight="1">
      <c r="A2909" s="8" t="s">
        <v>377</v>
      </c>
      <c r="B2909" s="8">
        <v>6.7</v>
      </c>
      <c r="C2909" s="4"/>
      <c r="D2909" s="31"/>
      <c r="E2909" s="4"/>
      <c r="F2909" s="15"/>
      <c r="G2909" s="4"/>
    </row>
    <row r="2910" ht="14.25" customHeight="1">
      <c r="A2910" s="8" t="s">
        <v>2417</v>
      </c>
      <c r="B2910" s="8">
        <v>7.0</v>
      </c>
      <c r="C2910" s="4"/>
      <c r="D2910" s="31"/>
      <c r="E2910" s="4"/>
      <c r="F2910" s="15"/>
      <c r="G2910" s="4"/>
    </row>
    <row r="2911" ht="14.25" customHeight="1">
      <c r="A2911" s="8" t="s">
        <v>5872</v>
      </c>
      <c r="B2911" s="8">
        <v>6.5</v>
      </c>
      <c r="C2911" s="4"/>
      <c r="D2911" s="31"/>
      <c r="E2911" s="4"/>
      <c r="F2911" s="15"/>
      <c r="G2911" s="4"/>
    </row>
    <row r="2912" ht="14.25" customHeight="1">
      <c r="A2912" s="8" t="s">
        <v>5140</v>
      </c>
      <c r="B2912" s="8">
        <v>6.2</v>
      </c>
      <c r="C2912" s="4"/>
      <c r="D2912" s="31"/>
      <c r="E2912" s="4"/>
      <c r="F2912" s="15"/>
      <c r="G2912" s="4"/>
    </row>
    <row r="2913" ht="14.25" customHeight="1">
      <c r="A2913" s="8" t="s">
        <v>4572</v>
      </c>
      <c r="B2913" s="8">
        <v>5.7</v>
      </c>
      <c r="C2913" s="4"/>
      <c r="D2913" s="31"/>
      <c r="E2913" s="4"/>
      <c r="F2913" s="15"/>
      <c r="G2913" s="4"/>
    </row>
    <row r="2914" ht="14.25" customHeight="1">
      <c r="A2914" s="8" t="s">
        <v>4237</v>
      </c>
      <c r="B2914" s="8">
        <v>6.4</v>
      </c>
      <c r="C2914" s="4"/>
      <c r="D2914" s="31"/>
      <c r="E2914" s="4"/>
      <c r="F2914" s="15"/>
      <c r="G2914" s="4"/>
    </row>
    <row r="2915" ht="14.25" customHeight="1">
      <c r="A2915" s="8" t="s">
        <v>4563</v>
      </c>
      <c r="B2915" s="8">
        <v>5.4</v>
      </c>
      <c r="C2915" s="4"/>
      <c r="D2915" s="31"/>
      <c r="E2915" s="4"/>
      <c r="F2915" s="15"/>
      <c r="G2915" s="4"/>
    </row>
    <row r="2916" ht="14.25" customHeight="1">
      <c r="A2916" s="8" t="s">
        <v>5878</v>
      </c>
      <c r="B2916" s="8">
        <v>6.6</v>
      </c>
      <c r="C2916" s="4"/>
      <c r="D2916" s="31"/>
      <c r="E2916" s="4"/>
      <c r="F2916" s="15"/>
      <c r="G2916" s="4"/>
    </row>
    <row r="2917" ht="14.25" customHeight="1">
      <c r="A2917" s="8" t="s">
        <v>5881</v>
      </c>
      <c r="B2917" s="8">
        <v>6.1</v>
      </c>
      <c r="C2917" s="4"/>
      <c r="D2917" s="31"/>
      <c r="E2917" s="4"/>
      <c r="F2917" s="15"/>
      <c r="G2917" s="4"/>
    </row>
    <row r="2918" ht="14.25" customHeight="1">
      <c r="A2918" s="8" t="s">
        <v>4377</v>
      </c>
      <c r="B2918" s="8">
        <v>7.6</v>
      </c>
      <c r="C2918" s="4"/>
      <c r="D2918" s="31"/>
      <c r="E2918" s="4"/>
      <c r="F2918" s="15"/>
      <c r="G2918" s="4"/>
    </row>
    <row r="2919" ht="14.25" customHeight="1">
      <c r="A2919" s="8" t="s">
        <v>5884</v>
      </c>
      <c r="B2919" s="8">
        <v>6.2</v>
      </c>
      <c r="C2919" s="4"/>
      <c r="D2919" s="31"/>
      <c r="E2919" s="4"/>
      <c r="F2919" s="15"/>
      <c r="G2919" s="4"/>
    </row>
    <row r="2920" ht="14.25" customHeight="1">
      <c r="A2920" s="8" t="s">
        <v>5013</v>
      </c>
      <c r="B2920" s="8">
        <v>6.6</v>
      </c>
      <c r="C2920" s="4"/>
      <c r="D2920" s="31"/>
      <c r="E2920" s="4"/>
      <c r="F2920" s="15"/>
      <c r="G2920" s="4"/>
    </row>
    <row r="2921" ht="14.25" customHeight="1">
      <c r="A2921" s="8" t="s">
        <v>5889</v>
      </c>
      <c r="B2921" s="8">
        <v>7.3</v>
      </c>
      <c r="C2921" s="4"/>
      <c r="D2921" s="31"/>
      <c r="E2921" s="4"/>
      <c r="F2921" s="15"/>
      <c r="G2921" s="4"/>
    </row>
    <row r="2922" ht="14.25" customHeight="1">
      <c r="A2922" s="8" t="s">
        <v>5893</v>
      </c>
      <c r="B2922" s="8">
        <v>4.2</v>
      </c>
      <c r="C2922" s="4"/>
      <c r="D2922" s="31"/>
      <c r="E2922" s="4"/>
      <c r="F2922" s="15"/>
      <c r="G2922" s="4"/>
    </row>
    <row r="2923" ht="14.25" customHeight="1">
      <c r="A2923" s="8" t="s">
        <v>5895</v>
      </c>
      <c r="B2923" s="8">
        <v>6.5</v>
      </c>
      <c r="C2923" s="4"/>
      <c r="D2923" s="31"/>
      <c r="E2923" s="4"/>
      <c r="F2923" s="15"/>
      <c r="G2923" s="4"/>
    </row>
    <row r="2924" ht="14.25" customHeight="1">
      <c r="A2924" s="8" t="s">
        <v>5897</v>
      </c>
      <c r="B2924" s="8">
        <v>6.5</v>
      </c>
      <c r="C2924" s="4"/>
      <c r="D2924" s="31"/>
      <c r="E2924" s="4"/>
      <c r="F2924" s="15"/>
      <c r="G2924" s="4"/>
    </row>
    <row r="2925" ht="14.25" customHeight="1">
      <c r="A2925" s="8" t="s">
        <v>5900</v>
      </c>
      <c r="B2925" s="8">
        <v>5.7</v>
      </c>
      <c r="C2925" s="4"/>
      <c r="D2925" s="31"/>
      <c r="E2925" s="4"/>
      <c r="F2925" s="15"/>
      <c r="G2925" s="4"/>
    </row>
    <row r="2926" ht="14.25" customHeight="1">
      <c r="A2926" s="8" t="s">
        <v>1976</v>
      </c>
      <c r="B2926" s="8">
        <v>7.3</v>
      </c>
      <c r="C2926" s="4"/>
      <c r="D2926" s="31"/>
      <c r="E2926" s="4"/>
      <c r="F2926" s="15"/>
      <c r="G2926" s="4"/>
    </row>
    <row r="2927" ht="14.25" customHeight="1">
      <c r="A2927" s="8" t="s">
        <v>5903</v>
      </c>
      <c r="B2927" s="8">
        <v>6.9</v>
      </c>
      <c r="C2927" s="4"/>
      <c r="D2927" s="31"/>
      <c r="E2927" s="4"/>
      <c r="F2927" s="15"/>
      <c r="G2927" s="4"/>
    </row>
    <row r="2928" ht="14.25" customHeight="1">
      <c r="A2928" s="8" t="s">
        <v>5906</v>
      </c>
      <c r="B2928" s="8">
        <v>5.0</v>
      </c>
      <c r="C2928" s="4"/>
      <c r="D2928" s="31"/>
      <c r="E2928" s="4"/>
      <c r="F2928" s="15"/>
      <c r="G2928" s="4"/>
    </row>
    <row r="2929" ht="14.25" customHeight="1">
      <c r="A2929" s="8" t="s">
        <v>3242</v>
      </c>
      <c r="B2929" s="8">
        <v>7.3</v>
      </c>
      <c r="C2929" s="4"/>
      <c r="D2929" s="31"/>
      <c r="E2929" s="4"/>
      <c r="F2929" s="15"/>
      <c r="G2929" s="4"/>
    </row>
    <row r="2930" ht="14.25" customHeight="1">
      <c r="A2930" s="8" t="s">
        <v>5909</v>
      </c>
      <c r="B2930" s="8">
        <v>6.5</v>
      </c>
      <c r="C2930" s="4"/>
      <c r="D2930" s="31"/>
      <c r="E2930" s="4"/>
      <c r="F2930" s="15"/>
      <c r="G2930" s="4"/>
    </row>
    <row r="2931" ht="14.25" customHeight="1">
      <c r="A2931" s="8" t="s">
        <v>5911</v>
      </c>
      <c r="B2931" s="8">
        <v>2.1</v>
      </c>
      <c r="C2931" s="4"/>
      <c r="D2931" s="31"/>
      <c r="E2931" s="4"/>
      <c r="F2931" s="15"/>
      <c r="G2931" s="4"/>
    </row>
    <row r="2932" ht="14.25" customHeight="1">
      <c r="A2932" s="8" t="s">
        <v>5425</v>
      </c>
      <c r="B2932" s="8">
        <v>7.0</v>
      </c>
      <c r="C2932" s="4"/>
      <c r="D2932" s="31"/>
      <c r="E2932" s="4"/>
      <c r="F2932" s="15"/>
      <c r="G2932" s="4"/>
    </row>
    <row r="2933" ht="14.25" customHeight="1">
      <c r="A2933" s="8" t="s">
        <v>5552</v>
      </c>
      <c r="B2933" s="8">
        <v>8.0</v>
      </c>
      <c r="C2933" s="4"/>
      <c r="D2933" s="31"/>
      <c r="E2933" s="4"/>
      <c r="F2933" s="15"/>
      <c r="G2933" s="4"/>
    </row>
    <row r="2934" ht="14.25" customHeight="1">
      <c r="A2934" s="8" t="s">
        <v>4392</v>
      </c>
      <c r="B2934" s="8">
        <v>6.9</v>
      </c>
      <c r="C2934" s="4"/>
      <c r="D2934" s="31"/>
      <c r="E2934" s="4"/>
      <c r="F2934" s="15"/>
      <c r="G2934" s="4"/>
    </row>
    <row r="2935" ht="14.25" customHeight="1">
      <c r="A2935" s="8" t="s">
        <v>5917</v>
      </c>
      <c r="B2935" s="8">
        <v>7.1</v>
      </c>
      <c r="C2935" s="4"/>
      <c r="D2935" s="31"/>
      <c r="E2935" s="4"/>
      <c r="F2935" s="15"/>
      <c r="G2935" s="4"/>
    </row>
    <row r="2936" ht="14.25" customHeight="1">
      <c r="A2936" s="8" t="s">
        <v>2479</v>
      </c>
      <c r="B2936" s="8">
        <v>7.2</v>
      </c>
      <c r="C2936" s="4"/>
      <c r="D2936" s="31"/>
      <c r="E2936" s="4"/>
      <c r="F2936" s="15"/>
      <c r="G2936" s="4"/>
    </row>
    <row r="2937" ht="14.25" customHeight="1">
      <c r="A2937" s="8" t="s">
        <v>5575</v>
      </c>
      <c r="B2937" s="8">
        <v>6.7</v>
      </c>
      <c r="C2937" s="4"/>
      <c r="D2937" s="31"/>
      <c r="E2937" s="4"/>
      <c r="F2937" s="15"/>
      <c r="G2937" s="4"/>
    </row>
    <row r="2938" ht="14.25" customHeight="1">
      <c r="A2938" s="8" t="s">
        <v>734</v>
      </c>
      <c r="B2938" s="8">
        <v>8.9</v>
      </c>
      <c r="C2938" s="4"/>
      <c r="D2938" s="31"/>
      <c r="E2938" s="4"/>
      <c r="F2938" s="15"/>
      <c r="G2938" s="4"/>
    </row>
    <row r="2939" ht="14.25" customHeight="1">
      <c r="A2939" s="8" t="s">
        <v>5923</v>
      </c>
      <c r="B2939" s="8">
        <v>7.9</v>
      </c>
      <c r="C2939" s="4"/>
      <c r="D2939" s="31"/>
      <c r="E2939" s="4"/>
      <c r="F2939" s="15"/>
      <c r="G2939" s="4"/>
    </row>
    <row r="2940" ht="14.25" customHeight="1">
      <c r="A2940" s="8" t="s">
        <v>1996</v>
      </c>
      <c r="B2940" s="8">
        <v>5.6</v>
      </c>
      <c r="C2940" s="4"/>
      <c r="D2940" s="31"/>
      <c r="E2940" s="4"/>
      <c r="F2940" s="15"/>
      <c r="G2940" s="4"/>
    </row>
    <row r="2941" ht="14.25" customHeight="1">
      <c r="A2941" s="8" t="s">
        <v>2897</v>
      </c>
      <c r="B2941" s="8">
        <v>8.0</v>
      </c>
      <c r="C2941" s="4"/>
      <c r="D2941" s="31"/>
      <c r="E2941" s="4"/>
      <c r="F2941" s="15"/>
      <c r="G2941" s="4"/>
    </row>
    <row r="2942" ht="14.25" customHeight="1">
      <c r="A2942" s="8" t="s">
        <v>361</v>
      </c>
      <c r="B2942" s="8">
        <v>6.2</v>
      </c>
      <c r="C2942" s="4"/>
      <c r="D2942" s="31"/>
      <c r="E2942" s="4"/>
      <c r="F2942" s="15"/>
      <c r="G2942" s="4"/>
    </row>
    <row r="2943" ht="14.25" customHeight="1">
      <c r="A2943" s="8" t="s">
        <v>5930</v>
      </c>
      <c r="B2943" s="8">
        <v>7.9</v>
      </c>
      <c r="C2943" s="4"/>
      <c r="D2943" s="31"/>
      <c r="E2943" s="4"/>
      <c r="F2943" s="15"/>
      <c r="G2943" s="4"/>
    </row>
    <row r="2944" ht="14.25" customHeight="1">
      <c r="A2944" s="8" t="s">
        <v>1580</v>
      </c>
      <c r="B2944" s="8">
        <v>8.1</v>
      </c>
      <c r="C2944" s="4"/>
      <c r="D2944" s="31"/>
      <c r="E2944" s="4"/>
      <c r="F2944" s="15"/>
      <c r="G2944" s="4"/>
    </row>
    <row r="2945" ht="14.25" customHeight="1">
      <c r="A2945" s="8" t="s">
        <v>2132</v>
      </c>
      <c r="B2945" s="8">
        <v>7.6</v>
      </c>
      <c r="C2945" s="4"/>
      <c r="D2945" s="31"/>
      <c r="E2945" s="4"/>
      <c r="F2945" s="15"/>
      <c r="G2945" s="4"/>
    </row>
    <row r="2946" ht="14.25" customHeight="1">
      <c r="A2946" s="8" t="s">
        <v>5936</v>
      </c>
      <c r="B2946" s="8">
        <v>3.5</v>
      </c>
      <c r="C2946" s="4"/>
      <c r="D2946" s="31"/>
      <c r="E2946" s="4"/>
      <c r="F2946" s="15"/>
      <c r="G2946" s="4"/>
    </row>
    <row r="2947" ht="14.25" customHeight="1">
      <c r="A2947" s="8" t="s">
        <v>5939</v>
      </c>
      <c r="B2947" s="8">
        <v>7.6</v>
      </c>
      <c r="C2947" s="4"/>
      <c r="D2947" s="31"/>
      <c r="E2947" s="4"/>
      <c r="F2947" s="15"/>
      <c r="G2947" s="4"/>
    </row>
    <row r="2948" ht="14.25" customHeight="1">
      <c r="A2948" s="8" t="s">
        <v>5115</v>
      </c>
      <c r="B2948" s="8">
        <v>6.5</v>
      </c>
      <c r="C2948" s="4"/>
      <c r="D2948" s="31"/>
      <c r="E2948" s="4"/>
      <c r="F2948" s="15"/>
      <c r="G2948" s="4"/>
    </row>
    <row r="2949" ht="14.25" customHeight="1">
      <c r="A2949" s="8" t="s">
        <v>5942</v>
      </c>
      <c r="B2949" s="8">
        <v>5.6</v>
      </c>
      <c r="C2949" s="4"/>
      <c r="D2949" s="31"/>
      <c r="E2949" s="4"/>
      <c r="F2949" s="15"/>
      <c r="G2949" s="4"/>
    </row>
    <row r="2950" ht="14.25" customHeight="1">
      <c r="A2950" s="8" t="s">
        <v>3245</v>
      </c>
      <c r="B2950" s="8">
        <v>7.7</v>
      </c>
      <c r="C2950" s="4"/>
      <c r="D2950" s="31"/>
      <c r="E2950" s="4"/>
      <c r="F2950" s="15"/>
      <c r="G2950" s="4"/>
    </row>
    <row r="2951" ht="14.25" customHeight="1">
      <c r="A2951" s="8" t="s">
        <v>5946</v>
      </c>
      <c r="B2951" s="8">
        <v>5.2</v>
      </c>
      <c r="C2951" s="4"/>
      <c r="D2951" s="31"/>
      <c r="E2951" s="4"/>
      <c r="F2951" s="15"/>
      <c r="G2951" s="4"/>
    </row>
    <row r="2952" ht="14.25" customHeight="1">
      <c r="A2952" s="8" t="s">
        <v>5949</v>
      </c>
      <c r="B2952" s="8">
        <v>6.1</v>
      </c>
      <c r="C2952" s="4"/>
      <c r="D2952" s="31"/>
      <c r="E2952" s="4"/>
      <c r="F2952" s="15"/>
      <c r="G2952" s="4"/>
    </row>
    <row r="2953" ht="14.25" customHeight="1">
      <c r="A2953" s="8" t="s">
        <v>364</v>
      </c>
      <c r="B2953" s="8">
        <v>7.4</v>
      </c>
      <c r="C2953" s="4"/>
      <c r="D2953" s="31"/>
      <c r="E2953" s="4"/>
      <c r="F2953" s="15"/>
      <c r="G2953" s="4"/>
    </row>
    <row r="2954" ht="14.25" customHeight="1">
      <c r="A2954" s="8" t="s">
        <v>5953</v>
      </c>
      <c r="B2954" s="8">
        <v>6.8</v>
      </c>
      <c r="C2954" s="4"/>
      <c r="D2954" s="31"/>
      <c r="E2954" s="4"/>
      <c r="F2954" s="15"/>
      <c r="G2954" s="4"/>
    </row>
    <row r="2955" ht="14.25" customHeight="1">
      <c r="A2955" s="8" t="s">
        <v>2511</v>
      </c>
      <c r="B2955" s="8">
        <v>6.4</v>
      </c>
      <c r="C2955" s="4"/>
      <c r="D2955" s="31"/>
      <c r="E2955" s="4"/>
      <c r="F2955" s="15"/>
      <c r="G2955" s="4"/>
    </row>
    <row r="2956" ht="14.25" customHeight="1">
      <c r="A2956" s="8" t="s">
        <v>2355</v>
      </c>
      <c r="B2956" s="8">
        <v>5.7</v>
      </c>
      <c r="C2956" s="4"/>
      <c r="D2956" s="31"/>
      <c r="E2956" s="4"/>
      <c r="F2956" s="15"/>
      <c r="G2956" s="4"/>
    </row>
    <row r="2957" ht="14.25" customHeight="1">
      <c r="A2957" s="8" t="s">
        <v>5352</v>
      </c>
      <c r="B2957" s="8">
        <v>6.7</v>
      </c>
      <c r="C2957" s="4"/>
      <c r="D2957" s="31"/>
      <c r="E2957" s="4"/>
      <c r="F2957" s="15"/>
      <c r="G2957" s="4"/>
    </row>
    <row r="2958" ht="14.25" customHeight="1">
      <c r="A2958" s="8" t="s">
        <v>5960</v>
      </c>
      <c r="B2958" s="8">
        <v>5.6</v>
      </c>
      <c r="C2958" s="4"/>
      <c r="D2958" s="31"/>
      <c r="E2958" s="4"/>
      <c r="F2958" s="15"/>
      <c r="G2958" s="4"/>
    </row>
    <row r="2959" ht="14.25" customHeight="1">
      <c r="A2959" s="8" t="s">
        <v>2090</v>
      </c>
      <c r="B2959" s="8">
        <v>7.0</v>
      </c>
      <c r="C2959" s="4"/>
      <c r="D2959" s="31"/>
      <c r="E2959" s="4"/>
      <c r="F2959" s="15"/>
      <c r="G2959" s="4"/>
    </row>
    <row r="2960" ht="14.25" customHeight="1">
      <c r="A2960" s="8" t="s">
        <v>5962</v>
      </c>
      <c r="B2960" s="8">
        <v>7.6</v>
      </c>
      <c r="C2960" s="4"/>
      <c r="D2960" s="31"/>
      <c r="E2960" s="4"/>
      <c r="F2960" s="15"/>
      <c r="G2960" s="4"/>
    </row>
    <row r="2961" ht="14.25" customHeight="1">
      <c r="A2961" s="8" t="s">
        <v>3508</v>
      </c>
      <c r="B2961" s="8">
        <v>6.5</v>
      </c>
      <c r="C2961" s="4"/>
      <c r="D2961" s="31"/>
      <c r="E2961" s="4"/>
      <c r="F2961" s="15"/>
      <c r="G2961" s="4"/>
    </row>
    <row r="2962" ht="14.25" customHeight="1">
      <c r="A2962" s="8" t="s">
        <v>5965</v>
      </c>
      <c r="B2962" s="8">
        <v>6.3</v>
      </c>
      <c r="C2962" s="4"/>
      <c r="D2962" s="31"/>
      <c r="E2962" s="4"/>
      <c r="F2962" s="15"/>
      <c r="G2962" s="4"/>
    </row>
    <row r="2963" ht="14.25" customHeight="1">
      <c r="A2963" s="8" t="s">
        <v>5967</v>
      </c>
      <c r="B2963" s="8">
        <v>7.1</v>
      </c>
      <c r="C2963" s="4"/>
      <c r="D2963" s="31"/>
      <c r="E2963" s="4"/>
      <c r="F2963" s="15"/>
      <c r="G2963" s="4"/>
    </row>
    <row r="2964" ht="14.25" customHeight="1">
      <c r="A2964" s="8" t="s">
        <v>1519</v>
      </c>
      <c r="B2964" s="8">
        <v>7.1</v>
      </c>
      <c r="C2964" s="4"/>
      <c r="D2964" s="31"/>
      <c r="E2964" s="4"/>
      <c r="F2964" s="15"/>
      <c r="G2964" s="4"/>
    </row>
    <row r="2965" ht="14.25" customHeight="1">
      <c r="A2965" s="8" t="s">
        <v>3586</v>
      </c>
      <c r="B2965" s="8">
        <v>6.9</v>
      </c>
      <c r="C2965" s="4"/>
      <c r="D2965" s="31"/>
      <c r="E2965" s="4"/>
      <c r="F2965" s="15"/>
      <c r="G2965" s="4"/>
    </row>
    <row r="2966" ht="14.25" customHeight="1">
      <c r="A2966" s="8" t="s">
        <v>4730</v>
      </c>
      <c r="B2966" s="8">
        <v>5.4</v>
      </c>
      <c r="C2966" s="4"/>
      <c r="D2966" s="31"/>
      <c r="E2966" s="4"/>
      <c r="F2966" s="15"/>
      <c r="G2966" s="4"/>
    </row>
    <row r="2967" ht="14.25" customHeight="1">
      <c r="A2967" s="8" t="s">
        <v>4273</v>
      </c>
      <c r="B2967" s="8">
        <v>5.1</v>
      </c>
      <c r="C2967" s="4"/>
      <c r="D2967" s="31"/>
      <c r="E2967" s="4"/>
      <c r="F2967" s="15"/>
      <c r="G2967" s="4"/>
    </row>
    <row r="2968" ht="14.25" customHeight="1">
      <c r="A2968" s="8" t="s">
        <v>5976</v>
      </c>
      <c r="B2968" s="8">
        <v>5.3</v>
      </c>
      <c r="C2968" s="4"/>
      <c r="D2968" s="31"/>
      <c r="E2968" s="4"/>
      <c r="F2968" s="15"/>
      <c r="G2968" s="4"/>
    </row>
    <row r="2969" ht="14.25" customHeight="1">
      <c r="A2969" s="8" t="s">
        <v>5978</v>
      </c>
      <c r="B2969" s="8">
        <v>7.3</v>
      </c>
      <c r="C2969" s="4"/>
      <c r="D2969" s="31"/>
      <c r="E2969" s="4"/>
      <c r="F2969" s="15"/>
      <c r="G2969" s="4"/>
    </row>
    <row r="2970" ht="14.25" customHeight="1">
      <c r="A2970" s="8" t="s">
        <v>4377</v>
      </c>
      <c r="B2970" s="8">
        <v>7.3</v>
      </c>
      <c r="C2970" s="4"/>
      <c r="D2970" s="31"/>
      <c r="E2970" s="4"/>
      <c r="F2970" s="15"/>
      <c r="G2970" s="4"/>
    </row>
    <row r="2971" ht="14.25" customHeight="1">
      <c r="A2971" s="8" t="s">
        <v>5982</v>
      </c>
      <c r="B2971" s="8">
        <v>7.1</v>
      </c>
      <c r="C2971" s="4"/>
      <c r="D2971" s="31"/>
      <c r="E2971" s="4"/>
      <c r="F2971" s="15"/>
      <c r="G2971" s="4"/>
    </row>
    <row r="2972" ht="14.25" customHeight="1">
      <c r="A2972" s="8" t="s">
        <v>4957</v>
      </c>
      <c r="B2972" s="8">
        <v>6.0</v>
      </c>
      <c r="C2972" s="4"/>
      <c r="D2972" s="31"/>
      <c r="E2972" s="4"/>
      <c r="F2972" s="15"/>
      <c r="G2972" s="4"/>
    </row>
    <row r="2973" ht="14.25" customHeight="1">
      <c r="A2973" s="8" t="s">
        <v>2001</v>
      </c>
      <c r="B2973" s="8">
        <v>6.6</v>
      </c>
      <c r="C2973" s="4"/>
      <c r="D2973" s="31"/>
      <c r="E2973" s="4"/>
      <c r="F2973" s="15"/>
      <c r="G2973" s="4"/>
    </row>
    <row r="2974" ht="14.25" customHeight="1">
      <c r="A2974" s="8" t="s">
        <v>5987</v>
      </c>
      <c r="B2974" s="8">
        <v>7.2</v>
      </c>
      <c r="C2974" s="4"/>
      <c r="D2974" s="31"/>
      <c r="E2974" s="4"/>
      <c r="F2974" s="15"/>
      <c r="G2974" s="4"/>
    </row>
    <row r="2975" ht="14.25" customHeight="1">
      <c r="A2975" s="8" t="s">
        <v>3785</v>
      </c>
      <c r="B2975" s="8">
        <v>7.2</v>
      </c>
      <c r="C2975" s="4"/>
      <c r="D2975" s="31"/>
      <c r="E2975" s="4"/>
      <c r="F2975" s="15"/>
      <c r="G2975" s="4"/>
    </row>
    <row r="2976" ht="14.25" customHeight="1">
      <c r="A2976" s="8" t="s">
        <v>4482</v>
      </c>
      <c r="B2976" s="8">
        <v>6.9</v>
      </c>
      <c r="C2976" s="4"/>
      <c r="D2976" s="31"/>
      <c r="E2976" s="4"/>
      <c r="F2976" s="15"/>
      <c r="G2976" s="4"/>
    </row>
    <row r="2977" ht="14.25" customHeight="1">
      <c r="A2977" s="8" t="s">
        <v>5991</v>
      </c>
      <c r="B2977" s="8">
        <v>6.8</v>
      </c>
      <c r="C2977" s="4"/>
      <c r="D2977" s="31"/>
      <c r="E2977" s="4"/>
      <c r="F2977" s="15"/>
      <c r="G2977" s="4"/>
    </row>
    <row r="2978" ht="14.25" customHeight="1">
      <c r="A2978" s="8" t="s">
        <v>5993</v>
      </c>
      <c r="B2978" s="8">
        <v>7.7</v>
      </c>
      <c r="C2978" s="4"/>
      <c r="D2978" s="31"/>
      <c r="E2978" s="4"/>
      <c r="F2978" s="15"/>
      <c r="G2978" s="4"/>
    </row>
    <row r="2979" ht="14.25" customHeight="1">
      <c r="A2979" s="8" t="s">
        <v>5996</v>
      </c>
      <c r="B2979" s="8">
        <v>7.4</v>
      </c>
      <c r="C2979" s="4"/>
      <c r="D2979" s="31"/>
      <c r="E2979" s="4"/>
      <c r="F2979" s="15"/>
      <c r="G2979" s="4"/>
    </row>
    <row r="2980" ht="14.25" customHeight="1">
      <c r="A2980" s="8" t="s">
        <v>5998</v>
      </c>
      <c r="B2980" s="8">
        <v>6.5</v>
      </c>
      <c r="C2980" s="4"/>
      <c r="D2980" s="31"/>
      <c r="E2980" s="4"/>
      <c r="F2980" s="15"/>
      <c r="G2980" s="4"/>
    </row>
    <row r="2981" ht="14.25" customHeight="1">
      <c r="A2981" s="8" t="s">
        <v>6000</v>
      </c>
      <c r="B2981" s="8">
        <v>6.4</v>
      </c>
      <c r="C2981" s="4"/>
      <c r="D2981" s="31"/>
      <c r="E2981" s="4"/>
      <c r="F2981" s="15"/>
      <c r="G2981" s="4"/>
    </row>
    <row r="2982" ht="14.25" customHeight="1">
      <c r="A2982" s="8" t="s">
        <v>6002</v>
      </c>
      <c r="B2982" s="8">
        <v>5.6</v>
      </c>
      <c r="C2982" s="4"/>
      <c r="D2982" s="31"/>
      <c r="E2982" s="4"/>
      <c r="F2982" s="15"/>
      <c r="G2982" s="4"/>
    </row>
    <row r="2983" ht="14.25" customHeight="1">
      <c r="A2983" s="8" t="s">
        <v>6005</v>
      </c>
      <c r="B2983" s="8">
        <v>6.8</v>
      </c>
      <c r="C2983" s="4"/>
      <c r="D2983" s="31"/>
      <c r="E2983" s="4"/>
      <c r="F2983" s="15"/>
      <c r="G2983" s="4"/>
    </row>
    <row r="2984" ht="14.25" customHeight="1">
      <c r="A2984" s="8" t="s">
        <v>6008</v>
      </c>
      <c r="B2984" s="8">
        <v>5.5</v>
      </c>
      <c r="C2984" s="4"/>
      <c r="D2984" s="31"/>
      <c r="E2984" s="4"/>
      <c r="F2984" s="15"/>
      <c r="G2984" s="4"/>
    </row>
    <row r="2985" ht="14.25" customHeight="1">
      <c r="A2985" s="8" t="s">
        <v>2775</v>
      </c>
      <c r="B2985" s="8">
        <v>6.9</v>
      </c>
      <c r="C2985" s="4"/>
      <c r="D2985" s="31"/>
      <c r="E2985" s="4"/>
      <c r="F2985" s="15"/>
      <c r="G2985" s="4"/>
    </row>
    <row r="2986" ht="14.25" customHeight="1">
      <c r="A2986" s="8" t="s">
        <v>6012</v>
      </c>
      <c r="B2986" s="8">
        <v>6.0</v>
      </c>
      <c r="C2986" s="4"/>
      <c r="D2986" s="31"/>
      <c r="E2986" s="4"/>
      <c r="F2986" s="15"/>
      <c r="G2986" s="4"/>
    </row>
    <row r="2987" ht="14.25" customHeight="1">
      <c r="A2987" s="8" t="s">
        <v>6014</v>
      </c>
      <c r="B2987" s="8">
        <v>6.4</v>
      </c>
      <c r="C2987" s="4"/>
      <c r="D2987" s="31"/>
      <c r="E2987" s="4"/>
      <c r="F2987" s="15"/>
      <c r="G2987" s="4"/>
    </row>
    <row r="2988" ht="14.25" customHeight="1">
      <c r="A2988" s="8" t="s">
        <v>6016</v>
      </c>
      <c r="B2988" s="8">
        <v>6.6</v>
      </c>
      <c r="C2988" s="4"/>
      <c r="D2988" s="31"/>
      <c r="E2988" s="4"/>
      <c r="F2988" s="15"/>
      <c r="G2988" s="4"/>
    </row>
    <row r="2989" ht="14.25" customHeight="1">
      <c r="A2989" s="8" t="s">
        <v>6018</v>
      </c>
      <c r="B2989" s="8">
        <v>5.3</v>
      </c>
      <c r="C2989" s="4"/>
      <c r="D2989" s="31"/>
      <c r="E2989" s="4"/>
      <c r="F2989" s="15"/>
      <c r="G2989" s="4"/>
    </row>
    <row r="2990" ht="14.25" customHeight="1">
      <c r="A2990" s="8" t="s">
        <v>4428</v>
      </c>
      <c r="B2990" s="8">
        <v>8.1</v>
      </c>
      <c r="C2990" s="4"/>
      <c r="D2990" s="31"/>
      <c r="E2990" s="4"/>
      <c r="F2990" s="15"/>
      <c r="G2990" s="4"/>
    </row>
    <row r="2991" ht="14.25" customHeight="1">
      <c r="A2991" s="8" t="s">
        <v>6024</v>
      </c>
      <c r="B2991" s="8">
        <v>6.9</v>
      </c>
      <c r="C2991" s="4"/>
      <c r="D2991" s="31"/>
      <c r="E2991" s="4"/>
      <c r="F2991" s="15"/>
      <c r="G2991" s="4"/>
    </row>
    <row r="2992" ht="14.25" customHeight="1">
      <c r="A2992" s="8" t="s">
        <v>6027</v>
      </c>
      <c r="B2992" s="8">
        <v>6.5</v>
      </c>
      <c r="C2992" s="4"/>
      <c r="D2992" s="31"/>
      <c r="E2992" s="4"/>
      <c r="F2992" s="15"/>
      <c r="G2992" s="4"/>
    </row>
    <row r="2993" ht="14.25" customHeight="1">
      <c r="A2993" s="8" t="s">
        <v>2486</v>
      </c>
      <c r="B2993" s="8">
        <v>7.4</v>
      </c>
      <c r="C2993" s="4"/>
      <c r="D2993" s="31"/>
      <c r="E2993" s="4"/>
      <c r="F2993" s="15"/>
      <c r="G2993" s="4"/>
    </row>
    <row r="2994" ht="14.25" customHeight="1">
      <c r="A2994" s="8" t="s">
        <v>3077</v>
      </c>
      <c r="B2994" s="8">
        <v>6.9</v>
      </c>
      <c r="C2994" s="4"/>
      <c r="D2994" s="31"/>
      <c r="E2994" s="4"/>
      <c r="F2994" s="15"/>
      <c r="G2994" s="4"/>
    </row>
    <row r="2995" ht="14.25" customHeight="1">
      <c r="A2995" s="8" t="s">
        <v>6031</v>
      </c>
      <c r="B2995" s="8">
        <v>6.7</v>
      </c>
      <c r="C2995" s="4"/>
      <c r="D2995" s="31"/>
      <c r="E2995" s="4"/>
      <c r="F2995" s="15"/>
      <c r="G2995" s="4"/>
    </row>
    <row r="2996" ht="14.25" customHeight="1">
      <c r="A2996" s="8" t="s">
        <v>3240</v>
      </c>
      <c r="B2996" s="8">
        <v>7.6</v>
      </c>
      <c r="C2996" s="4"/>
      <c r="D2996" s="31"/>
      <c r="E2996" s="4"/>
      <c r="F2996" s="15"/>
      <c r="G2996" s="4"/>
    </row>
    <row r="2997" ht="14.25" customHeight="1">
      <c r="A2997" s="8" t="s">
        <v>6035</v>
      </c>
      <c r="B2997" s="8">
        <v>5.4</v>
      </c>
      <c r="C2997" s="4"/>
      <c r="D2997" s="31"/>
      <c r="E2997" s="4"/>
      <c r="F2997" s="15"/>
      <c r="G2997" s="4"/>
    </row>
    <row r="2998" ht="14.25" customHeight="1">
      <c r="A2998" s="8" t="s">
        <v>4971</v>
      </c>
      <c r="B2998" s="8">
        <v>7.3</v>
      </c>
      <c r="C2998" s="4"/>
      <c r="D2998" s="31"/>
      <c r="E2998" s="4"/>
      <c r="F2998" s="15"/>
      <c r="G2998" s="4"/>
    </row>
    <row r="2999" ht="14.25" customHeight="1">
      <c r="A2999" s="8" t="s">
        <v>6038</v>
      </c>
      <c r="B2999" s="8">
        <v>6.0</v>
      </c>
      <c r="C2999" s="4"/>
      <c r="D2999" s="31"/>
      <c r="E2999" s="4"/>
      <c r="F2999" s="15"/>
      <c r="G2999" s="4"/>
    </row>
    <row r="3000" ht="14.25" customHeight="1">
      <c r="A3000" s="8" t="s">
        <v>3711</v>
      </c>
      <c r="B3000" s="8">
        <v>7.2</v>
      </c>
      <c r="C3000" s="4"/>
      <c r="D3000" s="31"/>
      <c r="E3000" s="4"/>
      <c r="F3000" s="15"/>
      <c r="G3000" s="4"/>
    </row>
    <row r="3001" ht="14.25" customHeight="1">
      <c r="A3001" s="8" t="s">
        <v>6042</v>
      </c>
      <c r="B3001" s="8">
        <v>6.0</v>
      </c>
      <c r="C3001" s="4"/>
      <c r="D3001" s="31"/>
      <c r="E3001" s="4"/>
      <c r="F3001" s="15"/>
      <c r="G3001" s="4"/>
    </row>
    <row r="3002" ht="14.25" customHeight="1">
      <c r="A3002" s="8" t="s">
        <v>6045</v>
      </c>
      <c r="B3002" s="8">
        <v>3.1</v>
      </c>
      <c r="C3002" s="4"/>
      <c r="D3002" s="31"/>
      <c r="E3002" s="4"/>
      <c r="F3002" s="15"/>
      <c r="G3002" s="4"/>
    </row>
    <row r="3003" ht="14.25" customHeight="1">
      <c r="A3003" s="8" t="s">
        <v>6047</v>
      </c>
      <c r="B3003" s="8">
        <v>6.9</v>
      </c>
      <c r="C3003" s="4"/>
      <c r="D3003" s="31"/>
      <c r="E3003" s="4"/>
      <c r="F3003" s="15"/>
      <c r="G3003" s="4"/>
    </row>
    <row r="3004" ht="14.25" customHeight="1">
      <c r="A3004" s="8" t="s">
        <v>5342</v>
      </c>
      <c r="B3004" s="8">
        <v>6.2</v>
      </c>
      <c r="C3004" s="4"/>
      <c r="D3004" s="31"/>
      <c r="E3004" s="4"/>
      <c r="F3004" s="15"/>
      <c r="G3004" s="4"/>
    </row>
    <row r="3005" ht="14.25" customHeight="1">
      <c r="A3005" s="8" t="s">
        <v>6051</v>
      </c>
      <c r="B3005" s="8">
        <v>6.9</v>
      </c>
      <c r="C3005" s="4"/>
      <c r="D3005" s="31"/>
      <c r="E3005" s="4"/>
      <c r="F3005" s="15"/>
      <c r="G3005" s="4"/>
    </row>
    <row r="3006" ht="14.25" customHeight="1">
      <c r="A3006" s="8" t="s">
        <v>4998</v>
      </c>
      <c r="B3006" s="8">
        <v>6.3</v>
      </c>
      <c r="C3006" s="4"/>
      <c r="D3006" s="31"/>
      <c r="E3006" s="4"/>
      <c r="F3006" s="15"/>
      <c r="G3006" s="4"/>
    </row>
    <row r="3007" ht="14.25" customHeight="1">
      <c r="A3007" s="8" t="s">
        <v>6057</v>
      </c>
      <c r="B3007" s="8">
        <v>6.7</v>
      </c>
      <c r="C3007" s="4"/>
      <c r="D3007" s="31"/>
      <c r="E3007" s="4"/>
      <c r="F3007" s="15"/>
      <c r="G3007" s="4"/>
    </row>
    <row r="3008" ht="14.25" customHeight="1">
      <c r="A3008" s="8" t="s">
        <v>6059</v>
      </c>
      <c r="B3008" s="8">
        <v>5.4</v>
      </c>
      <c r="C3008" s="4"/>
      <c r="D3008" s="31"/>
      <c r="E3008" s="4"/>
      <c r="F3008" s="15"/>
      <c r="G3008" s="4"/>
    </row>
    <row r="3009" ht="14.25" customHeight="1">
      <c r="A3009" s="8" t="s">
        <v>6062</v>
      </c>
      <c r="B3009" s="8">
        <v>8.0</v>
      </c>
      <c r="C3009" s="4"/>
      <c r="D3009" s="31"/>
      <c r="E3009" s="4"/>
      <c r="F3009" s="15"/>
      <c r="G3009" s="4"/>
    </row>
    <row r="3010" ht="14.25" customHeight="1">
      <c r="A3010" s="8" t="s">
        <v>4903</v>
      </c>
      <c r="B3010" s="8">
        <v>7.0</v>
      </c>
      <c r="C3010" s="4"/>
      <c r="D3010" s="31"/>
      <c r="E3010" s="4"/>
      <c r="F3010" s="15"/>
      <c r="G3010" s="4"/>
    </row>
    <row r="3011" ht="14.25" customHeight="1">
      <c r="A3011" s="8" t="s">
        <v>6066</v>
      </c>
      <c r="B3011" s="8">
        <v>7.2</v>
      </c>
      <c r="C3011" s="4"/>
      <c r="D3011" s="31"/>
      <c r="E3011" s="4"/>
      <c r="F3011" s="15"/>
      <c r="G3011" s="4"/>
    </row>
    <row r="3012" ht="14.25" customHeight="1">
      <c r="A3012" s="8" t="s">
        <v>33</v>
      </c>
      <c r="B3012" s="8">
        <v>6.2</v>
      </c>
      <c r="C3012" s="4"/>
      <c r="D3012" s="31"/>
      <c r="E3012" s="4"/>
      <c r="F3012" s="15"/>
      <c r="G3012" s="4"/>
    </row>
    <row r="3013" ht="14.25" customHeight="1">
      <c r="A3013" s="8" t="s">
        <v>6068</v>
      </c>
      <c r="B3013" s="8">
        <v>3.5</v>
      </c>
      <c r="C3013" s="4"/>
      <c r="D3013" s="31"/>
      <c r="E3013" s="4"/>
      <c r="F3013" s="15"/>
      <c r="G3013" s="4"/>
    </row>
    <row r="3014" ht="14.25" customHeight="1">
      <c r="A3014" s="8" t="s">
        <v>3240</v>
      </c>
      <c r="B3014" s="8">
        <v>7.5</v>
      </c>
      <c r="C3014" s="4"/>
      <c r="D3014" s="31"/>
      <c r="E3014" s="4"/>
      <c r="F3014" s="15"/>
      <c r="G3014" s="4"/>
    </row>
    <row r="3015" ht="14.25" customHeight="1">
      <c r="A3015" s="8" t="s">
        <v>6072</v>
      </c>
      <c r="B3015" s="8">
        <v>6.7</v>
      </c>
      <c r="C3015" s="4"/>
      <c r="D3015" s="31"/>
      <c r="E3015" s="4"/>
      <c r="F3015" s="15"/>
      <c r="G3015" s="4"/>
    </row>
    <row r="3016" ht="14.25" customHeight="1">
      <c r="A3016" s="8" t="s">
        <v>1957</v>
      </c>
      <c r="B3016" s="8">
        <v>9.2</v>
      </c>
      <c r="C3016" s="4"/>
      <c r="D3016" s="31"/>
      <c r="E3016" s="4"/>
      <c r="F3016" s="15"/>
      <c r="G3016" s="4"/>
    </row>
    <row r="3017" ht="14.25" customHeight="1">
      <c r="A3017" s="8" t="s">
        <v>2085</v>
      </c>
      <c r="B3017" s="8">
        <v>6.1</v>
      </c>
      <c r="C3017" s="4"/>
      <c r="D3017" s="31"/>
      <c r="E3017" s="4"/>
      <c r="F3017" s="15"/>
      <c r="G3017" s="4"/>
    </row>
    <row r="3018" ht="14.25" customHeight="1">
      <c r="A3018" s="8" t="s">
        <v>77</v>
      </c>
      <c r="B3018" s="8">
        <v>7.7</v>
      </c>
      <c r="C3018" s="4"/>
      <c r="D3018" s="31"/>
      <c r="E3018" s="4"/>
      <c r="F3018" s="15"/>
      <c r="G3018" s="4"/>
    </row>
    <row r="3019" ht="14.25" customHeight="1">
      <c r="A3019" s="8" t="s">
        <v>5425</v>
      </c>
      <c r="B3019" s="8">
        <v>7.6</v>
      </c>
      <c r="C3019" s="4"/>
      <c r="D3019" s="31"/>
      <c r="E3019" s="4"/>
      <c r="F3019" s="15"/>
      <c r="G3019" s="4"/>
    </row>
    <row r="3020" ht="14.25" customHeight="1">
      <c r="A3020" s="8" t="s">
        <v>639</v>
      </c>
      <c r="B3020" s="8">
        <v>6.1</v>
      </c>
      <c r="C3020" s="4"/>
      <c r="D3020" s="31"/>
      <c r="E3020" s="4"/>
      <c r="F3020" s="15"/>
      <c r="G3020" s="4"/>
    </row>
    <row r="3021" ht="14.25" customHeight="1">
      <c r="A3021" s="8" t="s">
        <v>373</v>
      </c>
      <c r="B3021" s="8">
        <v>4.9</v>
      </c>
      <c r="C3021" s="4"/>
      <c r="D3021" s="31"/>
      <c r="E3021" s="4"/>
      <c r="F3021" s="15"/>
      <c r="G3021" s="4"/>
    </row>
    <row r="3022" ht="14.25" customHeight="1">
      <c r="A3022" s="8" t="s">
        <v>6072</v>
      </c>
      <c r="B3022" s="8">
        <v>6.8</v>
      </c>
      <c r="C3022" s="4"/>
      <c r="D3022" s="31"/>
      <c r="E3022" s="4"/>
      <c r="F3022" s="15"/>
      <c r="G3022" s="4"/>
    </row>
    <row r="3023" ht="14.25" customHeight="1">
      <c r="A3023" s="8" t="s">
        <v>1645</v>
      </c>
      <c r="B3023" s="8">
        <v>7.0</v>
      </c>
      <c r="C3023" s="4"/>
      <c r="D3023" s="31"/>
      <c r="E3023" s="4"/>
      <c r="F3023" s="15"/>
      <c r="G3023" s="4"/>
    </row>
    <row r="3024" ht="14.25" customHeight="1">
      <c r="A3024" s="8" t="s">
        <v>5636</v>
      </c>
      <c r="B3024" s="8">
        <v>5.7</v>
      </c>
      <c r="C3024" s="4"/>
      <c r="D3024" s="31"/>
      <c r="E3024" s="4"/>
      <c r="F3024" s="15"/>
      <c r="G3024" s="4"/>
    </row>
    <row r="3025" ht="14.25" customHeight="1">
      <c r="A3025" s="8" t="s">
        <v>159</v>
      </c>
      <c r="B3025" s="8">
        <v>7.3</v>
      </c>
      <c r="C3025" s="4"/>
      <c r="D3025" s="31"/>
      <c r="E3025" s="4"/>
      <c r="F3025" s="15"/>
      <c r="G3025" s="4"/>
    </row>
    <row r="3026" ht="14.25" customHeight="1">
      <c r="A3026" s="8" t="s">
        <v>1387</v>
      </c>
      <c r="B3026" s="8">
        <v>7.5</v>
      </c>
      <c r="C3026" s="4"/>
      <c r="D3026" s="31"/>
      <c r="E3026" s="4"/>
      <c r="F3026" s="15"/>
      <c r="G3026" s="4"/>
    </row>
    <row r="3027" ht="14.25" customHeight="1">
      <c r="A3027" s="8" t="s">
        <v>2063</v>
      </c>
      <c r="B3027" s="8">
        <v>7.4</v>
      </c>
      <c r="C3027" s="4"/>
      <c r="D3027" s="31"/>
      <c r="E3027" s="4"/>
      <c r="F3027" s="15"/>
      <c r="G3027" s="4"/>
    </row>
    <row r="3028" ht="14.25" customHeight="1">
      <c r="A3028" s="8" t="s">
        <v>1980</v>
      </c>
      <c r="B3028" s="8">
        <v>7.2</v>
      </c>
      <c r="C3028" s="4"/>
      <c r="D3028" s="31"/>
      <c r="E3028" s="4"/>
      <c r="F3028" s="15"/>
      <c r="G3028" s="4"/>
    </row>
    <row r="3029" ht="14.25" customHeight="1">
      <c r="A3029" s="8" t="s">
        <v>6088</v>
      </c>
      <c r="B3029" s="8">
        <v>6.8</v>
      </c>
      <c r="C3029" s="4"/>
      <c r="D3029" s="31"/>
      <c r="E3029" s="4"/>
      <c r="F3029" s="15"/>
      <c r="G3029" s="4"/>
    </row>
    <row r="3030" ht="14.25" customHeight="1">
      <c r="A3030" s="8" t="s">
        <v>6072</v>
      </c>
      <c r="B3030" s="8">
        <v>6.8</v>
      </c>
      <c r="C3030" s="4"/>
      <c r="D3030" s="31"/>
      <c r="E3030" s="4"/>
      <c r="F3030" s="15"/>
      <c r="G3030" s="4"/>
    </row>
    <row r="3031" ht="14.25" customHeight="1">
      <c r="A3031" s="8" t="s">
        <v>3869</v>
      </c>
      <c r="B3031" s="8">
        <v>5.2</v>
      </c>
      <c r="C3031" s="4"/>
      <c r="D3031" s="31"/>
      <c r="E3031" s="4"/>
      <c r="F3031" s="15"/>
      <c r="G3031" s="4"/>
    </row>
    <row r="3032" ht="14.25" customHeight="1">
      <c r="A3032" s="8" t="s">
        <v>3117</v>
      </c>
      <c r="B3032" s="8">
        <v>7.2</v>
      </c>
      <c r="C3032" s="4"/>
      <c r="D3032" s="31"/>
      <c r="E3032" s="4"/>
      <c r="F3032" s="15"/>
      <c r="G3032" s="4"/>
    </row>
    <row r="3033" ht="14.25" customHeight="1">
      <c r="A3033" s="8" t="s">
        <v>6095</v>
      </c>
      <c r="B3033" s="8">
        <v>4.0</v>
      </c>
      <c r="C3033" s="4"/>
      <c r="D3033" s="31"/>
      <c r="E3033" s="4"/>
      <c r="F3033" s="15"/>
      <c r="G3033" s="4"/>
    </row>
    <row r="3034" ht="14.25" customHeight="1">
      <c r="A3034" s="8" t="s">
        <v>1695</v>
      </c>
      <c r="B3034" s="8">
        <v>6.8</v>
      </c>
      <c r="C3034" s="4"/>
      <c r="D3034" s="31"/>
      <c r="E3034" s="4"/>
      <c r="F3034" s="15"/>
      <c r="G3034" s="4"/>
    </row>
    <row r="3035" ht="14.25" customHeight="1">
      <c r="A3035" s="8" t="s">
        <v>4891</v>
      </c>
      <c r="B3035" s="8">
        <v>6.9</v>
      </c>
      <c r="C3035" s="4"/>
      <c r="D3035" s="31"/>
      <c r="E3035" s="4"/>
      <c r="F3035" s="15"/>
      <c r="G3035" s="4"/>
    </row>
    <row r="3036" ht="14.25" customHeight="1">
      <c r="A3036" s="8" t="s">
        <v>5115</v>
      </c>
      <c r="B3036" s="8">
        <v>7.3</v>
      </c>
      <c r="C3036" s="4"/>
      <c r="D3036" s="31"/>
      <c r="E3036" s="4"/>
      <c r="F3036" s="15"/>
      <c r="G3036" s="4"/>
    </row>
    <row r="3037" ht="14.25" customHeight="1">
      <c r="A3037" s="8" t="s">
        <v>2971</v>
      </c>
      <c r="B3037" s="8">
        <v>6.1</v>
      </c>
      <c r="C3037" s="4"/>
      <c r="D3037" s="31"/>
      <c r="E3037" s="4"/>
      <c r="F3037" s="15"/>
      <c r="G3037" s="4"/>
    </row>
    <row r="3038" ht="14.25" customHeight="1">
      <c r="A3038" s="8" t="s">
        <v>21</v>
      </c>
      <c r="B3038" s="8">
        <v>7.8</v>
      </c>
      <c r="C3038" s="4"/>
      <c r="D3038" s="31"/>
      <c r="E3038" s="4"/>
      <c r="F3038" s="15"/>
      <c r="G3038" s="4"/>
    </row>
    <row r="3039" ht="14.25" customHeight="1">
      <c r="A3039" s="8" t="s">
        <v>4891</v>
      </c>
      <c r="B3039" s="8">
        <v>6.0</v>
      </c>
      <c r="C3039" s="4"/>
      <c r="D3039" s="31"/>
      <c r="E3039" s="4"/>
      <c r="F3039" s="15"/>
      <c r="G3039" s="4"/>
    </row>
    <row r="3040" ht="14.25" customHeight="1">
      <c r="A3040" s="8" t="s">
        <v>2831</v>
      </c>
      <c r="B3040" s="8">
        <v>7.0</v>
      </c>
      <c r="C3040" s="4"/>
      <c r="D3040" s="31"/>
      <c r="E3040" s="4"/>
      <c r="F3040" s="15"/>
      <c r="G3040" s="4"/>
    </row>
    <row r="3041" ht="14.25" customHeight="1">
      <c r="A3041" s="8" t="s">
        <v>6107</v>
      </c>
      <c r="B3041" s="8">
        <v>7.1</v>
      </c>
      <c r="C3041" s="4"/>
      <c r="D3041" s="31"/>
      <c r="E3041" s="4"/>
      <c r="F3041" s="15"/>
      <c r="G3041" s="4"/>
    </row>
    <row r="3042" ht="14.25" customHeight="1">
      <c r="A3042" s="8" t="s">
        <v>2814</v>
      </c>
      <c r="B3042" s="8">
        <v>6.2</v>
      </c>
      <c r="C3042" s="4"/>
      <c r="D3042" s="31"/>
      <c r="E3042" s="4"/>
      <c r="F3042" s="15"/>
      <c r="G3042" s="4"/>
    </row>
    <row r="3043" ht="14.25" customHeight="1">
      <c r="A3043" s="8" t="s">
        <v>4914</v>
      </c>
      <c r="B3043" s="8">
        <v>6.9</v>
      </c>
      <c r="C3043" s="4"/>
      <c r="D3043" s="31"/>
      <c r="E3043" s="4"/>
      <c r="F3043" s="15"/>
      <c r="G3043" s="4"/>
    </row>
    <row r="3044" ht="14.25" customHeight="1">
      <c r="A3044" s="8" t="s">
        <v>6111</v>
      </c>
      <c r="B3044" s="8">
        <v>7.6</v>
      </c>
      <c r="C3044" s="4"/>
      <c r="D3044" s="31"/>
      <c r="E3044" s="4"/>
      <c r="F3044" s="15"/>
      <c r="G3044" s="4"/>
    </row>
    <row r="3045" ht="14.25" customHeight="1">
      <c r="A3045" s="8" t="s">
        <v>208</v>
      </c>
      <c r="B3045" s="8">
        <v>7.6</v>
      </c>
      <c r="C3045" s="4"/>
      <c r="D3045" s="31"/>
      <c r="E3045" s="4"/>
      <c r="F3045" s="15"/>
      <c r="G3045" s="4"/>
    </row>
    <row r="3046" ht="14.25" customHeight="1">
      <c r="A3046" s="8" t="s">
        <v>6000</v>
      </c>
      <c r="B3046" s="8">
        <v>6.4</v>
      </c>
      <c r="C3046" s="4"/>
      <c r="D3046" s="31"/>
      <c r="E3046" s="4"/>
      <c r="F3046" s="15"/>
      <c r="G3046" s="4"/>
    </row>
    <row r="3047" ht="14.25" customHeight="1">
      <c r="A3047" s="8" t="s">
        <v>6116</v>
      </c>
      <c r="B3047" s="8">
        <v>6.2</v>
      </c>
      <c r="C3047" s="4"/>
      <c r="D3047" s="31"/>
      <c r="E3047" s="4"/>
      <c r="F3047" s="15"/>
      <c r="G3047" s="4"/>
    </row>
    <row r="3048" ht="14.25" customHeight="1">
      <c r="A3048" s="8" t="s">
        <v>502</v>
      </c>
      <c r="B3048" s="8">
        <v>7.5</v>
      </c>
      <c r="C3048" s="4"/>
      <c r="D3048" s="31"/>
      <c r="E3048" s="4"/>
      <c r="F3048" s="15"/>
      <c r="G3048" s="4"/>
    </row>
    <row r="3049" ht="14.25" customHeight="1">
      <c r="A3049" s="8" t="s">
        <v>3806</v>
      </c>
      <c r="B3049" s="8">
        <v>2.0</v>
      </c>
      <c r="C3049" s="4"/>
      <c r="D3049" s="31"/>
      <c r="E3049" s="4"/>
      <c r="F3049" s="15"/>
      <c r="G3049" s="4"/>
    </row>
    <row r="3050" ht="14.25" customHeight="1">
      <c r="A3050" s="8" t="s">
        <v>6123</v>
      </c>
      <c r="B3050" s="8">
        <v>6.2</v>
      </c>
      <c r="C3050" s="4"/>
      <c r="D3050" s="31"/>
      <c r="E3050" s="4"/>
      <c r="F3050" s="15"/>
      <c r="G3050" s="4"/>
    </row>
    <row r="3051" ht="14.25" customHeight="1">
      <c r="A3051" s="8" t="s">
        <v>6127</v>
      </c>
      <c r="B3051" s="8">
        <v>6.5</v>
      </c>
      <c r="C3051" s="4"/>
      <c r="D3051" s="31"/>
      <c r="E3051" s="4"/>
      <c r="F3051" s="15"/>
      <c r="G3051" s="4"/>
    </row>
    <row r="3052" ht="14.25" customHeight="1">
      <c r="A3052" s="8" t="s">
        <v>5841</v>
      </c>
      <c r="B3052" s="8">
        <v>7.9</v>
      </c>
      <c r="C3052" s="4"/>
      <c r="D3052" s="31"/>
      <c r="E3052" s="4"/>
      <c r="F3052" s="15"/>
      <c r="G3052" s="4"/>
    </row>
    <row r="3053" ht="14.25" customHeight="1">
      <c r="A3053" s="8" t="s">
        <v>805</v>
      </c>
      <c r="B3053" s="8">
        <v>6.8</v>
      </c>
      <c r="C3053" s="4"/>
      <c r="D3053" s="31"/>
      <c r="E3053" s="4"/>
      <c r="F3053" s="15"/>
      <c r="G3053" s="4"/>
    </row>
    <row r="3054" ht="14.25" customHeight="1">
      <c r="A3054" s="8" t="s">
        <v>5724</v>
      </c>
      <c r="B3054" s="8">
        <v>6.3</v>
      </c>
      <c r="C3054" s="4"/>
      <c r="D3054" s="31"/>
      <c r="E3054" s="4"/>
      <c r="F3054" s="15"/>
      <c r="G3054" s="4"/>
    </row>
    <row r="3055" ht="14.25" customHeight="1">
      <c r="A3055" s="8" t="s">
        <v>6132</v>
      </c>
      <c r="B3055" s="8">
        <v>6.3</v>
      </c>
      <c r="C3055" s="4"/>
      <c r="D3055" s="31"/>
      <c r="E3055" s="4"/>
      <c r="F3055" s="15"/>
      <c r="G3055" s="4"/>
    </row>
    <row r="3056" ht="14.25" customHeight="1">
      <c r="A3056" s="8" t="s">
        <v>6134</v>
      </c>
      <c r="B3056" s="8">
        <v>6.6</v>
      </c>
      <c r="C3056" s="4"/>
      <c r="D3056" s="31"/>
      <c r="E3056" s="4"/>
      <c r="F3056" s="15"/>
      <c r="G3056" s="4"/>
    </row>
    <row r="3057" ht="14.25" customHeight="1">
      <c r="A3057" s="8" t="s">
        <v>5310</v>
      </c>
      <c r="B3057" s="8">
        <v>6.4</v>
      </c>
      <c r="C3057" s="4"/>
      <c r="D3057" s="31"/>
      <c r="E3057" s="4"/>
      <c r="F3057" s="15"/>
      <c r="G3057" s="4"/>
    </row>
    <row r="3058" ht="14.25" customHeight="1">
      <c r="A3058" s="8" t="s">
        <v>6137</v>
      </c>
      <c r="B3058" s="8">
        <v>7.5</v>
      </c>
      <c r="C3058" s="4"/>
      <c r="D3058" s="31"/>
      <c r="E3058" s="4"/>
      <c r="F3058" s="15"/>
      <c r="G3058" s="4"/>
    </row>
    <row r="3059" ht="14.25" customHeight="1">
      <c r="A3059" s="8" t="s">
        <v>6140</v>
      </c>
      <c r="B3059" s="8">
        <v>6.5</v>
      </c>
      <c r="C3059" s="4"/>
      <c r="D3059" s="31"/>
      <c r="E3059" s="4"/>
      <c r="F3059" s="15"/>
      <c r="G3059" s="4"/>
    </row>
    <row r="3060" ht="14.25" customHeight="1">
      <c r="A3060" s="8" t="s">
        <v>6057</v>
      </c>
      <c r="B3060" s="8">
        <v>7.2</v>
      </c>
      <c r="C3060" s="4"/>
      <c r="D3060" s="31"/>
      <c r="E3060" s="4"/>
      <c r="F3060" s="15"/>
      <c r="G3060" s="4"/>
    </row>
    <row r="3061" ht="14.25" customHeight="1">
      <c r="A3061" s="8" t="s">
        <v>6143</v>
      </c>
      <c r="B3061" s="8">
        <v>6.3</v>
      </c>
      <c r="C3061" s="4"/>
      <c r="D3061" s="31"/>
      <c r="E3061" s="4"/>
      <c r="F3061" s="15"/>
      <c r="G3061" s="4"/>
    </row>
    <row r="3062" ht="14.25" customHeight="1">
      <c r="A3062" s="8" t="s">
        <v>2722</v>
      </c>
      <c r="B3062" s="8">
        <v>7.0</v>
      </c>
      <c r="C3062" s="4"/>
      <c r="D3062" s="31"/>
      <c r="E3062" s="4"/>
      <c r="F3062" s="15"/>
      <c r="G3062" s="4"/>
    </row>
    <row r="3063" ht="14.25" customHeight="1">
      <c r="A3063" s="8" t="s">
        <v>2677</v>
      </c>
      <c r="B3063" s="8">
        <v>6.3</v>
      </c>
      <c r="C3063" s="4"/>
      <c r="D3063" s="31"/>
      <c r="E3063" s="4"/>
      <c r="F3063" s="15"/>
      <c r="G3063" s="4"/>
    </row>
    <row r="3064" ht="14.25" customHeight="1">
      <c r="A3064" s="8" t="s">
        <v>6148</v>
      </c>
      <c r="B3064" s="8">
        <v>2.3</v>
      </c>
      <c r="C3064" s="4"/>
      <c r="D3064" s="31"/>
      <c r="E3064" s="4"/>
      <c r="F3064" s="15"/>
      <c r="G3064" s="4"/>
    </row>
    <row r="3065" ht="14.25" customHeight="1">
      <c r="A3065" s="8" t="s">
        <v>6150</v>
      </c>
      <c r="B3065" s="8">
        <v>7.1</v>
      </c>
      <c r="C3065" s="4"/>
      <c r="D3065" s="31"/>
      <c r="E3065" s="4"/>
      <c r="F3065" s="15"/>
      <c r="G3065" s="4"/>
    </row>
    <row r="3066" ht="14.25" customHeight="1">
      <c r="A3066" s="8" t="s">
        <v>2409</v>
      </c>
      <c r="B3066" s="8">
        <v>6.2</v>
      </c>
      <c r="C3066" s="4"/>
      <c r="D3066" s="31"/>
      <c r="E3066" s="4"/>
      <c r="F3066" s="15"/>
      <c r="G3066" s="4"/>
    </row>
    <row r="3067" ht="14.25" customHeight="1">
      <c r="A3067" s="8" t="s">
        <v>6153</v>
      </c>
      <c r="B3067" s="8">
        <v>6.7</v>
      </c>
      <c r="C3067" s="4"/>
      <c r="D3067" s="31"/>
      <c r="E3067" s="4"/>
      <c r="F3067" s="15"/>
      <c r="G3067" s="4"/>
    </row>
    <row r="3068" ht="14.25" customHeight="1">
      <c r="A3068" s="8" t="s">
        <v>5616</v>
      </c>
      <c r="B3068" s="8">
        <v>6.5</v>
      </c>
      <c r="C3068" s="4"/>
      <c r="D3068" s="31"/>
      <c r="E3068" s="4"/>
      <c r="F3068" s="15"/>
      <c r="G3068" s="4"/>
    </row>
    <row r="3069" ht="14.25" customHeight="1">
      <c r="A3069" s="8" t="s">
        <v>6156</v>
      </c>
      <c r="B3069" s="8">
        <v>5.9</v>
      </c>
      <c r="C3069" s="4"/>
      <c r="D3069" s="31"/>
      <c r="E3069" s="4"/>
      <c r="F3069" s="15"/>
      <c r="G3069" s="4"/>
    </row>
    <row r="3070" ht="14.25" customHeight="1">
      <c r="A3070" s="8" t="s">
        <v>6159</v>
      </c>
      <c r="B3070" s="8">
        <v>6.0</v>
      </c>
      <c r="C3070" s="4"/>
      <c r="D3070" s="31"/>
      <c r="E3070" s="4"/>
      <c r="F3070" s="15"/>
      <c r="G3070" s="4"/>
    </row>
    <row r="3071" ht="14.25" customHeight="1">
      <c r="A3071" s="8" t="s">
        <v>3065</v>
      </c>
      <c r="B3071" s="8">
        <v>6.9</v>
      </c>
      <c r="C3071" s="4"/>
      <c r="D3071" s="31"/>
      <c r="E3071" s="4"/>
      <c r="F3071" s="15"/>
      <c r="G3071" s="4"/>
    </row>
    <row r="3072" ht="14.25" customHeight="1">
      <c r="A3072" s="8" t="s">
        <v>1506</v>
      </c>
      <c r="B3072" s="8">
        <v>7.3</v>
      </c>
      <c r="C3072" s="4"/>
      <c r="D3072" s="31"/>
      <c r="E3072" s="4"/>
      <c r="F3072" s="15"/>
      <c r="G3072" s="4"/>
    </row>
    <row r="3073" ht="14.25" customHeight="1">
      <c r="A3073" s="8" t="s">
        <v>3582</v>
      </c>
      <c r="B3073" s="8">
        <v>7.7</v>
      </c>
      <c r="C3073" s="4"/>
      <c r="D3073" s="31"/>
      <c r="E3073" s="4"/>
      <c r="F3073" s="15"/>
      <c r="G3073" s="4"/>
    </row>
    <row r="3074" ht="14.25" customHeight="1">
      <c r="A3074" s="8" t="s">
        <v>6165</v>
      </c>
      <c r="B3074" s="8">
        <v>7.3</v>
      </c>
      <c r="C3074" s="4"/>
      <c r="D3074" s="31"/>
      <c r="E3074" s="4"/>
      <c r="F3074" s="15"/>
      <c r="G3074" s="4"/>
    </row>
    <row r="3075" ht="14.25" customHeight="1">
      <c r="A3075" s="8" t="s">
        <v>6168</v>
      </c>
      <c r="B3075" s="8">
        <v>7.0</v>
      </c>
      <c r="C3075" s="4"/>
      <c r="D3075" s="31"/>
      <c r="E3075" s="4"/>
      <c r="F3075" s="15"/>
      <c r="G3075" s="4"/>
    </row>
    <row r="3076" ht="14.25" customHeight="1">
      <c r="A3076" s="8" t="s">
        <v>6170</v>
      </c>
      <c r="B3076" s="8">
        <v>6.4</v>
      </c>
      <c r="C3076" s="4"/>
      <c r="D3076" s="31"/>
      <c r="E3076" s="4"/>
      <c r="F3076" s="15"/>
      <c r="G3076" s="4"/>
    </row>
    <row r="3077" ht="14.25" customHeight="1">
      <c r="A3077" s="8" t="s">
        <v>6173</v>
      </c>
      <c r="B3077" s="8">
        <v>5.6</v>
      </c>
      <c r="C3077" s="4"/>
      <c r="D3077" s="31"/>
      <c r="E3077" s="4"/>
      <c r="F3077" s="15"/>
      <c r="G3077" s="4"/>
    </row>
    <row r="3078" ht="14.25" customHeight="1">
      <c r="A3078" s="8" t="s">
        <v>2286</v>
      </c>
      <c r="B3078" s="8">
        <v>8.2</v>
      </c>
      <c r="C3078" s="4"/>
      <c r="D3078" s="31"/>
      <c r="E3078" s="4"/>
      <c r="F3078" s="15"/>
      <c r="G3078" s="4"/>
    </row>
    <row r="3079" ht="14.25" customHeight="1">
      <c r="A3079" s="8" t="s">
        <v>1876</v>
      </c>
      <c r="B3079" s="8">
        <v>6.5</v>
      </c>
      <c r="C3079" s="4"/>
      <c r="D3079" s="31"/>
      <c r="E3079" s="4"/>
      <c r="F3079" s="15"/>
      <c r="G3079" s="4"/>
    </row>
    <row r="3080" ht="14.25" customHeight="1">
      <c r="A3080" s="8" t="s">
        <v>586</v>
      </c>
      <c r="B3080" s="8">
        <v>8.1</v>
      </c>
      <c r="C3080" s="4"/>
      <c r="D3080" s="31"/>
      <c r="E3080" s="4"/>
      <c r="F3080" s="15"/>
      <c r="G3080" s="4"/>
    </row>
    <row r="3081" ht="14.25" customHeight="1">
      <c r="A3081" s="8" t="s">
        <v>3323</v>
      </c>
      <c r="B3081" s="8">
        <v>5.4</v>
      </c>
      <c r="C3081" s="4"/>
      <c r="D3081" s="31"/>
      <c r="E3081" s="4"/>
      <c r="F3081" s="15"/>
      <c r="G3081" s="4"/>
    </row>
    <row r="3082" ht="14.25" customHeight="1">
      <c r="A3082" s="8" t="s">
        <v>6184</v>
      </c>
      <c r="B3082" s="8">
        <v>6.3</v>
      </c>
      <c r="C3082" s="4"/>
      <c r="D3082" s="31"/>
      <c r="E3082" s="4"/>
      <c r="F3082" s="15"/>
      <c r="G3082" s="4"/>
    </row>
    <row r="3083" ht="14.25" customHeight="1">
      <c r="A3083" s="8" t="s">
        <v>1205</v>
      </c>
      <c r="B3083" s="8">
        <v>7.8</v>
      </c>
      <c r="C3083" s="4"/>
      <c r="D3083" s="31"/>
      <c r="E3083" s="4"/>
      <c r="F3083" s="15"/>
      <c r="G3083" s="4"/>
    </row>
    <row r="3084" ht="14.25" customHeight="1">
      <c r="A3084" s="8" t="s">
        <v>6190</v>
      </c>
      <c r="B3084" s="8">
        <v>6.8</v>
      </c>
      <c r="C3084" s="4"/>
      <c r="D3084" s="31"/>
      <c r="E3084" s="4"/>
      <c r="F3084" s="15"/>
      <c r="G3084" s="4"/>
    </row>
    <row r="3085" ht="14.25" customHeight="1">
      <c r="A3085" s="8" t="s">
        <v>950</v>
      </c>
      <c r="B3085" s="8">
        <v>7.1</v>
      </c>
      <c r="C3085" s="4"/>
      <c r="D3085" s="31"/>
      <c r="E3085" s="4"/>
      <c r="F3085" s="15"/>
      <c r="G3085" s="4"/>
    </row>
    <row r="3086" ht="14.25" customHeight="1">
      <c r="A3086" s="8" t="s">
        <v>231</v>
      </c>
      <c r="B3086" s="8">
        <v>6.2</v>
      </c>
      <c r="C3086" s="4"/>
      <c r="D3086" s="31"/>
      <c r="E3086" s="4"/>
      <c r="F3086" s="15"/>
      <c r="G3086" s="4"/>
    </row>
    <row r="3087" ht="14.25" customHeight="1">
      <c r="A3087" s="8" t="s">
        <v>225</v>
      </c>
      <c r="B3087" s="8">
        <v>7.3</v>
      </c>
      <c r="C3087" s="4"/>
      <c r="D3087" s="31"/>
      <c r="E3087" s="4"/>
      <c r="F3087" s="15"/>
      <c r="G3087" s="4"/>
    </row>
    <row r="3088" ht="14.25" customHeight="1">
      <c r="A3088" s="8" t="s">
        <v>5967</v>
      </c>
      <c r="B3088" s="8">
        <v>5.9</v>
      </c>
      <c r="C3088" s="4"/>
      <c r="D3088" s="31"/>
      <c r="E3088" s="4"/>
      <c r="F3088" s="15"/>
      <c r="G3088" s="4"/>
    </row>
    <row r="3089" ht="14.25" customHeight="1">
      <c r="A3089" s="8" t="s">
        <v>6200</v>
      </c>
      <c r="B3089" s="8">
        <v>3.6</v>
      </c>
      <c r="C3089" s="4"/>
      <c r="D3089" s="31"/>
      <c r="E3089" s="4"/>
      <c r="F3089" s="15"/>
      <c r="G3089" s="4"/>
    </row>
    <row r="3090" ht="14.25" customHeight="1">
      <c r="A3090" s="8" t="s">
        <v>6203</v>
      </c>
      <c r="B3090" s="8">
        <v>7.7</v>
      </c>
      <c r="C3090" s="4"/>
      <c r="D3090" s="31"/>
      <c r="E3090" s="4"/>
      <c r="F3090" s="15"/>
      <c r="G3090" s="4"/>
    </row>
    <row r="3091" ht="14.25" customHeight="1">
      <c r="A3091" s="8" t="s">
        <v>4150</v>
      </c>
      <c r="B3091" s="8">
        <v>7.3</v>
      </c>
      <c r="C3091" s="4"/>
      <c r="D3091" s="31"/>
      <c r="E3091" s="4"/>
      <c r="F3091" s="15"/>
      <c r="G3091" s="4"/>
    </row>
    <row r="3092" ht="14.25" customHeight="1">
      <c r="A3092" s="8" t="s">
        <v>295</v>
      </c>
      <c r="B3092" s="8">
        <v>7.4</v>
      </c>
      <c r="C3092" s="4"/>
      <c r="D3092" s="31"/>
      <c r="E3092" s="4"/>
      <c r="F3092" s="15"/>
      <c r="G3092" s="4"/>
    </row>
    <row r="3093" ht="14.25" customHeight="1">
      <c r="A3093" s="8" t="s">
        <v>6208</v>
      </c>
      <c r="B3093" s="8">
        <v>6.6</v>
      </c>
      <c r="C3093" s="4"/>
      <c r="D3093" s="31"/>
      <c r="E3093" s="4"/>
      <c r="F3093" s="15"/>
      <c r="G3093" s="4"/>
    </row>
    <row r="3094" ht="14.25" customHeight="1">
      <c r="A3094" s="8" t="s">
        <v>6211</v>
      </c>
      <c r="B3094" s="8">
        <v>6.9</v>
      </c>
      <c r="C3094" s="4"/>
      <c r="D3094" s="31"/>
      <c r="E3094" s="4"/>
      <c r="F3094" s="15"/>
      <c r="G3094" s="4"/>
    </row>
    <row r="3095" ht="14.25" customHeight="1">
      <c r="A3095" s="8" t="s">
        <v>4933</v>
      </c>
      <c r="B3095" s="8">
        <v>6.8</v>
      </c>
      <c r="C3095" s="4"/>
      <c r="D3095" s="31"/>
      <c r="E3095" s="4"/>
      <c r="F3095" s="15"/>
      <c r="G3095" s="4"/>
    </row>
    <row r="3096" ht="14.25" customHeight="1">
      <c r="A3096" s="8" t="s">
        <v>6214</v>
      </c>
      <c r="B3096" s="8">
        <v>7.3</v>
      </c>
      <c r="C3096" s="4"/>
      <c r="D3096" s="31"/>
      <c r="E3096" s="4"/>
      <c r="F3096" s="15"/>
      <c r="G3096" s="4"/>
    </row>
    <row r="3097" ht="14.25" customHeight="1">
      <c r="A3097" s="8" t="s">
        <v>6216</v>
      </c>
      <c r="B3097" s="8">
        <v>7.2</v>
      </c>
      <c r="C3097" s="4"/>
      <c r="D3097" s="31"/>
      <c r="E3097" s="4"/>
      <c r="F3097" s="15"/>
      <c r="G3097" s="4"/>
    </row>
    <row r="3098" ht="14.25" customHeight="1">
      <c r="A3098" s="8" t="s">
        <v>4195</v>
      </c>
      <c r="B3098" s="8">
        <v>7.7</v>
      </c>
      <c r="C3098" s="4"/>
      <c r="D3098" s="31"/>
      <c r="E3098" s="4"/>
      <c r="F3098" s="15"/>
      <c r="G3098" s="4"/>
    </row>
    <row r="3099" ht="14.25" customHeight="1">
      <c r="A3099" s="8" t="s">
        <v>12</v>
      </c>
      <c r="B3099" s="8">
        <v>8.1</v>
      </c>
      <c r="C3099" s="4"/>
      <c r="D3099" s="31"/>
      <c r="E3099" s="4"/>
      <c r="F3099" s="15"/>
      <c r="G3099" s="4"/>
    </row>
    <row r="3100" ht="14.25" customHeight="1">
      <c r="A3100" s="8" t="s">
        <v>6221</v>
      </c>
      <c r="B3100" s="8">
        <v>7.7</v>
      </c>
      <c r="C3100" s="4"/>
      <c r="D3100" s="31"/>
      <c r="E3100" s="4"/>
      <c r="F3100" s="15"/>
      <c r="G3100" s="4"/>
    </row>
    <row r="3101" ht="14.25" customHeight="1">
      <c r="A3101" s="8" t="s">
        <v>1495</v>
      </c>
      <c r="B3101" s="8">
        <v>7.6</v>
      </c>
      <c r="C3101" s="4"/>
      <c r="D3101" s="31"/>
      <c r="E3101" s="4"/>
      <c r="F3101" s="15"/>
      <c r="G3101" s="4"/>
    </row>
    <row r="3102" ht="14.25" customHeight="1">
      <c r="A3102" s="8" t="s">
        <v>2839</v>
      </c>
      <c r="B3102" s="8">
        <v>7.2</v>
      </c>
      <c r="C3102" s="4"/>
      <c r="D3102" s="31"/>
      <c r="E3102" s="4"/>
      <c r="F3102" s="15"/>
      <c r="G3102" s="4"/>
    </row>
    <row r="3103" ht="14.25" customHeight="1">
      <c r="A3103" s="8" t="s">
        <v>5099</v>
      </c>
      <c r="B3103" s="8">
        <v>7.2</v>
      </c>
      <c r="C3103" s="4"/>
      <c r="D3103" s="31"/>
      <c r="E3103" s="4"/>
      <c r="F3103" s="15"/>
      <c r="G3103" s="4"/>
    </row>
    <row r="3104" ht="14.25" customHeight="1">
      <c r="A3104" s="8" t="s">
        <v>324</v>
      </c>
      <c r="B3104" s="8">
        <v>8.1</v>
      </c>
      <c r="C3104" s="4"/>
      <c r="D3104" s="31"/>
      <c r="E3104" s="4"/>
      <c r="F3104" s="15"/>
      <c r="G3104" s="4"/>
    </row>
    <row r="3105" ht="14.25" customHeight="1">
      <c r="A3105" s="8" t="s">
        <v>5855</v>
      </c>
      <c r="B3105" s="8">
        <v>7.5</v>
      </c>
      <c r="C3105" s="4"/>
      <c r="D3105" s="31"/>
      <c r="E3105" s="4"/>
      <c r="F3105" s="15"/>
      <c r="G3105" s="4"/>
    </row>
    <row r="3106" ht="14.25" customHeight="1">
      <c r="A3106" s="8" t="s">
        <v>6233</v>
      </c>
      <c r="B3106" s="8">
        <v>8.1</v>
      </c>
      <c r="C3106" s="4"/>
      <c r="D3106" s="31"/>
      <c r="E3106" s="4"/>
      <c r="F3106" s="15"/>
      <c r="G3106" s="4"/>
    </row>
    <row r="3107" ht="14.25" customHeight="1">
      <c r="A3107" s="8" t="s">
        <v>6237</v>
      </c>
      <c r="B3107" s="8">
        <v>7.8</v>
      </c>
      <c r="C3107" s="4"/>
      <c r="D3107" s="31"/>
      <c r="E3107" s="4"/>
      <c r="F3107" s="15"/>
      <c r="G3107" s="4"/>
    </row>
    <row r="3108" ht="14.25" customHeight="1">
      <c r="A3108" s="8" t="s">
        <v>1640</v>
      </c>
      <c r="B3108" s="8">
        <v>7.8</v>
      </c>
      <c r="C3108" s="4"/>
      <c r="D3108" s="31"/>
      <c r="E3108" s="4"/>
      <c r="F3108" s="15"/>
      <c r="G3108" s="4"/>
    </row>
    <row r="3109" ht="14.25" customHeight="1">
      <c r="A3109" s="8" t="s">
        <v>677</v>
      </c>
      <c r="B3109" s="8">
        <v>5.8</v>
      </c>
      <c r="C3109" s="4"/>
      <c r="D3109" s="31"/>
      <c r="E3109" s="4"/>
      <c r="F3109" s="15"/>
      <c r="G3109" s="4"/>
    </row>
    <row r="3110" ht="14.25" customHeight="1">
      <c r="A3110" s="8" t="s">
        <v>6242</v>
      </c>
      <c r="B3110" s="8">
        <v>7.6</v>
      </c>
      <c r="C3110" s="4"/>
      <c r="D3110" s="31"/>
      <c r="E3110" s="4"/>
      <c r="F3110" s="15"/>
      <c r="G3110" s="4"/>
    </row>
    <row r="3111" ht="14.25" customHeight="1">
      <c r="A3111" s="8" t="s">
        <v>1719</v>
      </c>
      <c r="B3111" s="8">
        <v>7.4</v>
      </c>
      <c r="C3111" s="4"/>
      <c r="D3111" s="31"/>
      <c r="E3111" s="4"/>
      <c r="F3111" s="15"/>
      <c r="G3111" s="4"/>
    </row>
    <row r="3112" ht="14.25" customHeight="1">
      <c r="A3112" s="8" t="s">
        <v>6247</v>
      </c>
      <c r="B3112" s="8">
        <v>6.3</v>
      </c>
      <c r="C3112" s="4"/>
      <c r="D3112" s="31"/>
      <c r="E3112" s="4"/>
      <c r="F3112" s="15"/>
      <c r="G3112" s="4"/>
    </row>
    <row r="3113" ht="14.25" customHeight="1">
      <c r="A3113" s="8" t="s">
        <v>5115</v>
      </c>
      <c r="B3113" s="8">
        <v>6.9</v>
      </c>
      <c r="C3113" s="4"/>
      <c r="D3113" s="31"/>
      <c r="E3113" s="4"/>
      <c r="F3113" s="15"/>
      <c r="G3113" s="4"/>
    </row>
    <row r="3114" ht="14.25" customHeight="1">
      <c r="A3114" s="8" t="s">
        <v>51</v>
      </c>
      <c r="B3114" s="8">
        <v>8.6</v>
      </c>
      <c r="C3114" s="4"/>
      <c r="D3114" s="31"/>
      <c r="E3114" s="4"/>
      <c r="F3114" s="15"/>
      <c r="G3114" s="4"/>
    </row>
    <row r="3115" ht="14.25" customHeight="1">
      <c r="A3115" s="8" t="s">
        <v>1127</v>
      </c>
      <c r="B3115" s="8">
        <v>5.1</v>
      </c>
      <c r="C3115" s="4"/>
      <c r="D3115" s="31"/>
      <c r="E3115" s="4"/>
      <c r="F3115" s="15"/>
      <c r="G3115" s="4"/>
    </row>
    <row r="3116" ht="14.25" customHeight="1">
      <c r="A3116" s="8" t="s">
        <v>916</v>
      </c>
      <c r="B3116" s="8">
        <v>6.4</v>
      </c>
      <c r="C3116" s="4"/>
      <c r="D3116" s="31"/>
      <c r="E3116" s="4"/>
      <c r="F3116" s="15"/>
      <c r="G3116" s="4"/>
    </row>
    <row r="3117" ht="14.25" customHeight="1">
      <c r="A3117" s="8" t="s">
        <v>505</v>
      </c>
      <c r="B3117" s="8">
        <v>7.9</v>
      </c>
      <c r="C3117" s="4"/>
      <c r="D3117" s="31"/>
      <c r="E3117" s="4"/>
      <c r="F3117" s="15"/>
      <c r="G3117" s="4"/>
    </row>
    <row r="3118" ht="14.25" customHeight="1">
      <c r="A3118" s="8" t="s">
        <v>6256</v>
      </c>
      <c r="B3118" s="8">
        <v>6.9</v>
      </c>
      <c r="C3118" s="4"/>
      <c r="D3118" s="31"/>
      <c r="E3118" s="4"/>
      <c r="F3118" s="15"/>
      <c r="G3118" s="4"/>
    </row>
    <row r="3119" ht="14.25" customHeight="1">
      <c r="A3119" s="8" t="s">
        <v>5416</v>
      </c>
      <c r="B3119" s="8">
        <v>7.5</v>
      </c>
      <c r="C3119" s="4"/>
      <c r="D3119" s="31"/>
      <c r="E3119" s="4"/>
      <c r="F3119" s="15"/>
      <c r="G3119" s="4"/>
    </row>
    <row r="3120" ht="14.25" customHeight="1">
      <c r="A3120" s="8" t="s">
        <v>2158</v>
      </c>
      <c r="B3120" s="8">
        <v>7.2</v>
      </c>
      <c r="C3120" s="4"/>
      <c r="D3120" s="31"/>
      <c r="E3120" s="4"/>
      <c r="F3120" s="15"/>
      <c r="G3120" s="4"/>
    </row>
    <row r="3121" ht="14.25" customHeight="1">
      <c r="A3121" s="8" t="s">
        <v>2048</v>
      </c>
      <c r="B3121" s="8">
        <v>5.8</v>
      </c>
      <c r="C3121" s="4"/>
      <c r="D3121" s="31"/>
      <c r="E3121" s="4"/>
      <c r="F3121" s="15"/>
      <c r="G3121" s="4"/>
    </row>
    <row r="3122" ht="14.25" customHeight="1">
      <c r="A3122" s="8" t="s">
        <v>6262</v>
      </c>
      <c r="B3122" s="8">
        <v>2.9</v>
      </c>
      <c r="C3122" s="4"/>
      <c r="D3122" s="31"/>
      <c r="E3122" s="4"/>
      <c r="F3122" s="15"/>
      <c r="G3122" s="4"/>
    </row>
    <row r="3123" ht="14.25" customHeight="1">
      <c r="A3123" s="8" t="s">
        <v>1727</v>
      </c>
      <c r="B3123" s="8">
        <v>6.2</v>
      </c>
      <c r="C3123" s="4"/>
      <c r="D3123" s="31"/>
      <c r="E3123" s="4"/>
      <c r="F3123" s="15"/>
      <c r="G3123" s="4"/>
    </row>
    <row r="3124" ht="14.25" customHeight="1">
      <c r="A3124" s="8" t="s">
        <v>2334</v>
      </c>
      <c r="B3124" s="8">
        <v>6.8</v>
      </c>
      <c r="C3124" s="4"/>
      <c r="D3124" s="31"/>
      <c r="E3124" s="4"/>
      <c r="F3124" s="15"/>
      <c r="G3124" s="4"/>
    </row>
    <row r="3125" ht="14.25" customHeight="1">
      <c r="A3125" s="8" t="s">
        <v>6266</v>
      </c>
      <c r="B3125" s="8">
        <v>6.1</v>
      </c>
      <c r="C3125" s="4"/>
      <c r="D3125" s="31"/>
      <c r="E3125" s="4"/>
      <c r="F3125" s="15"/>
      <c r="G3125" s="4"/>
    </row>
    <row r="3126" ht="14.25" customHeight="1">
      <c r="A3126" s="8" t="s">
        <v>6268</v>
      </c>
      <c r="B3126" s="8">
        <v>7.7</v>
      </c>
      <c r="C3126" s="4"/>
      <c r="D3126" s="31"/>
      <c r="E3126" s="4"/>
      <c r="F3126" s="15"/>
      <c r="G3126" s="4"/>
    </row>
    <row r="3127" ht="14.25" customHeight="1">
      <c r="A3127" s="8" t="s">
        <v>6270</v>
      </c>
      <c r="B3127" s="8">
        <v>5.2</v>
      </c>
      <c r="C3127" s="4"/>
      <c r="D3127" s="31"/>
      <c r="E3127" s="4"/>
      <c r="F3127" s="15"/>
      <c r="G3127" s="4"/>
    </row>
    <row r="3128" ht="14.25" customHeight="1">
      <c r="A3128" s="8" t="s">
        <v>3582</v>
      </c>
      <c r="B3128" s="8">
        <v>6.8</v>
      </c>
      <c r="C3128" s="4"/>
      <c r="D3128" s="31"/>
      <c r="E3128" s="4"/>
      <c r="F3128" s="15"/>
      <c r="G3128" s="4"/>
    </row>
    <row r="3129" ht="14.25" customHeight="1">
      <c r="A3129" s="8" t="s">
        <v>6273</v>
      </c>
      <c r="B3129" s="8">
        <v>6.5</v>
      </c>
      <c r="C3129" s="4"/>
      <c r="D3129" s="31"/>
      <c r="E3129" s="4"/>
      <c r="F3129" s="15"/>
      <c r="G3129" s="4"/>
    </row>
    <row r="3130" ht="14.25" customHeight="1">
      <c r="A3130" s="8" t="s">
        <v>6276</v>
      </c>
      <c r="B3130" s="8">
        <v>7.0</v>
      </c>
      <c r="C3130" s="4"/>
      <c r="D3130" s="31"/>
      <c r="E3130" s="4"/>
      <c r="F3130" s="15"/>
      <c r="G3130" s="4"/>
    </row>
    <row r="3131" ht="14.25" customHeight="1">
      <c r="A3131" s="8" t="s">
        <v>6278</v>
      </c>
      <c r="B3131" s="8">
        <v>5.9</v>
      </c>
      <c r="C3131" s="4"/>
      <c r="D3131" s="31"/>
      <c r="E3131" s="4"/>
      <c r="F3131" s="15"/>
      <c r="G3131" s="4"/>
    </row>
    <row r="3132" ht="14.25" customHeight="1">
      <c r="A3132" s="8" t="s">
        <v>6280</v>
      </c>
      <c r="B3132" s="8">
        <v>7.1</v>
      </c>
      <c r="C3132" s="4"/>
      <c r="D3132" s="31"/>
      <c r="E3132" s="4"/>
      <c r="F3132" s="15"/>
      <c r="G3132" s="4"/>
    </row>
    <row r="3133" ht="14.25" customHeight="1">
      <c r="A3133" s="8" t="s">
        <v>6282</v>
      </c>
      <c r="B3133" s="8">
        <v>5.5</v>
      </c>
      <c r="C3133" s="4"/>
      <c r="D3133" s="31"/>
      <c r="E3133" s="4"/>
      <c r="F3133" s="15"/>
      <c r="G3133" s="4"/>
    </row>
    <row r="3134" ht="14.25" customHeight="1">
      <c r="A3134" s="8" t="s">
        <v>6284</v>
      </c>
      <c r="B3134" s="8">
        <v>7.4</v>
      </c>
      <c r="C3134" s="4"/>
      <c r="D3134" s="31"/>
      <c r="E3134" s="4"/>
      <c r="F3134" s="15"/>
      <c r="G3134" s="4"/>
    </row>
    <row r="3135" ht="14.25" customHeight="1">
      <c r="A3135" s="8" t="s">
        <v>6286</v>
      </c>
      <c r="B3135" s="8">
        <v>7.3</v>
      </c>
      <c r="C3135" s="4"/>
      <c r="D3135" s="31"/>
      <c r="E3135" s="4"/>
      <c r="F3135" s="15"/>
      <c r="G3135" s="4"/>
    </row>
    <row r="3136" ht="14.25" customHeight="1">
      <c r="A3136" s="8" t="s">
        <v>6288</v>
      </c>
      <c r="B3136" s="8">
        <v>4.6</v>
      </c>
      <c r="C3136" s="4"/>
      <c r="D3136" s="31"/>
      <c r="E3136" s="4"/>
      <c r="F3136" s="15"/>
      <c r="G3136" s="4"/>
    </row>
    <row r="3137" ht="14.25" customHeight="1">
      <c r="A3137" s="8" t="s">
        <v>2677</v>
      </c>
      <c r="B3137" s="8">
        <v>7.2</v>
      </c>
      <c r="C3137" s="4"/>
      <c r="D3137" s="31"/>
      <c r="E3137" s="4"/>
      <c r="F3137" s="15"/>
      <c r="G3137" s="4"/>
    </row>
    <row r="3138" ht="14.25" customHeight="1">
      <c r="A3138" s="8" t="s">
        <v>6291</v>
      </c>
      <c r="B3138" s="8">
        <v>5.1</v>
      </c>
      <c r="C3138" s="4"/>
      <c r="D3138" s="31"/>
      <c r="E3138" s="4"/>
      <c r="F3138" s="15"/>
      <c r="G3138" s="4"/>
    </row>
    <row r="3139" ht="14.25" customHeight="1">
      <c r="A3139" s="8" t="s">
        <v>6294</v>
      </c>
      <c r="B3139" s="8">
        <v>6.7</v>
      </c>
      <c r="C3139" s="4"/>
      <c r="D3139" s="31"/>
      <c r="E3139" s="4"/>
      <c r="F3139" s="15"/>
      <c r="G3139" s="4"/>
    </row>
    <row r="3140" ht="14.25" customHeight="1">
      <c r="A3140" s="8" t="s">
        <v>6296</v>
      </c>
      <c r="B3140" s="8">
        <v>5.3</v>
      </c>
      <c r="C3140" s="4"/>
      <c r="D3140" s="31"/>
      <c r="E3140" s="4"/>
      <c r="F3140" s="15"/>
      <c r="G3140" s="4"/>
    </row>
    <row r="3141" ht="14.25" customHeight="1">
      <c r="A3141" s="8" t="s">
        <v>6298</v>
      </c>
      <c r="B3141" s="8">
        <v>7.8</v>
      </c>
      <c r="C3141" s="4"/>
      <c r="D3141" s="31"/>
      <c r="E3141" s="4"/>
      <c r="F3141" s="15"/>
      <c r="G3141" s="4"/>
    </row>
    <row r="3142" ht="14.25" customHeight="1">
      <c r="A3142" s="8" t="s">
        <v>4767</v>
      </c>
      <c r="B3142" s="8">
        <v>6.7</v>
      </c>
      <c r="C3142" s="4"/>
      <c r="D3142" s="31"/>
      <c r="E3142" s="4"/>
      <c r="F3142" s="15"/>
      <c r="G3142" s="4"/>
    </row>
    <row r="3143" ht="14.25" customHeight="1">
      <c r="A3143" s="8" t="s">
        <v>6303</v>
      </c>
      <c r="B3143" s="8">
        <v>7.2</v>
      </c>
      <c r="C3143" s="4"/>
      <c r="D3143" s="31"/>
      <c r="E3143" s="4"/>
      <c r="F3143" s="15"/>
      <c r="G3143" s="4"/>
    </row>
    <row r="3144" ht="14.25" customHeight="1">
      <c r="A3144" s="8" t="s">
        <v>6305</v>
      </c>
      <c r="B3144" s="8">
        <v>5.8</v>
      </c>
      <c r="C3144" s="4"/>
      <c r="D3144" s="31"/>
      <c r="E3144" s="4"/>
      <c r="F3144" s="15"/>
      <c r="G3144" s="4"/>
    </row>
    <row r="3145" ht="14.25" customHeight="1">
      <c r="A3145" s="8" t="s">
        <v>3245</v>
      </c>
      <c r="B3145" s="8">
        <v>7.0</v>
      </c>
      <c r="C3145" s="4"/>
      <c r="D3145" s="31"/>
      <c r="E3145" s="4"/>
      <c r="F3145" s="15"/>
      <c r="G3145" s="4"/>
    </row>
    <row r="3146" ht="14.25" customHeight="1">
      <c r="A3146" s="8" t="s">
        <v>6309</v>
      </c>
      <c r="B3146" s="8">
        <v>3.8</v>
      </c>
      <c r="C3146" s="4"/>
      <c r="D3146" s="31"/>
      <c r="E3146" s="4"/>
      <c r="F3146" s="15"/>
      <c r="G3146" s="4"/>
    </row>
    <row r="3147" ht="14.25" customHeight="1">
      <c r="A3147" s="8" t="s">
        <v>6312</v>
      </c>
      <c r="B3147" s="8">
        <v>5.7</v>
      </c>
      <c r="C3147" s="4"/>
      <c r="D3147" s="31"/>
      <c r="E3147" s="4"/>
      <c r="F3147" s="15"/>
      <c r="G3147" s="4"/>
    </row>
    <row r="3148" ht="14.25" customHeight="1">
      <c r="A3148" s="8" t="s">
        <v>4270</v>
      </c>
      <c r="B3148" s="8">
        <v>6.7</v>
      </c>
      <c r="C3148" s="4"/>
      <c r="D3148" s="31"/>
      <c r="E3148" s="4"/>
      <c r="F3148" s="15"/>
      <c r="G3148" s="4"/>
    </row>
    <row r="3149" ht="14.25" customHeight="1">
      <c r="A3149" s="8" t="s">
        <v>1873</v>
      </c>
      <c r="B3149" s="8">
        <v>6.1</v>
      </c>
      <c r="C3149" s="4"/>
      <c r="D3149" s="31"/>
      <c r="E3149" s="4"/>
      <c r="F3149" s="15"/>
      <c r="G3149" s="4"/>
    </row>
    <row r="3150" ht="14.25" customHeight="1">
      <c r="A3150" s="8" t="s">
        <v>6317</v>
      </c>
      <c r="B3150" s="8">
        <v>6.2</v>
      </c>
      <c r="C3150" s="4"/>
      <c r="D3150" s="31"/>
      <c r="E3150" s="4"/>
      <c r="F3150" s="15"/>
      <c r="G3150" s="4"/>
    </row>
    <row r="3151" ht="14.25" customHeight="1">
      <c r="A3151" s="8" t="s">
        <v>5013</v>
      </c>
      <c r="B3151" s="8">
        <v>6.2</v>
      </c>
      <c r="C3151" s="4"/>
      <c r="D3151" s="31"/>
      <c r="E3151" s="4"/>
      <c r="F3151" s="15"/>
      <c r="G3151" s="4"/>
    </row>
    <row r="3152" ht="14.25" customHeight="1">
      <c r="A3152" s="8" t="s">
        <v>6321</v>
      </c>
      <c r="B3152" s="8">
        <v>4.7</v>
      </c>
      <c r="C3152" s="4"/>
      <c r="D3152" s="31"/>
      <c r="E3152" s="4"/>
      <c r="F3152" s="15"/>
      <c r="G3152" s="4"/>
    </row>
    <row r="3153" ht="14.25" customHeight="1">
      <c r="A3153" s="8" t="s">
        <v>5065</v>
      </c>
      <c r="B3153" s="8">
        <v>6.3</v>
      </c>
      <c r="C3153" s="4"/>
      <c r="D3153" s="31"/>
      <c r="E3153" s="4"/>
      <c r="F3153" s="15"/>
      <c r="G3153" s="4"/>
    </row>
    <row r="3154" ht="14.25" customHeight="1">
      <c r="A3154" s="8" t="s">
        <v>6324</v>
      </c>
      <c r="B3154" s="8">
        <v>7.3</v>
      </c>
      <c r="C3154" s="4"/>
      <c r="D3154" s="31"/>
      <c r="E3154" s="4"/>
      <c r="F3154" s="15"/>
      <c r="G3154" s="4"/>
    </row>
    <row r="3155" ht="14.25" customHeight="1">
      <c r="A3155" s="8" t="s">
        <v>6326</v>
      </c>
      <c r="B3155" s="8">
        <v>5.8</v>
      </c>
      <c r="C3155" s="4"/>
      <c r="D3155" s="31"/>
      <c r="E3155" s="4"/>
      <c r="F3155" s="15"/>
      <c r="G3155" s="4"/>
    </row>
    <row r="3156" ht="14.25" customHeight="1">
      <c r="A3156" s="8" t="s">
        <v>2145</v>
      </c>
      <c r="B3156" s="8">
        <v>6.1</v>
      </c>
      <c r="C3156" s="4"/>
      <c r="D3156" s="31"/>
      <c r="E3156" s="4"/>
      <c r="F3156" s="15"/>
      <c r="G3156" s="4"/>
    </row>
    <row r="3157" ht="14.25" customHeight="1">
      <c r="A3157" s="8" t="s">
        <v>6328</v>
      </c>
      <c r="B3157" s="8">
        <v>7.1</v>
      </c>
      <c r="C3157" s="4"/>
      <c r="D3157" s="31"/>
      <c r="E3157" s="4"/>
      <c r="F3157" s="15"/>
      <c r="G3157" s="4"/>
    </row>
    <row r="3158" ht="14.25" customHeight="1">
      <c r="A3158" s="8" t="s">
        <v>6331</v>
      </c>
      <c r="B3158" s="8">
        <v>7.1</v>
      </c>
      <c r="C3158" s="4"/>
      <c r="D3158" s="31"/>
      <c r="E3158" s="4"/>
      <c r="F3158" s="15"/>
      <c r="G3158" s="4"/>
    </row>
    <row r="3159" ht="14.25" customHeight="1">
      <c r="A3159" s="8" t="s">
        <v>6116</v>
      </c>
      <c r="B3159" s="8">
        <v>6.7</v>
      </c>
      <c r="C3159" s="4"/>
      <c r="D3159" s="31"/>
      <c r="E3159" s="4"/>
      <c r="F3159" s="15"/>
      <c r="G3159" s="4"/>
    </row>
    <row r="3160" ht="14.25" customHeight="1">
      <c r="A3160" s="8" t="s">
        <v>5917</v>
      </c>
      <c r="B3160" s="8">
        <v>6.9</v>
      </c>
      <c r="C3160" s="4"/>
      <c r="D3160" s="31"/>
      <c r="E3160" s="4"/>
      <c r="F3160" s="15"/>
      <c r="G3160" s="4"/>
    </row>
    <row r="3161" ht="14.25" customHeight="1">
      <c r="A3161" s="8" t="s">
        <v>5203</v>
      </c>
      <c r="B3161" s="8">
        <v>2.1</v>
      </c>
      <c r="C3161" s="4"/>
      <c r="D3161" s="31"/>
      <c r="E3161" s="4"/>
      <c r="F3161" s="15"/>
      <c r="G3161" s="4"/>
    </row>
    <row r="3162" ht="14.25" customHeight="1">
      <c r="A3162" s="8" t="s">
        <v>5559</v>
      </c>
      <c r="B3162" s="8">
        <v>6.6</v>
      </c>
      <c r="C3162" s="4"/>
      <c r="D3162" s="31"/>
      <c r="E3162" s="4"/>
      <c r="F3162" s="15"/>
      <c r="G3162" s="4"/>
    </row>
    <row r="3163" ht="14.25" customHeight="1">
      <c r="A3163" s="8" t="s">
        <v>6233</v>
      </c>
      <c r="B3163" s="8">
        <v>8.3</v>
      </c>
      <c r="C3163" s="4"/>
      <c r="D3163" s="31"/>
      <c r="E3163" s="4"/>
      <c r="F3163" s="15"/>
      <c r="G3163" s="4"/>
    </row>
    <row r="3164" ht="14.25" customHeight="1">
      <c r="A3164" s="8" t="s">
        <v>3082</v>
      </c>
      <c r="B3164" s="8">
        <v>7.2</v>
      </c>
      <c r="C3164" s="4"/>
      <c r="D3164" s="31"/>
      <c r="E3164" s="4"/>
      <c r="F3164" s="15"/>
      <c r="G3164" s="4"/>
    </row>
    <row r="3165" ht="14.25" customHeight="1">
      <c r="A3165" s="8" t="s">
        <v>6344</v>
      </c>
      <c r="B3165" s="8">
        <v>5.6</v>
      </c>
      <c r="C3165" s="4"/>
      <c r="D3165" s="31"/>
      <c r="E3165" s="4"/>
      <c r="F3165" s="15"/>
      <c r="G3165" s="4"/>
    </row>
    <row r="3166" ht="14.25" customHeight="1">
      <c r="A3166" s="8" t="s">
        <v>2866</v>
      </c>
      <c r="B3166" s="8">
        <v>7.7</v>
      </c>
      <c r="C3166" s="4"/>
      <c r="D3166" s="31"/>
      <c r="E3166" s="4"/>
      <c r="F3166" s="15"/>
      <c r="G3166" s="4"/>
    </row>
    <row r="3167" ht="14.25" customHeight="1">
      <c r="A3167" s="8" t="s">
        <v>232</v>
      </c>
      <c r="B3167" s="8">
        <v>6.6</v>
      </c>
      <c r="C3167" s="4"/>
      <c r="D3167" s="31"/>
      <c r="E3167" s="4"/>
      <c r="F3167" s="15"/>
      <c r="G3167" s="4"/>
    </row>
    <row r="3168" ht="14.25" customHeight="1">
      <c r="A3168" s="8" t="s">
        <v>4519</v>
      </c>
      <c r="B3168" s="8">
        <v>7.4</v>
      </c>
      <c r="C3168" s="4"/>
      <c r="D3168" s="31"/>
      <c r="E3168" s="4"/>
      <c r="F3168" s="15"/>
      <c r="G3168" s="4"/>
    </row>
    <row r="3169" ht="14.25" customHeight="1">
      <c r="A3169" s="8" t="s">
        <v>3555</v>
      </c>
      <c r="B3169" s="8">
        <v>7.1</v>
      </c>
      <c r="C3169" s="4"/>
      <c r="D3169" s="31"/>
      <c r="E3169" s="4"/>
      <c r="F3169" s="15"/>
      <c r="G3169" s="4"/>
    </row>
    <row r="3170" ht="14.25" customHeight="1">
      <c r="A3170" s="8" t="s">
        <v>6351</v>
      </c>
      <c r="B3170" s="8">
        <v>7.9</v>
      </c>
      <c r="C3170" s="4"/>
      <c r="D3170" s="31"/>
      <c r="E3170" s="4"/>
      <c r="F3170" s="15"/>
      <c r="G3170" s="4"/>
    </row>
    <row r="3171" ht="14.25" customHeight="1">
      <c r="A3171" s="8" t="s">
        <v>6354</v>
      </c>
      <c r="B3171" s="8">
        <v>6.7</v>
      </c>
      <c r="C3171" s="4"/>
      <c r="D3171" s="31"/>
      <c r="E3171" s="4"/>
      <c r="F3171" s="15"/>
      <c r="G3171" s="4"/>
    </row>
    <row r="3172" ht="14.25" customHeight="1">
      <c r="A3172" s="8" t="s">
        <v>6356</v>
      </c>
      <c r="B3172" s="8">
        <v>6.6</v>
      </c>
      <c r="C3172" s="4"/>
      <c r="D3172" s="31"/>
      <c r="E3172" s="4"/>
      <c r="F3172" s="15"/>
      <c r="G3172" s="4"/>
    </row>
    <row r="3173" ht="14.25" customHeight="1">
      <c r="A3173" s="8" t="s">
        <v>2048</v>
      </c>
      <c r="B3173" s="8">
        <v>7.9</v>
      </c>
      <c r="C3173" s="4"/>
      <c r="D3173" s="31"/>
      <c r="E3173" s="4"/>
      <c r="F3173" s="15"/>
      <c r="G3173" s="4"/>
    </row>
    <row r="3174" ht="14.25" customHeight="1">
      <c r="A3174" s="8" t="s">
        <v>6361</v>
      </c>
      <c r="B3174" s="8">
        <v>4.9</v>
      </c>
      <c r="C3174" s="4"/>
      <c r="D3174" s="31"/>
      <c r="E3174" s="4"/>
      <c r="F3174" s="15"/>
      <c r="G3174" s="4"/>
    </row>
    <row r="3175" ht="14.25" customHeight="1">
      <c r="A3175" s="8" t="s">
        <v>6363</v>
      </c>
      <c r="B3175" s="8">
        <v>7.2</v>
      </c>
      <c r="C3175" s="4"/>
      <c r="D3175" s="31"/>
      <c r="E3175" s="4"/>
      <c r="F3175" s="15"/>
      <c r="G3175" s="4"/>
    </row>
    <row r="3176" ht="14.25" customHeight="1">
      <c r="A3176" s="8" t="s">
        <v>6366</v>
      </c>
      <c r="B3176" s="8">
        <v>6.1</v>
      </c>
      <c r="C3176" s="4"/>
      <c r="D3176" s="31"/>
      <c r="E3176" s="4"/>
      <c r="F3176" s="15"/>
      <c r="G3176" s="4"/>
    </row>
    <row r="3177" ht="14.25" customHeight="1">
      <c r="A3177" s="8" t="s">
        <v>6369</v>
      </c>
      <c r="B3177" s="8">
        <v>5.3</v>
      </c>
      <c r="C3177" s="4"/>
      <c r="D3177" s="31"/>
      <c r="E3177" s="4"/>
      <c r="F3177" s="15"/>
      <c r="G3177" s="4"/>
    </row>
    <row r="3178" ht="14.25" customHeight="1">
      <c r="A3178" s="8" t="s">
        <v>3475</v>
      </c>
      <c r="B3178" s="8">
        <v>5.0</v>
      </c>
      <c r="C3178" s="4"/>
      <c r="D3178" s="31"/>
      <c r="E3178" s="4"/>
      <c r="F3178" s="15"/>
      <c r="G3178" s="4"/>
    </row>
    <row r="3179" ht="14.25" customHeight="1">
      <c r="A3179" s="8" t="s">
        <v>4846</v>
      </c>
      <c r="B3179" s="8">
        <v>7.6</v>
      </c>
      <c r="C3179" s="4"/>
      <c r="D3179" s="31"/>
      <c r="E3179" s="4"/>
      <c r="F3179" s="15"/>
      <c r="G3179" s="4"/>
    </row>
    <row r="3180" ht="14.25" customHeight="1">
      <c r="A3180" s="8" t="s">
        <v>6376</v>
      </c>
      <c r="B3180" s="8">
        <v>7.6</v>
      </c>
      <c r="C3180" s="4"/>
      <c r="D3180" s="31"/>
      <c r="E3180" s="4"/>
      <c r="F3180" s="15"/>
      <c r="G3180" s="4"/>
    </row>
    <row r="3181" ht="14.25" customHeight="1">
      <c r="A3181" s="8" t="s">
        <v>145</v>
      </c>
      <c r="B3181" s="8">
        <v>6.6</v>
      </c>
      <c r="C3181" s="4"/>
      <c r="D3181" s="31"/>
      <c r="E3181" s="4"/>
      <c r="F3181" s="15"/>
      <c r="G3181" s="4"/>
    </row>
    <row r="3182" ht="14.25" customHeight="1">
      <c r="A3182" s="8" t="s">
        <v>5575</v>
      </c>
      <c r="B3182" s="8">
        <v>6.6</v>
      </c>
      <c r="C3182" s="4"/>
      <c r="D3182" s="31"/>
      <c r="E3182" s="4"/>
      <c r="F3182" s="15"/>
      <c r="G3182" s="4"/>
    </row>
    <row r="3183" ht="14.25" customHeight="1">
      <c r="A3183" s="8" t="s">
        <v>6381</v>
      </c>
      <c r="B3183" s="8">
        <v>7.3</v>
      </c>
      <c r="C3183" s="4"/>
      <c r="D3183" s="31"/>
      <c r="E3183" s="4"/>
      <c r="F3183" s="15"/>
      <c r="G3183" s="4"/>
    </row>
    <row r="3184" ht="14.25" customHeight="1">
      <c r="A3184" s="8" t="s">
        <v>4127</v>
      </c>
      <c r="B3184" s="8">
        <v>6.6</v>
      </c>
      <c r="C3184" s="4"/>
      <c r="D3184" s="31"/>
      <c r="E3184" s="4"/>
      <c r="F3184" s="15"/>
      <c r="G3184" s="4"/>
    </row>
    <row r="3185" ht="14.25" customHeight="1">
      <c r="A3185" s="8" t="s">
        <v>6386</v>
      </c>
      <c r="B3185" s="8">
        <v>6.9</v>
      </c>
      <c r="C3185" s="4"/>
      <c r="D3185" s="31"/>
      <c r="E3185" s="4"/>
      <c r="F3185" s="15"/>
      <c r="G3185" s="4"/>
    </row>
    <row r="3186" ht="14.25" customHeight="1">
      <c r="A3186" s="8" t="s">
        <v>4260</v>
      </c>
      <c r="B3186" s="8">
        <v>5.8</v>
      </c>
      <c r="C3186" s="4"/>
      <c r="D3186" s="31"/>
      <c r="E3186" s="4"/>
      <c r="F3186" s="15"/>
      <c r="G3186" s="4"/>
    </row>
    <row r="3187" ht="14.25" customHeight="1">
      <c r="A3187" s="8" t="s">
        <v>6390</v>
      </c>
      <c r="B3187" s="8">
        <v>4.4</v>
      </c>
      <c r="C3187" s="4"/>
      <c r="D3187" s="31"/>
      <c r="E3187" s="4"/>
      <c r="F3187" s="15"/>
      <c r="G3187" s="4"/>
    </row>
    <row r="3188" ht="14.25" customHeight="1">
      <c r="A3188" s="8" t="s">
        <v>730</v>
      </c>
      <c r="B3188" s="8">
        <v>6.6</v>
      </c>
      <c r="C3188" s="4"/>
      <c r="D3188" s="31"/>
      <c r="E3188" s="4"/>
      <c r="F3188" s="15"/>
      <c r="G3188" s="4"/>
    </row>
    <row r="3189" ht="14.25" customHeight="1">
      <c r="A3189" s="8" t="s">
        <v>5675</v>
      </c>
      <c r="B3189" s="8">
        <v>7.1</v>
      </c>
      <c r="C3189" s="4"/>
      <c r="D3189" s="31"/>
      <c r="E3189" s="4"/>
      <c r="F3189" s="15"/>
      <c r="G3189" s="4"/>
    </row>
    <row r="3190" ht="14.25" customHeight="1">
      <c r="A3190" s="8" t="s">
        <v>6394</v>
      </c>
      <c r="B3190" s="8">
        <v>7.6</v>
      </c>
      <c r="C3190" s="4"/>
      <c r="D3190" s="31"/>
      <c r="E3190" s="4"/>
      <c r="F3190" s="15"/>
      <c r="G3190" s="4"/>
    </row>
    <row r="3191" ht="14.25" customHeight="1">
      <c r="A3191" s="8" t="s">
        <v>4260</v>
      </c>
      <c r="B3191" s="8">
        <v>4.6</v>
      </c>
      <c r="C3191" s="4"/>
      <c r="D3191" s="31"/>
      <c r="E3191" s="4"/>
      <c r="F3191" s="15"/>
      <c r="G3191" s="4"/>
    </row>
    <row r="3192" ht="14.25" customHeight="1">
      <c r="A3192" s="8" t="s">
        <v>6398</v>
      </c>
      <c r="B3192" s="8">
        <v>6.8</v>
      </c>
      <c r="C3192" s="4"/>
      <c r="D3192" s="31"/>
      <c r="E3192" s="4"/>
      <c r="F3192" s="15"/>
      <c r="G3192" s="4"/>
    </row>
    <row r="3193" ht="14.25" customHeight="1">
      <c r="A3193" s="8" t="s">
        <v>3879</v>
      </c>
      <c r="B3193" s="8">
        <v>4.9</v>
      </c>
      <c r="C3193" s="4"/>
      <c r="D3193" s="31"/>
      <c r="E3193" s="4"/>
      <c r="F3193" s="15"/>
      <c r="G3193" s="4"/>
    </row>
    <row r="3194" ht="14.25" customHeight="1">
      <c r="A3194" s="8" t="s">
        <v>6402</v>
      </c>
      <c r="B3194" s="8">
        <v>7.3</v>
      </c>
      <c r="C3194" s="4"/>
      <c r="D3194" s="31"/>
      <c r="E3194" s="4"/>
      <c r="F3194" s="15"/>
      <c r="G3194" s="4"/>
    </row>
    <row r="3195" ht="14.25" customHeight="1">
      <c r="A3195" s="8" t="s">
        <v>6404</v>
      </c>
      <c r="B3195" s="8">
        <v>5.0</v>
      </c>
      <c r="C3195" s="4"/>
      <c r="D3195" s="31"/>
      <c r="E3195" s="4"/>
      <c r="F3195" s="15"/>
      <c r="G3195" s="4"/>
    </row>
    <row r="3196" ht="14.25" customHeight="1">
      <c r="A3196" s="8" t="s">
        <v>3030</v>
      </c>
      <c r="B3196" s="8">
        <v>8.0</v>
      </c>
      <c r="C3196" s="4"/>
      <c r="D3196" s="31"/>
      <c r="E3196" s="4"/>
      <c r="F3196" s="15"/>
      <c r="G3196" s="4"/>
    </row>
    <row r="3197" ht="14.25" customHeight="1">
      <c r="A3197" s="8" t="s">
        <v>6408</v>
      </c>
      <c r="B3197" s="8">
        <v>5.2</v>
      </c>
      <c r="C3197" s="4"/>
      <c r="D3197" s="31"/>
      <c r="E3197" s="4"/>
      <c r="F3197" s="15"/>
      <c r="G3197" s="4"/>
    </row>
    <row r="3198" ht="14.25" customHeight="1">
      <c r="A3198" s="8" t="s">
        <v>25</v>
      </c>
      <c r="B3198" s="8">
        <v>8.5</v>
      </c>
      <c r="C3198" s="4"/>
      <c r="D3198" s="31"/>
      <c r="E3198" s="4"/>
      <c r="F3198" s="15"/>
      <c r="G3198" s="4"/>
    </row>
    <row r="3199" ht="14.25" customHeight="1">
      <c r="A3199" s="8" t="s">
        <v>6411</v>
      </c>
      <c r="B3199" s="8">
        <v>6.5</v>
      </c>
      <c r="C3199" s="4"/>
      <c r="D3199" s="31"/>
      <c r="E3199" s="4"/>
      <c r="F3199" s="15"/>
      <c r="G3199" s="4"/>
    </row>
    <row r="3200" ht="14.25" customHeight="1">
      <c r="A3200" s="8" t="s">
        <v>2839</v>
      </c>
      <c r="B3200" s="8">
        <v>7.4</v>
      </c>
      <c r="C3200" s="4"/>
      <c r="D3200" s="31"/>
      <c r="E3200" s="4"/>
      <c r="F3200" s="15"/>
      <c r="G3200" s="4"/>
    </row>
    <row r="3201" ht="14.25" customHeight="1">
      <c r="A3201" s="8" t="s">
        <v>2635</v>
      </c>
      <c r="B3201" s="8">
        <v>7.7</v>
      </c>
      <c r="C3201" s="4"/>
      <c r="D3201" s="31"/>
      <c r="E3201" s="4"/>
      <c r="F3201" s="15"/>
      <c r="G3201" s="4"/>
    </row>
    <row r="3202" ht="14.25" customHeight="1">
      <c r="A3202" s="8" t="s">
        <v>6416</v>
      </c>
      <c r="B3202" s="8">
        <v>7.4</v>
      </c>
      <c r="C3202" s="4"/>
      <c r="D3202" s="31"/>
      <c r="E3202" s="4"/>
      <c r="F3202" s="15"/>
      <c r="G3202" s="4"/>
    </row>
    <row r="3203" ht="14.25" customHeight="1">
      <c r="A3203" s="8" t="s">
        <v>6418</v>
      </c>
      <c r="B3203" s="8">
        <v>5.1</v>
      </c>
      <c r="C3203" s="4"/>
      <c r="D3203" s="31"/>
      <c r="E3203" s="4"/>
      <c r="F3203" s="15"/>
      <c r="G3203" s="4"/>
    </row>
    <row r="3204" ht="14.25" customHeight="1">
      <c r="A3204" s="8" t="s">
        <v>6421</v>
      </c>
      <c r="B3204" s="8">
        <v>5.0</v>
      </c>
      <c r="C3204" s="4"/>
      <c r="D3204" s="31"/>
      <c r="E3204" s="4"/>
      <c r="F3204" s="15"/>
      <c r="G3204" s="4"/>
    </row>
    <row r="3205" ht="14.25" customHeight="1">
      <c r="A3205" s="8" t="s">
        <v>1057</v>
      </c>
      <c r="B3205" s="8">
        <v>7.2</v>
      </c>
      <c r="C3205" s="4"/>
      <c r="D3205" s="31"/>
      <c r="E3205" s="4"/>
      <c r="F3205" s="15"/>
      <c r="G3205" s="4"/>
    </row>
    <row r="3206" ht="14.25" customHeight="1">
      <c r="A3206" s="8" t="s">
        <v>6425</v>
      </c>
      <c r="B3206" s="8">
        <v>6.4</v>
      </c>
      <c r="C3206" s="4"/>
      <c r="D3206" s="31"/>
      <c r="E3206" s="4"/>
      <c r="F3206" s="15"/>
      <c r="G3206" s="4"/>
    </row>
    <row r="3207" ht="14.25" customHeight="1">
      <c r="A3207" s="8" t="s">
        <v>6427</v>
      </c>
      <c r="B3207" s="8">
        <v>5.6</v>
      </c>
      <c r="C3207" s="4"/>
      <c r="D3207" s="31"/>
      <c r="E3207" s="4"/>
      <c r="F3207" s="15"/>
      <c r="G3207" s="4"/>
    </row>
    <row r="3208" ht="14.25" customHeight="1">
      <c r="A3208" s="8" t="s">
        <v>5359</v>
      </c>
      <c r="B3208" s="8">
        <v>6.1</v>
      </c>
      <c r="C3208" s="4"/>
      <c r="D3208" s="31"/>
      <c r="E3208" s="4"/>
      <c r="F3208" s="15"/>
      <c r="G3208" s="4"/>
    </row>
    <row r="3209" ht="14.25" customHeight="1">
      <c r="A3209" s="8" t="s">
        <v>4543</v>
      </c>
      <c r="B3209" s="8">
        <v>5.2</v>
      </c>
      <c r="C3209" s="4"/>
      <c r="D3209" s="31"/>
      <c r="E3209" s="4"/>
      <c r="F3209" s="15"/>
      <c r="G3209" s="4"/>
    </row>
    <row r="3210" ht="14.25" customHeight="1">
      <c r="A3210" s="8" t="s">
        <v>4643</v>
      </c>
      <c r="B3210" s="8">
        <v>7.3</v>
      </c>
      <c r="C3210" s="4"/>
      <c r="D3210" s="31"/>
      <c r="E3210" s="4"/>
      <c r="F3210" s="15"/>
      <c r="G3210" s="4"/>
    </row>
    <row r="3211" ht="14.25" customHeight="1">
      <c r="A3211" s="8" t="s">
        <v>6433</v>
      </c>
      <c r="B3211" s="8">
        <v>7.5</v>
      </c>
      <c r="C3211" s="4"/>
      <c r="D3211" s="31"/>
      <c r="E3211" s="4"/>
      <c r="F3211" s="15"/>
      <c r="G3211" s="4"/>
    </row>
    <row r="3212" ht="14.25" customHeight="1">
      <c r="A3212" s="8" t="s">
        <v>6435</v>
      </c>
      <c r="B3212" s="8">
        <v>4.5</v>
      </c>
      <c r="C3212" s="4"/>
      <c r="D3212" s="31"/>
      <c r="E3212" s="4"/>
      <c r="F3212" s="15"/>
      <c r="G3212" s="4"/>
    </row>
    <row r="3213" ht="14.25" customHeight="1">
      <c r="A3213" s="8" t="s">
        <v>2319</v>
      </c>
      <c r="B3213" s="8">
        <v>6.6</v>
      </c>
      <c r="C3213" s="4"/>
      <c r="D3213" s="31"/>
      <c r="E3213" s="4"/>
      <c r="F3213" s="15"/>
      <c r="G3213" s="4"/>
    </row>
    <row r="3214" ht="14.25" customHeight="1">
      <c r="A3214" s="8" t="s">
        <v>6440</v>
      </c>
      <c r="B3214" s="8">
        <v>5.3</v>
      </c>
      <c r="C3214" s="4"/>
      <c r="D3214" s="31"/>
      <c r="E3214" s="4"/>
      <c r="F3214" s="15"/>
      <c r="G3214" s="4"/>
    </row>
    <row r="3215" ht="14.25" customHeight="1">
      <c r="A3215" s="8" t="s">
        <v>6442</v>
      </c>
      <c r="B3215" s="8">
        <v>4.9</v>
      </c>
      <c r="C3215" s="4"/>
      <c r="D3215" s="31"/>
      <c r="E3215" s="4"/>
      <c r="F3215" s="15"/>
      <c r="G3215" s="4"/>
    </row>
    <row r="3216" ht="14.25" customHeight="1">
      <c r="A3216" s="8" t="s">
        <v>510</v>
      </c>
      <c r="B3216" s="8">
        <v>7.7</v>
      </c>
      <c r="C3216" s="4"/>
      <c r="D3216" s="31"/>
      <c r="E3216" s="4"/>
      <c r="F3216" s="15"/>
      <c r="G3216" s="4"/>
    </row>
    <row r="3217" ht="14.25" customHeight="1">
      <c r="A3217" s="8" t="s">
        <v>1030</v>
      </c>
      <c r="B3217" s="8">
        <v>8.0</v>
      </c>
      <c r="C3217" s="4"/>
      <c r="D3217" s="31"/>
      <c r="E3217" s="4"/>
      <c r="F3217" s="15"/>
      <c r="G3217" s="4"/>
    </row>
    <row r="3218" ht="14.25" customHeight="1">
      <c r="A3218" s="8" t="s">
        <v>6448</v>
      </c>
      <c r="B3218" s="8">
        <v>3.8</v>
      </c>
      <c r="C3218" s="4"/>
      <c r="D3218" s="31"/>
      <c r="E3218" s="4"/>
      <c r="F3218" s="15"/>
      <c r="G3218" s="4"/>
    </row>
    <row r="3219" ht="14.25" customHeight="1">
      <c r="A3219" s="8" t="s">
        <v>5917</v>
      </c>
      <c r="B3219" s="8">
        <v>7.6</v>
      </c>
      <c r="C3219" s="4"/>
      <c r="D3219" s="31"/>
      <c r="E3219" s="4"/>
      <c r="F3219" s="15"/>
      <c r="G3219" s="4"/>
    </row>
    <row r="3220" ht="14.25" customHeight="1">
      <c r="A3220" s="8" t="s">
        <v>3756</v>
      </c>
      <c r="B3220" s="8">
        <v>5.9</v>
      </c>
      <c r="C3220" s="4"/>
      <c r="D3220" s="31"/>
      <c r="E3220" s="4"/>
      <c r="F3220" s="15"/>
      <c r="G3220" s="4"/>
    </row>
    <row r="3221" ht="14.25" customHeight="1">
      <c r="A3221" s="8" t="s">
        <v>6453</v>
      </c>
      <c r="B3221" s="8">
        <v>6.2</v>
      </c>
      <c r="C3221" s="4"/>
      <c r="D3221" s="31"/>
      <c r="E3221" s="4"/>
      <c r="F3221" s="15"/>
      <c r="G3221" s="4"/>
    </row>
    <row r="3222" ht="14.25" customHeight="1">
      <c r="A3222" s="8" t="s">
        <v>1274</v>
      </c>
      <c r="B3222" s="8">
        <v>7.2</v>
      </c>
      <c r="C3222" s="4"/>
      <c r="D3222" s="31"/>
      <c r="E3222" s="4"/>
      <c r="F3222" s="15"/>
      <c r="G3222" s="4"/>
    </row>
    <row r="3223" ht="14.25" customHeight="1">
      <c r="A3223" s="8" t="s">
        <v>6456</v>
      </c>
      <c r="B3223" s="8">
        <v>6.3</v>
      </c>
      <c r="C3223" s="4"/>
      <c r="D3223" s="31"/>
      <c r="E3223" s="4"/>
      <c r="F3223" s="15"/>
      <c r="G3223" s="4"/>
    </row>
    <row r="3224" ht="14.25" customHeight="1">
      <c r="A3224" s="8" t="s">
        <v>6458</v>
      </c>
      <c r="B3224" s="8">
        <v>5.2</v>
      </c>
      <c r="C3224" s="4"/>
      <c r="D3224" s="31"/>
      <c r="E3224" s="4"/>
      <c r="F3224" s="15"/>
      <c r="G3224" s="4"/>
    </row>
    <row r="3225" ht="14.25" customHeight="1">
      <c r="A3225" s="8" t="s">
        <v>6461</v>
      </c>
      <c r="B3225" s="8">
        <v>6.9</v>
      </c>
      <c r="C3225" s="4"/>
      <c r="D3225" s="31"/>
      <c r="E3225" s="4"/>
      <c r="F3225" s="15"/>
      <c r="G3225" s="4"/>
    </row>
    <row r="3226" ht="14.25" customHeight="1">
      <c r="A3226" s="8" t="s">
        <v>5359</v>
      </c>
      <c r="B3226" s="8">
        <v>6.8</v>
      </c>
      <c r="C3226" s="4"/>
      <c r="D3226" s="31"/>
      <c r="E3226" s="4"/>
      <c r="F3226" s="15"/>
      <c r="G3226" s="4"/>
    </row>
    <row r="3227" ht="14.25" customHeight="1">
      <c r="A3227" s="8" t="s">
        <v>6465</v>
      </c>
      <c r="B3227" s="8">
        <v>3.5</v>
      </c>
      <c r="C3227" s="4"/>
      <c r="D3227" s="31"/>
      <c r="E3227" s="4"/>
      <c r="F3227" s="15"/>
      <c r="G3227" s="4"/>
    </row>
    <row r="3228" ht="14.25" customHeight="1">
      <c r="A3228" s="8" t="s">
        <v>2051</v>
      </c>
      <c r="B3228" s="8">
        <v>6.1</v>
      </c>
      <c r="C3228" s="4"/>
      <c r="D3228" s="31"/>
      <c r="E3228" s="4"/>
      <c r="F3228" s="15"/>
      <c r="G3228" s="4"/>
    </row>
    <row r="3229" ht="14.25" customHeight="1">
      <c r="A3229" s="8" t="s">
        <v>4543</v>
      </c>
      <c r="B3229" s="8">
        <v>4.5</v>
      </c>
      <c r="C3229" s="4"/>
      <c r="D3229" s="31"/>
      <c r="E3229" s="4"/>
      <c r="F3229" s="15"/>
      <c r="G3229" s="4"/>
    </row>
    <row r="3230" ht="14.25" customHeight="1">
      <c r="A3230" s="8" t="s">
        <v>6470</v>
      </c>
      <c r="B3230" s="8">
        <v>5.9</v>
      </c>
      <c r="C3230" s="4"/>
      <c r="D3230" s="31"/>
      <c r="E3230" s="4"/>
      <c r="F3230" s="15"/>
      <c r="G3230" s="4"/>
    </row>
    <row r="3231" ht="14.25" customHeight="1">
      <c r="A3231" s="8" t="s">
        <v>6473</v>
      </c>
      <c r="B3231" s="8">
        <v>6.9</v>
      </c>
      <c r="C3231" s="4"/>
      <c r="D3231" s="31"/>
      <c r="E3231" s="4"/>
      <c r="F3231" s="15"/>
      <c r="G3231" s="4"/>
    </row>
    <row r="3232" ht="14.25" customHeight="1">
      <c r="A3232" s="8" t="s">
        <v>6475</v>
      </c>
      <c r="B3232" s="8">
        <v>7.7</v>
      </c>
      <c r="C3232" s="4"/>
      <c r="D3232" s="31"/>
      <c r="E3232" s="4"/>
      <c r="F3232" s="15"/>
      <c r="G3232" s="4"/>
    </row>
    <row r="3233" ht="14.25" customHeight="1">
      <c r="A3233" s="8" t="s">
        <v>6478</v>
      </c>
      <c r="B3233" s="8">
        <v>5.3</v>
      </c>
      <c r="C3233" s="4"/>
      <c r="D3233" s="31"/>
      <c r="E3233" s="4"/>
      <c r="F3233" s="15"/>
      <c r="G3233" s="4"/>
    </row>
    <row r="3234" ht="14.25" customHeight="1">
      <c r="A3234" s="8" t="s">
        <v>6481</v>
      </c>
      <c r="B3234" s="8">
        <v>7.0</v>
      </c>
      <c r="C3234" s="4"/>
      <c r="D3234" s="31"/>
      <c r="E3234" s="4"/>
      <c r="F3234" s="15"/>
      <c r="G3234" s="4"/>
    </row>
    <row r="3235" ht="14.25" customHeight="1">
      <c r="A3235" s="8" t="s">
        <v>6484</v>
      </c>
      <c r="B3235" s="8">
        <v>6.6</v>
      </c>
      <c r="C3235" s="4"/>
      <c r="D3235" s="31"/>
      <c r="E3235" s="4"/>
      <c r="F3235" s="15"/>
      <c r="G3235" s="4"/>
    </row>
    <row r="3236" ht="14.25" customHeight="1">
      <c r="A3236" s="8" t="s">
        <v>206</v>
      </c>
      <c r="B3236" s="8">
        <v>6.4</v>
      </c>
      <c r="C3236" s="4"/>
      <c r="D3236" s="31"/>
      <c r="E3236" s="4"/>
      <c r="F3236" s="15"/>
      <c r="G3236" s="4"/>
    </row>
    <row r="3237" ht="14.25" customHeight="1">
      <c r="A3237" s="8" t="s">
        <v>311</v>
      </c>
      <c r="B3237" s="8">
        <v>7.9</v>
      </c>
      <c r="C3237" s="4"/>
      <c r="D3237" s="31"/>
      <c r="E3237" s="4"/>
      <c r="F3237" s="15"/>
      <c r="G3237" s="4"/>
    </row>
    <row r="3238" ht="14.25" customHeight="1">
      <c r="A3238" s="8" t="s">
        <v>6488</v>
      </c>
      <c r="B3238" s="8">
        <v>6.9</v>
      </c>
      <c r="C3238" s="4"/>
      <c r="D3238" s="31"/>
      <c r="E3238" s="4"/>
      <c r="F3238" s="15"/>
      <c r="G3238" s="4"/>
    </row>
    <row r="3239" ht="14.25" customHeight="1">
      <c r="A3239" s="8" t="s">
        <v>3888</v>
      </c>
      <c r="B3239" s="8">
        <v>7.7</v>
      </c>
      <c r="C3239" s="4"/>
      <c r="D3239" s="31"/>
      <c r="E3239" s="4"/>
      <c r="F3239" s="15"/>
      <c r="G3239" s="4"/>
    </row>
    <row r="3240" ht="14.25" customHeight="1">
      <c r="A3240" s="8" t="s">
        <v>6492</v>
      </c>
      <c r="B3240" s="8">
        <v>7.2</v>
      </c>
      <c r="C3240" s="4"/>
      <c r="D3240" s="31"/>
      <c r="E3240" s="4"/>
      <c r="F3240" s="15"/>
      <c r="G3240" s="4"/>
    </row>
    <row r="3241" ht="14.25" customHeight="1">
      <c r="A3241" s="8" t="s">
        <v>6495</v>
      </c>
      <c r="B3241" s="8">
        <v>6.8</v>
      </c>
      <c r="C3241" s="4"/>
      <c r="D3241" s="31"/>
      <c r="E3241" s="4"/>
      <c r="F3241" s="15"/>
      <c r="G3241" s="4"/>
    </row>
    <row r="3242" ht="14.25" customHeight="1">
      <c r="A3242" s="8" t="s">
        <v>73</v>
      </c>
      <c r="B3242" s="8">
        <v>7.4</v>
      </c>
      <c r="C3242" s="4"/>
      <c r="D3242" s="31"/>
      <c r="E3242" s="4"/>
      <c r="F3242" s="15"/>
      <c r="G3242" s="4"/>
    </row>
    <row r="3243" ht="14.25" customHeight="1">
      <c r="A3243" s="8" t="s">
        <v>5230</v>
      </c>
      <c r="B3243" s="8">
        <v>4.6</v>
      </c>
      <c r="C3243" s="4"/>
      <c r="D3243" s="31"/>
      <c r="E3243" s="4"/>
      <c r="F3243" s="15"/>
      <c r="G3243" s="4"/>
    </row>
    <row r="3244" ht="14.25" customHeight="1">
      <c r="A3244" s="8" t="s">
        <v>6500</v>
      </c>
      <c r="B3244" s="8">
        <v>6.4</v>
      </c>
      <c r="C3244" s="4"/>
      <c r="D3244" s="31"/>
      <c r="E3244" s="4"/>
      <c r="F3244" s="15"/>
      <c r="G3244" s="4"/>
    </row>
    <row r="3245" ht="14.25" customHeight="1">
      <c r="A3245" s="8" t="s">
        <v>2617</v>
      </c>
      <c r="B3245" s="8">
        <v>7.0</v>
      </c>
      <c r="C3245" s="4"/>
      <c r="D3245" s="31"/>
      <c r="E3245" s="4"/>
      <c r="F3245" s="15"/>
      <c r="G3245" s="4"/>
    </row>
    <row r="3246" ht="14.25" customHeight="1">
      <c r="A3246" s="8" t="s">
        <v>5035</v>
      </c>
      <c r="B3246" s="8">
        <v>7.7</v>
      </c>
      <c r="C3246" s="4"/>
      <c r="D3246" s="31"/>
      <c r="E3246" s="4"/>
      <c r="F3246" s="15"/>
      <c r="G3246" s="4"/>
    </row>
    <row r="3247" ht="14.25" customHeight="1">
      <c r="A3247" s="8" t="s">
        <v>6134</v>
      </c>
      <c r="B3247" s="8">
        <v>6.8</v>
      </c>
      <c r="C3247" s="4"/>
      <c r="D3247" s="31"/>
      <c r="E3247" s="4"/>
      <c r="F3247" s="15"/>
      <c r="G3247" s="4"/>
    </row>
    <row r="3248" ht="14.25" customHeight="1">
      <c r="A3248" s="8" t="s">
        <v>6508</v>
      </c>
      <c r="B3248" s="8">
        <v>7.0</v>
      </c>
      <c r="C3248" s="4"/>
      <c r="D3248" s="31"/>
      <c r="E3248" s="4"/>
      <c r="F3248" s="15"/>
      <c r="G3248" s="4"/>
    </row>
    <row r="3249" ht="14.25" customHeight="1">
      <c r="A3249" s="8" t="s">
        <v>6298</v>
      </c>
      <c r="B3249" s="8">
        <v>7.0</v>
      </c>
      <c r="C3249" s="4"/>
      <c r="D3249" s="31"/>
      <c r="E3249" s="4"/>
      <c r="F3249" s="15"/>
      <c r="G3249" s="4"/>
    </row>
    <row r="3250" ht="14.25" customHeight="1">
      <c r="A3250" s="8" t="s">
        <v>6512</v>
      </c>
      <c r="B3250" s="8">
        <v>6.3</v>
      </c>
      <c r="C3250" s="4"/>
      <c r="D3250" s="31"/>
      <c r="E3250" s="4"/>
      <c r="F3250" s="15"/>
      <c r="G3250" s="4"/>
    </row>
    <row r="3251" ht="14.25" customHeight="1">
      <c r="A3251" s="8" t="s">
        <v>6514</v>
      </c>
      <c r="B3251" s="8">
        <v>7.1</v>
      </c>
      <c r="C3251" s="4"/>
      <c r="D3251" s="31"/>
      <c r="E3251" s="4"/>
      <c r="F3251" s="15"/>
      <c r="G3251" s="4"/>
    </row>
    <row r="3252" ht="14.25" customHeight="1">
      <c r="A3252" s="8" t="s">
        <v>6518</v>
      </c>
      <c r="B3252" s="8">
        <v>4.4</v>
      </c>
      <c r="C3252" s="4"/>
      <c r="D3252" s="31"/>
      <c r="E3252" s="4"/>
      <c r="F3252" s="15"/>
      <c r="G3252" s="4"/>
    </row>
    <row r="3253" ht="14.25" customHeight="1">
      <c r="A3253" s="8" t="s">
        <v>2161</v>
      </c>
      <c r="B3253" s="8">
        <v>7.1</v>
      </c>
      <c r="C3253" s="4"/>
      <c r="D3253" s="31"/>
      <c r="E3253" s="4"/>
      <c r="F3253" s="15"/>
      <c r="G3253" s="4"/>
    </row>
    <row r="3254" ht="14.25" customHeight="1">
      <c r="A3254" s="8" t="s">
        <v>52</v>
      </c>
      <c r="B3254" s="8">
        <v>6.1</v>
      </c>
      <c r="C3254" s="4"/>
      <c r="D3254" s="31"/>
      <c r="E3254" s="4"/>
      <c r="F3254" s="15"/>
      <c r="G3254" s="4"/>
    </row>
    <row r="3255" ht="14.25" customHeight="1">
      <c r="A3255" s="8" t="s">
        <v>6522</v>
      </c>
      <c r="B3255" s="8">
        <v>7.3</v>
      </c>
      <c r="C3255" s="4"/>
      <c r="D3255" s="31"/>
      <c r="E3255" s="4"/>
      <c r="F3255" s="15"/>
      <c r="G3255" s="4"/>
    </row>
    <row r="3256" ht="14.25" customHeight="1">
      <c r="A3256" s="8" t="s">
        <v>6524</v>
      </c>
      <c r="B3256" s="8">
        <v>6.2</v>
      </c>
      <c r="C3256" s="4"/>
      <c r="D3256" s="31"/>
      <c r="E3256" s="4"/>
      <c r="F3256" s="15"/>
      <c r="G3256" s="4"/>
    </row>
    <row r="3257" ht="14.25" customHeight="1">
      <c r="A3257" s="8" t="s">
        <v>387</v>
      </c>
      <c r="B3257" s="8">
        <v>6.2</v>
      </c>
      <c r="C3257" s="4"/>
      <c r="D3257" s="31"/>
      <c r="E3257" s="4"/>
      <c r="F3257" s="15"/>
      <c r="G3257" s="4"/>
    </row>
    <row r="3258" ht="14.25" customHeight="1">
      <c r="A3258" s="8" t="s">
        <v>950</v>
      </c>
      <c r="B3258" s="8">
        <v>6.2</v>
      </c>
      <c r="C3258" s="4"/>
      <c r="D3258" s="31"/>
      <c r="E3258" s="4"/>
      <c r="F3258" s="15"/>
      <c r="G3258" s="4"/>
    </row>
    <row r="3259" ht="14.25" customHeight="1">
      <c r="A3259" s="8" t="s">
        <v>6531</v>
      </c>
      <c r="B3259" s="8">
        <v>3.3</v>
      </c>
      <c r="C3259" s="4"/>
      <c r="D3259" s="31"/>
      <c r="E3259" s="4"/>
      <c r="F3259" s="15"/>
      <c r="G3259" s="4"/>
    </row>
    <row r="3260" ht="14.25" customHeight="1">
      <c r="A3260" s="8" t="s">
        <v>6533</v>
      </c>
      <c r="B3260" s="8">
        <v>7.5</v>
      </c>
      <c r="C3260" s="4"/>
      <c r="D3260" s="31"/>
      <c r="E3260" s="4"/>
      <c r="F3260" s="15"/>
      <c r="G3260" s="4"/>
    </row>
    <row r="3261" ht="14.25" customHeight="1">
      <c r="A3261" s="8" t="s">
        <v>6535</v>
      </c>
      <c r="B3261" s="8">
        <v>7.4</v>
      </c>
      <c r="C3261" s="4"/>
      <c r="D3261" s="31"/>
      <c r="E3261" s="4"/>
      <c r="F3261" s="15"/>
      <c r="G3261" s="4"/>
    </row>
    <row r="3262" ht="14.25" customHeight="1">
      <c r="A3262" s="8" t="s">
        <v>6540</v>
      </c>
      <c r="B3262" s="8">
        <v>7.3</v>
      </c>
      <c r="C3262" s="4"/>
      <c r="D3262" s="31"/>
      <c r="E3262" s="4"/>
      <c r="F3262" s="15"/>
      <c r="G3262" s="4"/>
    </row>
    <row r="3263" ht="14.25" customHeight="1">
      <c r="A3263" s="8" t="s">
        <v>2367</v>
      </c>
      <c r="B3263" s="8">
        <v>8.0</v>
      </c>
      <c r="C3263" s="4"/>
      <c r="D3263" s="31"/>
      <c r="E3263" s="4"/>
      <c r="F3263" s="15"/>
      <c r="G3263" s="4"/>
    </row>
    <row r="3264" ht="14.25" customHeight="1">
      <c r="A3264" s="8" t="s">
        <v>6035</v>
      </c>
      <c r="B3264" s="8">
        <v>5.9</v>
      </c>
      <c r="C3264" s="4"/>
      <c r="D3264" s="31"/>
      <c r="E3264" s="4"/>
      <c r="F3264" s="15"/>
      <c r="G3264" s="4"/>
    </row>
    <row r="3265" ht="14.25" customHeight="1">
      <c r="A3265" s="8" t="s">
        <v>4998</v>
      </c>
      <c r="B3265" s="8">
        <v>6.8</v>
      </c>
      <c r="C3265" s="4"/>
      <c r="D3265" s="31"/>
      <c r="E3265" s="4"/>
      <c r="F3265" s="15"/>
      <c r="G3265" s="4"/>
    </row>
    <row r="3266" ht="14.25" customHeight="1">
      <c r="A3266" s="8" t="s">
        <v>4613</v>
      </c>
      <c r="B3266" s="8">
        <v>7.4</v>
      </c>
      <c r="C3266" s="4"/>
      <c r="D3266" s="31"/>
      <c r="E3266" s="4"/>
      <c r="F3266" s="15"/>
      <c r="G3266" s="4"/>
    </row>
    <row r="3267" ht="14.25" customHeight="1">
      <c r="A3267" s="8" t="s">
        <v>6548</v>
      </c>
      <c r="B3267" s="8">
        <v>6.7</v>
      </c>
      <c r="C3267" s="4"/>
      <c r="D3267" s="31"/>
      <c r="E3267" s="4"/>
      <c r="F3267" s="15"/>
      <c r="G3267" s="4"/>
    </row>
    <row r="3268" ht="14.25" customHeight="1">
      <c r="A3268" s="8" t="s">
        <v>2944</v>
      </c>
      <c r="B3268" s="8">
        <v>5.5</v>
      </c>
      <c r="C3268" s="4"/>
      <c r="D3268" s="31"/>
      <c r="E3268" s="4"/>
      <c r="F3268" s="15"/>
      <c r="G3268" s="4"/>
    </row>
    <row r="3269" ht="14.25" customHeight="1">
      <c r="A3269" s="8" t="s">
        <v>4903</v>
      </c>
      <c r="B3269" s="8">
        <v>5.7</v>
      </c>
      <c r="C3269" s="4"/>
      <c r="D3269" s="31"/>
      <c r="E3269" s="4"/>
      <c r="F3269" s="15"/>
      <c r="G3269" s="4"/>
    </row>
    <row r="3270" ht="14.25" customHeight="1">
      <c r="A3270" s="8" t="s">
        <v>6554</v>
      </c>
      <c r="B3270" s="8">
        <v>7.2</v>
      </c>
      <c r="C3270" s="4"/>
      <c r="D3270" s="31"/>
      <c r="E3270" s="4"/>
      <c r="F3270" s="15"/>
      <c r="G3270" s="4"/>
    </row>
    <row r="3271" ht="14.25" customHeight="1">
      <c r="A3271" s="8" t="s">
        <v>6557</v>
      </c>
      <c r="B3271" s="8">
        <v>5.9</v>
      </c>
      <c r="C3271" s="4"/>
      <c r="D3271" s="31"/>
      <c r="E3271" s="4"/>
      <c r="F3271" s="15"/>
      <c r="G3271" s="4"/>
    </row>
    <row r="3272" ht="14.25" customHeight="1">
      <c r="A3272" s="8" t="s">
        <v>2976</v>
      </c>
      <c r="B3272" s="8">
        <v>6.7</v>
      </c>
      <c r="C3272" s="4"/>
      <c r="D3272" s="31"/>
      <c r="E3272" s="4"/>
      <c r="F3272" s="15"/>
      <c r="G3272" s="4"/>
    </row>
    <row r="3273" ht="14.25" customHeight="1">
      <c r="A3273" s="8" t="s">
        <v>161</v>
      </c>
      <c r="B3273" s="8">
        <v>7.1</v>
      </c>
      <c r="C3273" s="4"/>
      <c r="D3273" s="31"/>
      <c r="E3273" s="4"/>
      <c r="F3273" s="15"/>
      <c r="G3273" s="4"/>
    </row>
    <row r="3274" ht="14.25" customHeight="1">
      <c r="A3274" s="8" t="s">
        <v>2048</v>
      </c>
      <c r="B3274" s="8">
        <v>7.7</v>
      </c>
      <c r="C3274" s="4"/>
      <c r="D3274" s="31"/>
      <c r="E3274" s="4"/>
      <c r="F3274" s="15"/>
      <c r="G3274" s="4"/>
    </row>
    <row r="3275" ht="14.25" customHeight="1">
      <c r="A3275" s="8" t="s">
        <v>190</v>
      </c>
      <c r="B3275" s="8">
        <v>7.4</v>
      </c>
      <c r="C3275" s="4"/>
      <c r="D3275" s="31"/>
      <c r="E3275" s="4"/>
      <c r="F3275" s="15"/>
      <c r="G3275" s="4"/>
    </row>
    <row r="3276" ht="14.25" customHeight="1">
      <c r="A3276" s="8" t="s">
        <v>505</v>
      </c>
      <c r="B3276" s="8">
        <v>8.4</v>
      </c>
      <c r="C3276" s="4"/>
      <c r="D3276" s="31"/>
      <c r="E3276" s="4"/>
      <c r="F3276" s="15"/>
      <c r="G3276" s="4"/>
    </row>
    <row r="3277" ht="14.25" customHeight="1">
      <c r="A3277" s="8" t="s">
        <v>6565</v>
      </c>
      <c r="B3277" s="8">
        <v>7.2</v>
      </c>
      <c r="C3277" s="4"/>
      <c r="D3277" s="31"/>
      <c r="E3277" s="4"/>
      <c r="F3277" s="15"/>
      <c r="G3277" s="4"/>
    </row>
    <row r="3278" ht="14.25" customHeight="1">
      <c r="A3278" s="8" t="s">
        <v>6569</v>
      </c>
      <c r="B3278" s="8">
        <v>5.4</v>
      </c>
      <c r="C3278" s="4"/>
      <c r="D3278" s="31"/>
      <c r="E3278" s="4"/>
      <c r="F3278" s="15"/>
      <c r="G3278" s="4"/>
    </row>
    <row r="3279" ht="14.25" customHeight="1">
      <c r="A3279" s="8" t="s">
        <v>3819</v>
      </c>
      <c r="B3279" s="8">
        <v>8.1</v>
      </c>
      <c r="C3279" s="4"/>
      <c r="D3279" s="31"/>
      <c r="E3279" s="4"/>
      <c r="F3279" s="15"/>
      <c r="G3279" s="4"/>
    </row>
    <row r="3280" ht="14.25" customHeight="1">
      <c r="A3280" s="8" t="s">
        <v>6573</v>
      </c>
      <c r="B3280" s="8">
        <v>7.8</v>
      </c>
      <c r="C3280" s="4"/>
      <c r="D3280" s="31"/>
      <c r="E3280" s="4"/>
      <c r="F3280" s="15"/>
      <c r="G3280" s="4"/>
    </row>
    <row r="3281" ht="14.25" customHeight="1">
      <c r="A3281" s="8" t="s">
        <v>6576</v>
      </c>
      <c r="B3281" s="8">
        <v>6.8</v>
      </c>
      <c r="C3281" s="4"/>
      <c r="D3281" s="31"/>
      <c r="E3281" s="4"/>
      <c r="F3281" s="15"/>
      <c r="G3281" s="4"/>
    </row>
    <row r="3282" ht="14.25" customHeight="1">
      <c r="A3282" s="8" t="s">
        <v>5442</v>
      </c>
      <c r="B3282" s="8">
        <v>7.7</v>
      </c>
      <c r="C3282" s="4"/>
      <c r="D3282" s="31"/>
      <c r="E3282" s="4"/>
      <c r="F3282" s="15"/>
      <c r="G3282" s="4"/>
    </row>
    <row r="3283" ht="14.25" customHeight="1">
      <c r="A3283" s="8" t="s">
        <v>6579</v>
      </c>
      <c r="B3283" s="8">
        <v>6.5</v>
      </c>
      <c r="C3283" s="4"/>
      <c r="D3283" s="31"/>
      <c r="E3283" s="4"/>
      <c r="F3283" s="15"/>
      <c r="G3283" s="4"/>
    </row>
    <row r="3284" ht="14.25" customHeight="1">
      <c r="A3284" s="8" t="s">
        <v>6581</v>
      </c>
      <c r="B3284" s="8">
        <v>7.3</v>
      </c>
      <c r="C3284" s="4"/>
      <c r="D3284" s="31"/>
      <c r="E3284" s="4"/>
      <c r="F3284" s="15"/>
      <c r="G3284" s="4"/>
    </row>
    <row r="3285" ht="14.25" customHeight="1">
      <c r="A3285" s="8" t="s">
        <v>6584</v>
      </c>
      <c r="B3285" s="8">
        <v>5.9</v>
      </c>
      <c r="C3285" s="4"/>
      <c r="D3285" s="31"/>
      <c r="E3285" s="4"/>
      <c r="F3285" s="15"/>
      <c r="G3285" s="4"/>
    </row>
    <row r="3286" ht="14.25" customHeight="1">
      <c r="A3286" s="8" t="s">
        <v>2003</v>
      </c>
      <c r="B3286" s="8">
        <v>8.7</v>
      </c>
      <c r="C3286" s="4"/>
      <c r="D3286" s="31"/>
      <c r="E3286" s="4"/>
      <c r="F3286" s="15"/>
      <c r="G3286" s="4"/>
    </row>
    <row r="3287" ht="14.25" customHeight="1">
      <c r="A3287" s="8" t="s">
        <v>6588</v>
      </c>
      <c r="B3287" s="8">
        <v>5.8</v>
      </c>
      <c r="C3287" s="4"/>
      <c r="D3287" s="31"/>
      <c r="E3287" s="4"/>
      <c r="F3287" s="15"/>
      <c r="G3287" s="4"/>
    </row>
    <row r="3288" ht="14.25" customHeight="1">
      <c r="A3288" s="8" t="s">
        <v>6590</v>
      </c>
      <c r="B3288" s="8">
        <v>6.1</v>
      </c>
      <c r="C3288" s="4"/>
      <c r="D3288" s="31"/>
      <c r="E3288" s="4"/>
      <c r="F3288" s="15"/>
      <c r="G3288" s="4"/>
    </row>
    <row r="3289" ht="14.25" customHeight="1">
      <c r="A3289" s="8" t="s">
        <v>3377</v>
      </c>
      <c r="B3289" s="8">
        <v>7.6</v>
      </c>
      <c r="C3289" s="4"/>
      <c r="D3289" s="31"/>
      <c r="E3289" s="4"/>
      <c r="F3289" s="15"/>
      <c r="G3289" s="4"/>
    </row>
    <row r="3290" ht="14.25" customHeight="1">
      <c r="A3290" s="8" t="s">
        <v>6593</v>
      </c>
      <c r="B3290" s="8">
        <v>7.2</v>
      </c>
      <c r="C3290" s="4"/>
      <c r="D3290" s="31"/>
      <c r="E3290" s="4"/>
      <c r="F3290" s="15"/>
      <c r="G3290" s="4"/>
    </row>
    <row r="3291" ht="14.25" customHeight="1">
      <c r="A3291" s="8" t="s">
        <v>399</v>
      </c>
      <c r="B3291" s="8">
        <v>5.8</v>
      </c>
      <c r="C3291" s="4"/>
      <c r="D3291" s="31"/>
      <c r="E3291" s="4"/>
      <c r="F3291" s="15"/>
      <c r="G3291" s="4"/>
    </row>
    <row r="3292" ht="14.25" customHeight="1">
      <c r="A3292" s="8" t="s">
        <v>1230</v>
      </c>
      <c r="B3292" s="8">
        <v>6.5</v>
      </c>
      <c r="C3292" s="4"/>
      <c r="D3292" s="31"/>
      <c r="E3292" s="4"/>
      <c r="F3292" s="15"/>
      <c r="G3292" s="4"/>
    </row>
    <row r="3293" ht="14.25" customHeight="1">
      <c r="A3293" s="8" t="s">
        <v>2038</v>
      </c>
      <c r="B3293" s="8">
        <v>7.3</v>
      </c>
      <c r="C3293" s="4"/>
      <c r="D3293" s="31"/>
      <c r="E3293" s="4"/>
      <c r="F3293" s="15"/>
      <c r="G3293" s="4"/>
    </row>
    <row r="3294" ht="14.25" customHeight="1">
      <c r="A3294" s="8" t="s">
        <v>4355</v>
      </c>
      <c r="B3294" s="8">
        <v>6.2</v>
      </c>
      <c r="C3294" s="4"/>
      <c r="D3294" s="31"/>
      <c r="E3294" s="4"/>
      <c r="F3294" s="15"/>
      <c r="G3294" s="4"/>
    </row>
    <row r="3295" ht="14.25" customHeight="1">
      <c r="A3295" s="8" t="s">
        <v>4496</v>
      </c>
      <c r="B3295" s="8">
        <v>5.0</v>
      </c>
      <c r="C3295" s="4"/>
      <c r="D3295" s="31"/>
      <c r="E3295" s="4"/>
      <c r="F3295" s="15"/>
      <c r="G3295" s="4"/>
    </row>
    <row r="3296" ht="14.25" customHeight="1">
      <c r="A3296" s="8" t="s">
        <v>2677</v>
      </c>
      <c r="B3296" s="8">
        <v>7.8</v>
      </c>
      <c r="C3296" s="4"/>
      <c r="D3296" s="31"/>
      <c r="E3296" s="4"/>
      <c r="F3296" s="15"/>
      <c r="G3296" s="4"/>
    </row>
    <row r="3297" ht="14.25" customHeight="1">
      <c r="A3297" s="8" t="s">
        <v>3268</v>
      </c>
      <c r="B3297" s="8">
        <v>8.1</v>
      </c>
      <c r="C3297" s="4"/>
      <c r="D3297" s="31"/>
      <c r="E3297" s="4"/>
      <c r="F3297" s="15"/>
      <c r="G3297" s="4"/>
    </row>
    <row r="3298" ht="14.25" customHeight="1">
      <c r="A3298" s="8" t="s">
        <v>6607</v>
      </c>
      <c r="B3298" s="8">
        <v>6.7</v>
      </c>
      <c r="C3298" s="4"/>
      <c r="D3298" s="31"/>
      <c r="E3298" s="4"/>
      <c r="F3298" s="15"/>
      <c r="G3298" s="4"/>
    </row>
    <row r="3299" ht="14.25" customHeight="1">
      <c r="A3299" s="8" t="s">
        <v>80</v>
      </c>
      <c r="B3299" s="8">
        <v>6.1</v>
      </c>
      <c r="C3299" s="4"/>
      <c r="D3299" s="31"/>
      <c r="E3299" s="4"/>
      <c r="F3299" s="15"/>
      <c r="G3299" s="4"/>
    </row>
    <row r="3300" ht="14.25" customHeight="1">
      <c r="A3300" s="8" t="s">
        <v>54</v>
      </c>
      <c r="B3300" s="8">
        <v>7.1</v>
      </c>
      <c r="C3300" s="4"/>
      <c r="D3300" s="31"/>
      <c r="E3300" s="4"/>
      <c r="F3300" s="15"/>
      <c r="G3300" s="4"/>
    </row>
    <row r="3301" ht="14.25" customHeight="1">
      <c r="A3301" s="8" t="s">
        <v>6611</v>
      </c>
      <c r="B3301" s="8">
        <v>5.6</v>
      </c>
      <c r="C3301" s="4"/>
      <c r="D3301" s="31"/>
      <c r="E3301" s="4"/>
      <c r="F3301" s="15"/>
      <c r="G3301" s="4"/>
    </row>
    <row r="3302" ht="14.25" customHeight="1">
      <c r="A3302" s="8" t="s">
        <v>6613</v>
      </c>
      <c r="B3302" s="8">
        <v>7.6</v>
      </c>
      <c r="C3302" s="4"/>
      <c r="D3302" s="31"/>
      <c r="E3302" s="4"/>
      <c r="F3302" s="15"/>
      <c r="G3302" s="4"/>
    </row>
    <row r="3303" ht="14.25" customHeight="1">
      <c r="A3303" s="8" t="s">
        <v>214</v>
      </c>
      <c r="B3303" s="8">
        <v>4.6</v>
      </c>
      <c r="C3303" s="4"/>
      <c r="D3303" s="31"/>
      <c r="E3303" s="4"/>
      <c r="F3303" s="15"/>
      <c r="G3303" s="4"/>
    </row>
    <row r="3304" ht="14.25" customHeight="1">
      <c r="A3304" s="8" t="s">
        <v>6616</v>
      </c>
      <c r="B3304" s="8">
        <v>7.1</v>
      </c>
      <c r="C3304" s="4"/>
      <c r="D3304" s="31"/>
      <c r="E3304" s="4"/>
      <c r="F3304" s="15"/>
      <c r="G3304" s="4"/>
    </row>
    <row r="3305" ht="14.25" customHeight="1">
      <c r="A3305" s="8" t="s">
        <v>2158</v>
      </c>
      <c r="B3305" s="8">
        <v>7.3</v>
      </c>
      <c r="C3305" s="4"/>
      <c r="D3305" s="31"/>
      <c r="E3305" s="4"/>
      <c r="F3305" s="15"/>
      <c r="G3305" s="4"/>
    </row>
    <row r="3306" ht="14.25" customHeight="1">
      <c r="A3306" s="8" t="s">
        <v>6620</v>
      </c>
      <c r="B3306" s="8">
        <v>4.0</v>
      </c>
      <c r="C3306" s="4"/>
      <c r="D3306" s="31"/>
      <c r="E3306" s="4"/>
      <c r="F3306" s="15"/>
      <c r="G3306" s="4"/>
    </row>
    <row r="3307" ht="14.25" customHeight="1">
      <c r="A3307" s="8" t="s">
        <v>3582</v>
      </c>
      <c r="B3307" s="8">
        <v>8.0</v>
      </c>
      <c r="C3307" s="4"/>
      <c r="D3307" s="31"/>
      <c r="E3307" s="4"/>
      <c r="F3307" s="15"/>
      <c r="G3307" s="4"/>
    </row>
    <row r="3308" ht="14.25" customHeight="1">
      <c r="A3308" s="8" t="s">
        <v>3268</v>
      </c>
      <c r="B3308" s="8">
        <v>6.7</v>
      </c>
      <c r="C3308" s="4"/>
      <c r="D3308" s="31"/>
      <c r="E3308" s="4"/>
      <c r="F3308" s="15"/>
      <c r="G3308" s="4"/>
    </row>
    <row r="3309" ht="14.25" customHeight="1">
      <c r="A3309" s="8" t="s">
        <v>111</v>
      </c>
      <c r="B3309" s="8">
        <v>5.7</v>
      </c>
      <c r="C3309" s="4"/>
      <c r="D3309" s="31"/>
      <c r="E3309" s="4"/>
      <c r="F3309" s="15"/>
      <c r="G3309" s="4"/>
    </row>
    <row r="3310" ht="14.25" customHeight="1">
      <c r="A3310" s="8" t="s">
        <v>6625</v>
      </c>
      <c r="B3310" s="8">
        <v>4.6</v>
      </c>
      <c r="C3310" s="4"/>
      <c r="D3310" s="31"/>
      <c r="E3310" s="4"/>
      <c r="F3310" s="15"/>
      <c r="G3310" s="4"/>
    </row>
    <row r="3311" ht="14.25" customHeight="1">
      <c r="A3311" s="8" t="s">
        <v>6625</v>
      </c>
      <c r="B3311" s="8">
        <v>4.0</v>
      </c>
      <c r="C3311" s="4"/>
      <c r="D3311" s="31"/>
      <c r="E3311" s="4"/>
      <c r="F3311" s="15"/>
      <c r="G3311" s="4"/>
    </row>
    <row r="3312" ht="14.25" customHeight="1">
      <c r="A3312" s="8" t="s">
        <v>4703</v>
      </c>
      <c r="B3312" s="8">
        <v>7.0</v>
      </c>
      <c r="C3312" s="4"/>
      <c r="D3312" s="31"/>
      <c r="E3312" s="4"/>
      <c r="F3312" s="15"/>
      <c r="G3312" s="4"/>
    </row>
    <row r="3313" ht="14.25" customHeight="1">
      <c r="A3313" s="8" t="s">
        <v>6631</v>
      </c>
      <c r="B3313" s="8">
        <v>5.9</v>
      </c>
      <c r="C3313" s="4"/>
      <c r="D3313" s="31"/>
      <c r="E3313" s="4"/>
      <c r="F3313" s="15"/>
      <c r="G3313" s="4"/>
    </row>
    <row r="3314" ht="14.25" customHeight="1">
      <c r="A3314" s="8" t="s">
        <v>2682</v>
      </c>
      <c r="B3314" s="8">
        <v>7.5</v>
      </c>
      <c r="C3314" s="4"/>
      <c r="D3314" s="31"/>
      <c r="E3314" s="4"/>
      <c r="F3314" s="15"/>
      <c r="G3314" s="4"/>
    </row>
    <row r="3315" ht="14.25" customHeight="1">
      <c r="A3315" s="8" t="s">
        <v>6465</v>
      </c>
      <c r="B3315" s="8">
        <v>4.7</v>
      </c>
      <c r="C3315" s="4"/>
      <c r="D3315" s="31"/>
      <c r="E3315" s="4"/>
      <c r="F3315" s="15"/>
      <c r="G3315" s="4"/>
    </row>
    <row r="3316" ht="14.25" customHeight="1">
      <c r="A3316" s="8" t="s">
        <v>6637</v>
      </c>
      <c r="B3316" s="8">
        <v>6.7</v>
      </c>
      <c r="C3316" s="4"/>
      <c r="D3316" s="31"/>
      <c r="E3316" s="4"/>
      <c r="F3316" s="15"/>
      <c r="G3316" s="4"/>
    </row>
    <row r="3317" ht="14.25" customHeight="1">
      <c r="A3317" s="8" t="s">
        <v>6639</v>
      </c>
      <c r="B3317" s="8">
        <v>6.7</v>
      </c>
      <c r="C3317" s="4"/>
      <c r="D3317" s="31"/>
      <c r="E3317" s="4"/>
      <c r="F3317" s="15"/>
      <c r="G3317" s="4"/>
    </row>
    <row r="3318" ht="14.25" customHeight="1">
      <c r="A3318" s="8" t="s">
        <v>4723</v>
      </c>
      <c r="B3318" s="8">
        <v>7.1</v>
      </c>
      <c r="C3318" s="4"/>
      <c r="D3318" s="31"/>
      <c r="E3318" s="4"/>
      <c r="F3318" s="15"/>
      <c r="G3318" s="4"/>
    </row>
    <row r="3319" ht="14.25" customHeight="1">
      <c r="A3319" s="8" t="s">
        <v>6642</v>
      </c>
      <c r="B3319" s="8">
        <v>2.7</v>
      </c>
      <c r="C3319" s="4"/>
      <c r="D3319" s="31"/>
      <c r="E3319" s="4"/>
      <c r="F3319" s="15"/>
      <c r="G3319" s="4"/>
    </row>
    <row r="3320" ht="14.25" customHeight="1">
      <c r="A3320" s="8" t="s">
        <v>324</v>
      </c>
      <c r="B3320" s="8">
        <v>7.3</v>
      </c>
      <c r="C3320" s="4"/>
      <c r="D3320" s="31"/>
      <c r="E3320" s="4"/>
      <c r="F3320" s="15"/>
      <c r="G3320" s="4"/>
    </row>
    <row r="3321" ht="14.25" customHeight="1">
      <c r="A3321" s="8" t="s">
        <v>5416</v>
      </c>
      <c r="B3321" s="8">
        <v>7.6</v>
      </c>
      <c r="C3321" s="4"/>
      <c r="D3321" s="31"/>
      <c r="E3321" s="4"/>
      <c r="F3321" s="15"/>
      <c r="G3321" s="4"/>
    </row>
    <row r="3322" ht="14.25" customHeight="1">
      <c r="A3322" s="8" t="s">
        <v>6646</v>
      </c>
      <c r="B3322" s="8">
        <v>5.8</v>
      </c>
      <c r="C3322" s="4"/>
      <c r="D3322" s="31"/>
      <c r="E3322" s="4"/>
      <c r="F3322" s="15"/>
      <c r="G3322" s="4"/>
    </row>
    <row r="3323" ht="14.25" customHeight="1">
      <c r="A3323" s="8" t="s">
        <v>1803</v>
      </c>
      <c r="B3323" s="8">
        <v>6.5</v>
      </c>
      <c r="C3323" s="4"/>
      <c r="D3323" s="31"/>
      <c r="E3323" s="4"/>
      <c r="F3323" s="15"/>
      <c r="G3323" s="4"/>
    </row>
    <row r="3324" ht="14.25" customHeight="1">
      <c r="A3324" s="8" t="s">
        <v>6649</v>
      </c>
      <c r="B3324" s="8">
        <v>6.6</v>
      </c>
      <c r="C3324" s="4"/>
      <c r="D3324" s="31"/>
      <c r="E3324" s="4"/>
      <c r="F3324" s="15"/>
      <c r="G3324" s="4"/>
    </row>
    <row r="3325" ht="14.25" customHeight="1">
      <c r="A3325" s="8" t="s">
        <v>6651</v>
      </c>
      <c r="B3325" s="8">
        <v>6.9</v>
      </c>
      <c r="C3325" s="4"/>
      <c r="D3325" s="31"/>
      <c r="E3325" s="4"/>
      <c r="F3325" s="15"/>
      <c r="G3325" s="4"/>
    </row>
    <row r="3326" ht="14.25" customHeight="1">
      <c r="A3326" s="8" t="s">
        <v>6654</v>
      </c>
      <c r="B3326" s="8">
        <v>4.8</v>
      </c>
      <c r="C3326" s="4"/>
      <c r="D3326" s="31"/>
      <c r="E3326" s="4"/>
      <c r="F3326" s="15"/>
      <c r="G3326" s="4"/>
    </row>
    <row r="3327" ht="14.25" customHeight="1">
      <c r="A3327" s="8" t="s">
        <v>6656</v>
      </c>
      <c r="B3327" s="8">
        <v>7.0</v>
      </c>
      <c r="C3327" s="4"/>
      <c r="D3327" s="31"/>
      <c r="E3327" s="4"/>
      <c r="F3327" s="15"/>
      <c r="G3327" s="4"/>
    </row>
    <row r="3328" ht="14.25" customHeight="1">
      <c r="A3328" s="8" t="s">
        <v>6613</v>
      </c>
      <c r="B3328" s="8">
        <v>5.4</v>
      </c>
      <c r="C3328" s="4"/>
      <c r="D3328" s="31"/>
      <c r="E3328" s="4"/>
      <c r="F3328" s="15"/>
      <c r="G3328" s="4"/>
    </row>
    <row r="3329" ht="14.25" customHeight="1">
      <c r="A3329" s="8" t="s">
        <v>2176</v>
      </c>
      <c r="B3329" s="8">
        <v>6.9</v>
      </c>
      <c r="C3329" s="4"/>
      <c r="D3329" s="31"/>
      <c r="E3329" s="4"/>
      <c r="F3329" s="15"/>
      <c r="G3329" s="4"/>
    </row>
    <row r="3330" ht="14.25" customHeight="1">
      <c r="A3330" s="8" t="s">
        <v>6660</v>
      </c>
      <c r="B3330" s="8">
        <v>6.6</v>
      </c>
      <c r="C3330" s="4"/>
      <c r="D3330" s="31"/>
      <c r="E3330" s="4"/>
      <c r="F3330" s="15"/>
      <c r="G3330" s="4"/>
    </row>
    <row r="3331" ht="14.25" customHeight="1">
      <c r="A3331" s="8" t="s">
        <v>875</v>
      </c>
      <c r="B3331" s="8">
        <v>5.9</v>
      </c>
      <c r="C3331" s="4"/>
      <c r="D3331" s="31"/>
      <c r="E3331" s="4"/>
      <c r="F3331" s="15"/>
      <c r="G3331" s="4"/>
    </row>
    <row r="3332" ht="14.25" customHeight="1">
      <c r="A3332" s="8" t="s">
        <v>6664</v>
      </c>
      <c r="B3332" s="8">
        <v>6.3</v>
      </c>
      <c r="C3332" s="4"/>
      <c r="D3332" s="31"/>
      <c r="E3332" s="4"/>
      <c r="F3332" s="15"/>
      <c r="G3332" s="4"/>
    </row>
    <row r="3333" ht="14.25" customHeight="1">
      <c r="A3333" s="8" t="s">
        <v>3630</v>
      </c>
      <c r="B3333" s="8">
        <v>6.3</v>
      </c>
      <c r="C3333" s="4"/>
      <c r="D3333" s="31"/>
      <c r="E3333" s="4"/>
      <c r="F3333" s="15"/>
      <c r="G3333" s="4"/>
    </row>
    <row r="3334" ht="14.25" customHeight="1">
      <c r="A3334" s="8" t="s">
        <v>6669</v>
      </c>
      <c r="B3334" s="8">
        <v>7.7</v>
      </c>
      <c r="C3334" s="4"/>
      <c r="D3334" s="31"/>
      <c r="E3334" s="4"/>
      <c r="F3334" s="15"/>
      <c r="G3334" s="4"/>
    </row>
    <row r="3335" ht="14.25" customHeight="1">
      <c r="A3335" s="8" t="s">
        <v>6672</v>
      </c>
      <c r="B3335" s="8">
        <v>7.0</v>
      </c>
      <c r="C3335" s="4"/>
      <c r="D3335" s="31"/>
      <c r="E3335" s="4"/>
      <c r="F3335" s="15"/>
      <c r="G3335" s="4"/>
    </row>
    <row r="3336" ht="14.25" customHeight="1">
      <c r="A3336" s="8" t="s">
        <v>1274</v>
      </c>
      <c r="B3336" s="8">
        <v>6.3</v>
      </c>
      <c r="C3336" s="4"/>
      <c r="D3336" s="31"/>
      <c r="E3336" s="4"/>
      <c r="F3336" s="15"/>
      <c r="G3336" s="4"/>
    </row>
    <row r="3337" ht="14.25" customHeight="1">
      <c r="A3337" s="8" t="s">
        <v>5215</v>
      </c>
      <c r="B3337" s="8">
        <v>5.9</v>
      </c>
      <c r="C3337" s="4"/>
      <c r="D3337" s="31"/>
      <c r="E3337" s="4"/>
      <c r="F3337" s="15"/>
      <c r="G3337" s="4"/>
    </row>
    <row r="3338" ht="14.25" customHeight="1">
      <c r="A3338" s="8" t="s">
        <v>3991</v>
      </c>
      <c r="B3338" s="8">
        <v>6.2</v>
      </c>
      <c r="C3338" s="4"/>
      <c r="D3338" s="31"/>
      <c r="E3338" s="4"/>
      <c r="F3338" s="15"/>
      <c r="G3338" s="4"/>
    </row>
    <row r="3339" ht="14.25" customHeight="1">
      <c r="A3339" s="8" t="s">
        <v>6680</v>
      </c>
      <c r="B3339" s="8">
        <v>7.7</v>
      </c>
      <c r="C3339" s="4"/>
      <c r="D3339" s="31"/>
      <c r="E3339" s="4"/>
      <c r="F3339" s="15"/>
      <c r="G3339" s="4"/>
    </row>
    <row r="3340" ht="14.25" customHeight="1">
      <c r="A3340" s="8" t="s">
        <v>6683</v>
      </c>
      <c r="B3340" s="8">
        <v>6.5</v>
      </c>
      <c r="C3340" s="4"/>
      <c r="D3340" s="31"/>
      <c r="E3340" s="4"/>
      <c r="F3340" s="15"/>
      <c r="G3340" s="4"/>
    </row>
    <row r="3341" ht="14.25" customHeight="1">
      <c r="A3341" s="8" t="s">
        <v>2680</v>
      </c>
      <c r="B3341" s="8">
        <v>5.8</v>
      </c>
      <c r="C3341" s="4"/>
      <c r="D3341" s="31"/>
      <c r="E3341" s="4"/>
      <c r="F3341" s="15"/>
      <c r="G3341" s="4"/>
    </row>
    <row r="3342" ht="14.25" customHeight="1">
      <c r="A3342" s="8" t="s">
        <v>6687</v>
      </c>
      <c r="B3342" s="8">
        <v>6.1</v>
      </c>
      <c r="C3342" s="4"/>
      <c r="D3342" s="31"/>
      <c r="E3342" s="4"/>
      <c r="F3342" s="15"/>
      <c r="G3342" s="4"/>
    </row>
    <row r="3343" ht="14.25" customHeight="1">
      <c r="A3343" s="8" t="s">
        <v>6689</v>
      </c>
      <c r="B3343" s="8">
        <v>5.2</v>
      </c>
      <c r="C3343" s="4"/>
      <c r="D3343" s="31"/>
      <c r="E3343" s="4"/>
      <c r="F3343" s="15"/>
      <c r="G3343" s="4"/>
    </row>
    <row r="3344" ht="14.25" customHeight="1">
      <c r="A3344" s="8" t="s">
        <v>6692</v>
      </c>
      <c r="B3344" s="8">
        <v>8.2</v>
      </c>
      <c r="C3344" s="4"/>
      <c r="D3344" s="31"/>
      <c r="E3344" s="4"/>
      <c r="F3344" s="15"/>
      <c r="G3344" s="4"/>
    </row>
    <row r="3345" ht="14.25" customHeight="1">
      <c r="A3345" s="8" t="s">
        <v>6695</v>
      </c>
      <c r="B3345" s="8">
        <v>6.0</v>
      </c>
      <c r="C3345" s="4"/>
      <c r="D3345" s="31"/>
      <c r="E3345" s="4"/>
      <c r="F3345" s="15"/>
      <c r="G3345" s="4"/>
    </row>
    <row r="3346" ht="14.25" customHeight="1">
      <c r="A3346" s="8" t="s">
        <v>6698</v>
      </c>
      <c r="B3346" s="8">
        <v>6.8</v>
      </c>
      <c r="C3346" s="4"/>
      <c r="D3346" s="31"/>
      <c r="E3346" s="4"/>
      <c r="F3346" s="15"/>
      <c r="G3346" s="4"/>
    </row>
    <row r="3347" ht="14.25" customHeight="1">
      <c r="A3347" s="8" t="s">
        <v>6701</v>
      </c>
      <c r="B3347" s="8">
        <v>7.0</v>
      </c>
      <c r="C3347" s="4"/>
      <c r="D3347" s="31"/>
      <c r="E3347" s="4"/>
      <c r="F3347" s="15"/>
      <c r="G3347" s="4"/>
    </row>
    <row r="3348" ht="14.25" customHeight="1">
      <c r="A3348" s="8" t="s">
        <v>6705</v>
      </c>
      <c r="B3348" s="8">
        <v>6.8</v>
      </c>
      <c r="C3348" s="4"/>
      <c r="D3348" s="31"/>
      <c r="E3348" s="4"/>
      <c r="F3348" s="15"/>
      <c r="G3348" s="4"/>
    </row>
    <row r="3349" ht="14.25" customHeight="1">
      <c r="A3349" s="8" t="s">
        <v>6707</v>
      </c>
      <c r="B3349" s="8">
        <v>7.1</v>
      </c>
      <c r="C3349" s="4"/>
      <c r="D3349" s="31"/>
      <c r="E3349" s="4"/>
      <c r="F3349" s="15"/>
      <c r="G3349" s="4"/>
    </row>
    <row r="3350" ht="14.25" customHeight="1">
      <c r="A3350" s="8" t="s">
        <v>6711</v>
      </c>
      <c r="B3350" s="8">
        <v>6.9</v>
      </c>
      <c r="C3350" s="4"/>
      <c r="D3350" s="31"/>
      <c r="E3350" s="4"/>
      <c r="F3350" s="15"/>
      <c r="G3350" s="4"/>
    </row>
    <row r="3351" ht="14.25" customHeight="1">
      <c r="A3351" s="8" t="s">
        <v>4568</v>
      </c>
      <c r="B3351" s="8">
        <v>6.9</v>
      </c>
      <c r="C3351" s="4"/>
      <c r="D3351" s="31"/>
      <c r="E3351" s="4"/>
      <c r="F3351" s="15"/>
      <c r="G3351" s="4"/>
    </row>
    <row r="3352" ht="14.25" customHeight="1">
      <c r="A3352" s="8" t="s">
        <v>2066</v>
      </c>
      <c r="B3352" s="8">
        <v>6.9</v>
      </c>
      <c r="C3352" s="4"/>
      <c r="D3352" s="31"/>
      <c r="E3352" s="4"/>
      <c r="F3352" s="15"/>
      <c r="G3352" s="4"/>
    </row>
    <row r="3353" ht="14.25" customHeight="1">
      <c r="A3353" s="8" t="s">
        <v>5013</v>
      </c>
      <c r="B3353" s="8">
        <v>7.2</v>
      </c>
      <c r="C3353" s="4"/>
      <c r="D3353" s="31"/>
      <c r="E3353" s="4"/>
      <c r="F3353" s="15"/>
      <c r="G3353" s="4"/>
    </row>
    <row r="3354" ht="14.25" customHeight="1">
      <c r="A3354" s="8" t="s">
        <v>6716</v>
      </c>
      <c r="B3354" s="8">
        <v>7.8</v>
      </c>
      <c r="C3354" s="4"/>
      <c r="D3354" s="31"/>
      <c r="E3354" s="4"/>
      <c r="F3354" s="15"/>
      <c r="G3354" s="4"/>
    </row>
    <row r="3355" ht="14.25" customHeight="1">
      <c r="A3355" s="8" t="s">
        <v>1258</v>
      </c>
      <c r="B3355" s="8">
        <v>7.3</v>
      </c>
      <c r="C3355" s="4"/>
      <c r="D3355" s="31"/>
      <c r="E3355" s="4"/>
      <c r="F3355" s="15"/>
      <c r="G3355" s="4"/>
    </row>
    <row r="3356" ht="14.25" customHeight="1">
      <c r="A3356" s="8" t="s">
        <v>1098</v>
      </c>
      <c r="B3356" s="8">
        <v>7.5</v>
      </c>
      <c r="C3356" s="4"/>
      <c r="D3356" s="31"/>
      <c r="E3356" s="4"/>
      <c r="F3356" s="15"/>
      <c r="G3356" s="4"/>
    </row>
    <row r="3357" ht="14.25" customHeight="1">
      <c r="A3357" s="8" t="s">
        <v>6721</v>
      </c>
      <c r="B3357" s="8">
        <v>6.0</v>
      </c>
      <c r="C3357" s="4"/>
      <c r="D3357" s="31"/>
      <c r="E3357" s="4"/>
      <c r="F3357" s="15"/>
      <c r="G3357" s="4"/>
    </row>
    <row r="3358" ht="14.25" customHeight="1">
      <c r="A3358" s="8" t="s">
        <v>6723</v>
      </c>
      <c r="B3358" s="8">
        <v>6.8</v>
      </c>
      <c r="C3358" s="4"/>
      <c r="D3358" s="31"/>
      <c r="E3358" s="4"/>
      <c r="F3358" s="15"/>
      <c r="G3358" s="4"/>
    </row>
    <row r="3359" ht="14.25" customHeight="1">
      <c r="A3359" s="8" t="s">
        <v>6725</v>
      </c>
      <c r="B3359" s="8">
        <v>3.9</v>
      </c>
      <c r="C3359" s="4"/>
      <c r="D3359" s="31"/>
      <c r="E3359" s="4"/>
      <c r="F3359" s="15"/>
      <c r="G3359" s="4"/>
    </row>
    <row r="3360" ht="14.25" customHeight="1">
      <c r="A3360" s="8" t="s">
        <v>6728</v>
      </c>
      <c r="B3360" s="8">
        <v>6.1</v>
      </c>
      <c r="C3360" s="4"/>
      <c r="D3360" s="31"/>
      <c r="E3360" s="4"/>
      <c r="F3360" s="15"/>
      <c r="G3360" s="4"/>
    </row>
    <row r="3361" ht="14.25" customHeight="1">
      <c r="A3361" s="8" t="s">
        <v>467</v>
      </c>
      <c r="B3361" s="8">
        <v>7.5</v>
      </c>
      <c r="C3361" s="4"/>
      <c r="D3361" s="31"/>
      <c r="E3361" s="4"/>
      <c r="F3361" s="15"/>
      <c r="G3361" s="4"/>
    </row>
    <row r="3362" ht="14.25" customHeight="1">
      <c r="A3362" s="8" t="s">
        <v>6732</v>
      </c>
      <c r="B3362" s="8">
        <v>8.2</v>
      </c>
      <c r="C3362" s="4"/>
      <c r="D3362" s="31"/>
      <c r="E3362" s="4"/>
      <c r="F3362" s="15"/>
      <c r="G3362" s="4"/>
    </row>
    <row r="3363" ht="14.25" customHeight="1">
      <c r="A3363" s="8" t="s">
        <v>33</v>
      </c>
      <c r="B3363" s="8">
        <v>7.8</v>
      </c>
      <c r="C3363" s="4"/>
      <c r="D3363" s="31"/>
      <c r="E3363" s="4"/>
      <c r="F3363" s="15"/>
      <c r="G3363" s="4"/>
    </row>
    <row r="3364" ht="14.25" customHeight="1">
      <c r="A3364" s="8" t="s">
        <v>6737</v>
      </c>
      <c r="B3364" s="8">
        <v>5.2</v>
      </c>
      <c r="C3364" s="4"/>
      <c r="D3364" s="31"/>
      <c r="E3364" s="4"/>
      <c r="F3364" s="15"/>
      <c r="G3364" s="4"/>
    </row>
    <row r="3365" ht="14.25" customHeight="1">
      <c r="A3365" s="8" t="s">
        <v>6741</v>
      </c>
      <c r="B3365" s="8">
        <v>6.8</v>
      </c>
      <c r="C3365" s="4"/>
      <c r="D3365" s="31"/>
      <c r="E3365" s="4"/>
      <c r="F3365" s="15"/>
      <c r="G3365" s="4"/>
    </row>
    <row r="3366" ht="14.25" customHeight="1">
      <c r="A3366" s="8" t="s">
        <v>6744</v>
      </c>
      <c r="B3366" s="8">
        <v>7.0</v>
      </c>
      <c r="C3366" s="4"/>
      <c r="D3366" s="31"/>
      <c r="E3366" s="4"/>
      <c r="F3366" s="15"/>
      <c r="G3366" s="4"/>
    </row>
    <row r="3367" ht="14.25" customHeight="1">
      <c r="A3367" s="8" t="s">
        <v>6748</v>
      </c>
      <c r="B3367" s="8">
        <v>6.5</v>
      </c>
      <c r="C3367" s="4"/>
      <c r="D3367" s="31"/>
      <c r="E3367" s="4"/>
      <c r="F3367" s="15"/>
      <c r="G3367" s="4"/>
    </row>
    <row r="3368" ht="14.25" customHeight="1">
      <c r="A3368" s="8" t="s">
        <v>1912</v>
      </c>
      <c r="B3368" s="8">
        <v>5.7</v>
      </c>
      <c r="C3368" s="4"/>
      <c r="D3368" s="31"/>
      <c r="E3368" s="4"/>
      <c r="F3368" s="15"/>
      <c r="G3368" s="4"/>
    </row>
    <row r="3369" ht="14.25" customHeight="1">
      <c r="A3369" s="8" t="s">
        <v>6750</v>
      </c>
      <c r="B3369" s="8">
        <v>6.4</v>
      </c>
      <c r="C3369" s="4"/>
      <c r="D3369" s="31"/>
      <c r="E3369" s="4"/>
      <c r="F3369" s="15"/>
      <c r="G3369" s="4"/>
    </row>
    <row r="3370" ht="14.25" customHeight="1">
      <c r="A3370" s="8" t="s">
        <v>2077</v>
      </c>
      <c r="B3370" s="8">
        <v>5.3</v>
      </c>
      <c r="C3370" s="4"/>
      <c r="D3370" s="31"/>
      <c r="E3370" s="4"/>
      <c r="F3370" s="15"/>
      <c r="G3370" s="4"/>
    </row>
    <row r="3371" ht="14.25" customHeight="1">
      <c r="A3371" s="8" t="s">
        <v>6753</v>
      </c>
      <c r="B3371" s="8">
        <v>4.7</v>
      </c>
      <c r="C3371" s="4"/>
      <c r="D3371" s="31"/>
      <c r="E3371" s="4"/>
      <c r="F3371" s="15"/>
      <c r="G3371" s="4"/>
    </row>
    <row r="3372" ht="14.25" customHeight="1">
      <c r="A3372" s="8" t="s">
        <v>6757</v>
      </c>
      <c r="B3372" s="8">
        <v>7.0</v>
      </c>
      <c r="C3372" s="4"/>
      <c r="D3372" s="31"/>
      <c r="E3372" s="4"/>
      <c r="F3372" s="15"/>
      <c r="G3372" s="4"/>
    </row>
    <row r="3373" ht="14.25" customHeight="1">
      <c r="A3373" s="8" t="s">
        <v>6760</v>
      </c>
      <c r="B3373" s="8">
        <v>7.6</v>
      </c>
      <c r="C3373" s="4"/>
      <c r="D3373" s="31"/>
      <c r="E3373" s="4"/>
      <c r="F3373" s="15"/>
      <c r="G3373" s="4"/>
    </row>
    <row r="3374" ht="14.25" customHeight="1">
      <c r="A3374" s="8" t="s">
        <v>4392</v>
      </c>
      <c r="B3374" s="8">
        <v>7.1</v>
      </c>
      <c r="C3374" s="4"/>
      <c r="D3374" s="31"/>
      <c r="E3374" s="4"/>
      <c r="F3374" s="15"/>
      <c r="G3374" s="4"/>
    </row>
    <row r="3375" ht="14.25" customHeight="1">
      <c r="A3375" s="8" t="s">
        <v>6763</v>
      </c>
      <c r="B3375" s="8">
        <v>6.5</v>
      </c>
      <c r="C3375" s="4"/>
      <c r="D3375" s="31"/>
      <c r="E3375" s="4"/>
      <c r="F3375" s="15"/>
      <c r="G3375" s="4"/>
    </row>
    <row r="3376" ht="14.25" customHeight="1">
      <c r="A3376" s="8" t="s">
        <v>6765</v>
      </c>
      <c r="B3376" s="8">
        <v>8.5</v>
      </c>
      <c r="C3376" s="4"/>
      <c r="D3376" s="31"/>
      <c r="E3376" s="4"/>
      <c r="F3376" s="15"/>
      <c r="G3376" s="4"/>
    </row>
    <row r="3377" ht="14.25" customHeight="1">
      <c r="A3377" s="8" t="s">
        <v>3655</v>
      </c>
      <c r="B3377" s="8">
        <v>8.7</v>
      </c>
      <c r="C3377" s="4"/>
      <c r="D3377" s="31"/>
      <c r="E3377" s="4"/>
      <c r="F3377" s="15"/>
      <c r="G3377" s="4"/>
    </row>
    <row r="3378" ht="14.25" customHeight="1">
      <c r="A3378" s="8" t="s">
        <v>6768</v>
      </c>
      <c r="B3378" s="8">
        <v>7.1</v>
      </c>
      <c r="C3378" s="4"/>
      <c r="D3378" s="31"/>
      <c r="E3378" s="4"/>
      <c r="F3378" s="15"/>
      <c r="G3378" s="4"/>
    </row>
    <row r="3379" ht="14.25" customHeight="1">
      <c r="A3379" s="8" t="s">
        <v>6016</v>
      </c>
      <c r="B3379" s="8">
        <v>8.3</v>
      </c>
      <c r="C3379" s="4"/>
      <c r="D3379" s="31"/>
      <c r="E3379" s="4"/>
      <c r="F3379" s="15"/>
      <c r="G3379" s="4"/>
    </row>
    <row r="3380" ht="14.25" customHeight="1">
      <c r="A3380" s="8" t="s">
        <v>4380</v>
      </c>
      <c r="B3380" s="8">
        <v>7.4</v>
      </c>
      <c r="C3380" s="4"/>
      <c r="D3380" s="31"/>
      <c r="E3380" s="4"/>
      <c r="F3380" s="15"/>
      <c r="G3380" s="4"/>
    </row>
    <row r="3381" ht="14.25" customHeight="1">
      <c r="A3381" s="8" t="s">
        <v>6774</v>
      </c>
      <c r="B3381" s="8">
        <v>6.4</v>
      </c>
      <c r="C3381" s="4"/>
      <c r="D3381" s="31"/>
      <c r="E3381" s="4"/>
      <c r="F3381" s="15"/>
      <c r="G3381" s="4"/>
    </row>
    <row r="3382" ht="14.25" customHeight="1">
      <c r="A3382" s="8" t="s">
        <v>6776</v>
      </c>
      <c r="B3382" s="8">
        <v>7.5</v>
      </c>
      <c r="C3382" s="4"/>
      <c r="D3382" s="31"/>
      <c r="E3382" s="4"/>
      <c r="F3382" s="15"/>
      <c r="G3382" s="4"/>
    </row>
    <row r="3383" ht="14.25" customHeight="1">
      <c r="A3383" s="8" t="s">
        <v>6649</v>
      </c>
      <c r="B3383" s="8">
        <v>7.2</v>
      </c>
      <c r="C3383" s="4"/>
      <c r="D3383" s="31"/>
      <c r="E3383" s="4"/>
      <c r="F3383" s="15"/>
      <c r="G3383" s="4"/>
    </row>
    <row r="3384" ht="14.25" customHeight="1">
      <c r="A3384" s="8" t="s">
        <v>2114</v>
      </c>
      <c r="B3384" s="8">
        <v>7.6</v>
      </c>
      <c r="C3384" s="4"/>
      <c r="D3384" s="31"/>
      <c r="E3384" s="4"/>
      <c r="F3384" s="15"/>
      <c r="G3384" s="4"/>
    </row>
    <row r="3385" ht="14.25" customHeight="1">
      <c r="A3385" s="8" t="s">
        <v>6072</v>
      </c>
      <c r="B3385" s="8">
        <v>7.8</v>
      </c>
      <c r="C3385" s="4"/>
      <c r="D3385" s="31"/>
      <c r="E3385" s="4"/>
      <c r="F3385" s="15"/>
      <c r="G3385" s="4"/>
    </row>
    <row r="3386" ht="14.25" customHeight="1">
      <c r="A3386" s="8" t="s">
        <v>2132</v>
      </c>
      <c r="B3386" s="8">
        <v>8.2</v>
      </c>
      <c r="C3386" s="4"/>
      <c r="D3386" s="31"/>
      <c r="E3386" s="4"/>
      <c r="F3386" s="15"/>
      <c r="G3386" s="4"/>
    </row>
    <row r="3387" ht="14.25" customHeight="1">
      <c r="A3387" s="8" t="s">
        <v>2048</v>
      </c>
      <c r="B3387" s="8">
        <v>6.6</v>
      </c>
      <c r="C3387" s="4"/>
      <c r="D3387" s="31"/>
      <c r="E3387" s="4"/>
      <c r="F3387" s="15"/>
      <c r="G3387" s="4"/>
    </row>
    <row r="3388" ht="14.25" customHeight="1">
      <c r="A3388" s="8" t="s">
        <v>6785</v>
      </c>
      <c r="B3388" s="8">
        <v>5.7</v>
      </c>
      <c r="C3388" s="4"/>
      <c r="D3388" s="31"/>
      <c r="E3388" s="4"/>
      <c r="F3388" s="15"/>
      <c r="G3388" s="4"/>
    </row>
    <row r="3389" ht="14.25" customHeight="1">
      <c r="A3389" s="8" t="s">
        <v>2829</v>
      </c>
      <c r="B3389" s="8">
        <v>7.4</v>
      </c>
      <c r="C3389" s="4"/>
      <c r="D3389" s="31"/>
      <c r="E3389" s="4"/>
      <c r="F3389" s="15"/>
      <c r="G3389" s="4"/>
    </row>
    <row r="3390" ht="14.25" customHeight="1">
      <c r="A3390" s="8" t="s">
        <v>5855</v>
      </c>
      <c r="B3390" s="8">
        <v>8.0</v>
      </c>
      <c r="C3390" s="4"/>
      <c r="D3390" s="31"/>
      <c r="E3390" s="4"/>
      <c r="F3390" s="15"/>
      <c r="G3390" s="4"/>
    </row>
    <row r="3391" ht="14.25" customHeight="1">
      <c r="A3391" s="8" t="s">
        <v>6791</v>
      </c>
      <c r="B3391" s="8">
        <v>5.4</v>
      </c>
      <c r="C3391" s="4"/>
      <c r="D3391" s="31"/>
      <c r="E3391" s="4"/>
      <c r="F3391" s="15"/>
      <c r="G3391" s="4"/>
    </row>
    <row r="3392" ht="14.25" customHeight="1">
      <c r="A3392" s="8" t="s">
        <v>4809</v>
      </c>
      <c r="B3392" s="8">
        <v>7.4</v>
      </c>
      <c r="C3392" s="4"/>
      <c r="D3392" s="31"/>
      <c r="E3392" s="4"/>
      <c r="F3392" s="15"/>
      <c r="G3392" s="4"/>
    </row>
    <row r="3393" ht="14.25" customHeight="1">
      <c r="A3393" s="8" t="s">
        <v>5580</v>
      </c>
      <c r="B3393" s="8">
        <v>5.7</v>
      </c>
      <c r="C3393" s="4"/>
      <c r="D3393" s="31"/>
      <c r="E3393" s="4"/>
      <c r="F3393" s="15"/>
      <c r="G3393" s="4"/>
    </row>
    <row r="3394" ht="14.25" customHeight="1">
      <c r="A3394" s="8" t="s">
        <v>1111</v>
      </c>
      <c r="B3394" s="8">
        <v>6.8</v>
      </c>
      <c r="C3394" s="4"/>
      <c r="D3394" s="31"/>
      <c r="E3394" s="4"/>
      <c r="F3394" s="15"/>
      <c r="G3394" s="4"/>
    </row>
    <row r="3395" ht="14.25" customHeight="1">
      <c r="A3395" s="8" t="s">
        <v>5001</v>
      </c>
      <c r="B3395" s="8">
        <v>5.4</v>
      </c>
      <c r="C3395" s="4"/>
      <c r="D3395" s="31"/>
      <c r="E3395" s="4"/>
      <c r="F3395" s="15"/>
      <c r="G3395" s="4"/>
    </row>
    <row r="3396" ht="14.25" customHeight="1">
      <c r="A3396" s="8" t="s">
        <v>2843</v>
      </c>
      <c r="B3396" s="8">
        <v>5.1</v>
      </c>
      <c r="C3396" s="4"/>
      <c r="D3396" s="31"/>
      <c r="E3396" s="4"/>
      <c r="F3396" s="15"/>
      <c r="G3396" s="4"/>
    </row>
    <row r="3397" ht="14.25" customHeight="1">
      <c r="A3397" s="8" t="s">
        <v>6803</v>
      </c>
      <c r="B3397" s="8">
        <v>5.9</v>
      </c>
      <c r="C3397" s="4"/>
      <c r="D3397" s="31"/>
      <c r="E3397" s="4"/>
      <c r="F3397" s="15"/>
      <c r="G3397" s="4"/>
    </row>
    <row r="3398" ht="14.25" customHeight="1">
      <c r="A3398" s="8" t="s">
        <v>3552</v>
      </c>
      <c r="B3398" s="8">
        <v>8.2</v>
      </c>
      <c r="C3398" s="4"/>
      <c r="D3398" s="31"/>
      <c r="E3398" s="4"/>
      <c r="F3398" s="15"/>
      <c r="G3398" s="4"/>
    </row>
    <row r="3399" ht="14.25" customHeight="1">
      <c r="A3399" s="8" t="s">
        <v>2184</v>
      </c>
      <c r="B3399" s="8">
        <v>5.3</v>
      </c>
      <c r="C3399" s="4"/>
      <c r="D3399" s="31"/>
      <c r="E3399" s="4"/>
      <c r="F3399" s="15"/>
      <c r="G3399" s="4"/>
    </row>
    <row r="3400" ht="14.25" customHeight="1">
      <c r="A3400" s="8" t="s">
        <v>6808</v>
      </c>
      <c r="B3400" s="8">
        <v>4.3</v>
      </c>
      <c r="C3400" s="4"/>
      <c r="D3400" s="31"/>
      <c r="E3400" s="4"/>
      <c r="F3400" s="15"/>
      <c r="G3400" s="4"/>
    </row>
    <row r="3401" ht="14.25" customHeight="1">
      <c r="A3401" s="8" t="s">
        <v>650</v>
      </c>
      <c r="B3401" s="8">
        <v>7.2</v>
      </c>
      <c r="C3401" s="4"/>
      <c r="D3401" s="31"/>
      <c r="E3401" s="4"/>
      <c r="F3401" s="15"/>
      <c r="G3401" s="4"/>
    </row>
    <row r="3402" ht="14.25" customHeight="1">
      <c r="A3402" s="8" t="s">
        <v>6813</v>
      </c>
      <c r="B3402" s="8">
        <v>5.9</v>
      </c>
      <c r="C3402" s="4"/>
      <c r="D3402" s="31"/>
      <c r="E3402" s="4"/>
      <c r="F3402" s="15"/>
      <c r="G3402" s="4"/>
    </row>
    <row r="3403" ht="14.25" customHeight="1">
      <c r="A3403" s="8" t="s">
        <v>6815</v>
      </c>
      <c r="B3403" s="8">
        <v>3.0</v>
      </c>
      <c r="C3403" s="4"/>
      <c r="D3403" s="31"/>
      <c r="E3403" s="4"/>
      <c r="F3403" s="15"/>
      <c r="G3403" s="4"/>
    </row>
    <row r="3404" ht="14.25" customHeight="1">
      <c r="A3404" s="8" t="s">
        <v>3582</v>
      </c>
      <c r="B3404" s="8">
        <v>7.9</v>
      </c>
      <c r="C3404" s="4"/>
      <c r="D3404" s="31"/>
      <c r="E3404" s="4"/>
      <c r="F3404" s="15"/>
      <c r="G3404" s="4"/>
    </row>
    <row r="3405" ht="14.25" customHeight="1">
      <c r="A3405" s="8" t="s">
        <v>6819</v>
      </c>
      <c r="B3405" s="8">
        <v>3.2</v>
      </c>
      <c r="C3405" s="4"/>
      <c r="D3405" s="31"/>
      <c r="E3405" s="4"/>
      <c r="F3405" s="15"/>
      <c r="G3405" s="4"/>
    </row>
    <row r="3406" ht="14.25" customHeight="1">
      <c r="A3406" s="8" t="s">
        <v>6822</v>
      </c>
      <c r="B3406" s="8">
        <v>6.5</v>
      </c>
      <c r="C3406" s="4"/>
      <c r="D3406" s="31"/>
      <c r="E3406" s="4"/>
      <c r="F3406" s="15"/>
      <c r="G3406" s="4"/>
    </row>
    <row r="3407" ht="14.25" customHeight="1">
      <c r="A3407" s="8" t="s">
        <v>6825</v>
      </c>
      <c r="B3407" s="8">
        <v>7.0</v>
      </c>
      <c r="C3407" s="4"/>
      <c r="D3407" s="31"/>
      <c r="E3407" s="4"/>
      <c r="F3407" s="15"/>
      <c r="G3407" s="4"/>
    </row>
    <row r="3408" ht="14.25" customHeight="1">
      <c r="A3408" s="8" t="s">
        <v>6827</v>
      </c>
      <c r="B3408" s="8">
        <v>6.9</v>
      </c>
      <c r="C3408" s="4"/>
      <c r="D3408" s="31"/>
      <c r="E3408" s="4"/>
      <c r="F3408" s="15"/>
      <c r="G3408" s="4"/>
    </row>
    <row r="3409" ht="14.25" customHeight="1">
      <c r="A3409" s="8" t="s">
        <v>6829</v>
      </c>
      <c r="B3409" s="8">
        <v>4.4</v>
      </c>
      <c r="C3409" s="4"/>
      <c r="D3409" s="31"/>
      <c r="E3409" s="4"/>
      <c r="F3409" s="15"/>
      <c r="G3409" s="4"/>
    </row>
    <row r="3410" ht="14.25" customHeight="1">
      <c r="A3410" s="8" t="s">
        <v>3996</v>
      </c>
      <c r="B3410" s="8">
        <v>6.0</v>
      </c>
      <c r="C3410" s="4"/>
      <c r="D3410" s="31"/>
      <c r="E3410" s="4"/>
      <c r="F3410" s="15"/>
      <c r="G3410" s="4"/>
    </row>
    <row r="3411" ht="14.25" customHeight="1">
      <c r="A3411" s="8" t="s">
        <v>6834</v>
      </c>
      <c r="B3411" s="8">
        <v>5.3</v>
      </c>
      <c r="C3411" s="4"/>
      <c r="D3411" s="31"/>
      <c r="E3411" s="4"/>
      <c r="F3411" s="15"/>
      <c r="G3411" s="4"/>
    </row>
    <row r="3412" ht="14.25" customHeight="1">
      <c r="A3412" s="8" t="s">
        <v>6836</v>
      </c>
      <c r="B3412" s="8">
        <v>5.3</v>
      </c>
      <c r="C3412" s="4"/>
      <c r="D3412" s="31"/>
      <c r="E3412" s="4"/>
      <c r="F3412" s="15"/>
      <c r="G3412" s="4"/>
    </row>
    <row r="3413" ht="14.25" customHeight="1">
      <c r="A3413" s="8" t="s">
        <v>6839</v>
      </c>
      <c r="B3413" s="8">
        <v>7.1</v>
      </c>
      <c r="C3413" s="4"/>
      <c r="D3413" s="31"/>
      <c r="E3413" s="4"/>
      <c r="F3413" s="15"/>
      <c r="G3413" s="4"/>
    </row>
    <row r="3414" ht="14.25" customHeight="1">
      <c r="A3414" s="8" t="s">
        <v>6841</v>
      </c>
      <c r="B3414" s="8">
        <v>5.4</v>
      </c>
      <c r="C3414" s="4"/>
      <c r="D3414" s="31"/>
      <c r="E3414" s="4"/>
      <c r="F3414" s="15"/>
      <c r="G3414" s="4"/>
    </row>
    <row r="3415" ht="14.25" customHeight="1">
      <c r="A3415" s="8" t="s">
        <v>6843</v>
      </c>
      <c r="B3415" s="8">
        <v>6.9</v>
      </c>
      <c r="C3415" s="4"/>
      <c r="D3415" s="31"/>
      <c r="E3415" s="4"/>
      <c r="F3415" s="15"/>
      <c r="G3415" s="4"/>
    </row>
    <row r="3416" ht="14.25" customHeight="1">
      <c r="A3416" s="8" t="s">
        <v>348</v>
      </c>
      <c r="B3416" s="8">
        <v>7.3</v>
      </c>
      <c r="C3416" s="4"/>
      <c r="D3416" s="31"/>
      <c r="E3416" s="4"/>
      <c r="F3416" s="15"/>
      <c r="G3416" s="4"/>
    </row>
    <row r="3417" ht="14.25" customHeight="1">
      <c r="A3417" s="8" t="s">
        <v>6847</v>
      </c>
      <c r="B3417" s="8">
        <v>7.8</v>
      </c>
      <c r="C3417" s="4"/>
      <c r="D3417" s="31"/>
      <c r="E3417" s="4"/>
      <c r="F3417" s="15"/>
      <c r="G3417" s="4"/>
    </row>
    <row r="3418" ht="14.25" customHeight="1">
      <c r="A3418" s="8" t="s">
        <v>3931</v>
      </c>
      <c r="B3418" s="8">
        <v>6.6</v>
      </c>
      <c r="C3418" s="4"/>
      <c r="D3418" s="31"/>
      <c r="E3418" s="4"/>
      <c r="F3418" s="15"/>
      <c r="G3418" s="4"/>
    </row>
    <row r="3419" ht="14.25" customHeight="1">
      <c r="A3419" s="8" t="s">
        <v>2839</v>
      </c>
      <c r="B3419" s="8">
        <v>5.4</v>
      </c>
      <c r="C3419" s="4"/>
      <c r="D3419" s="31"/>
      <c r="E3419" s="4"/>
      <c r="F3419" s="15"/>
      <c r="G3419" s="4"/>
    </row>
    <row r="3420" ht="14.25" customHeight="1">
      <c r="A3420" s="8" t="s">
        <v>5442</v>
      </c>
      <c r="B3420" s="8">
        <v>8.4</v>
      </c>
      <c r="C3420" s="4"/>
      <c r="D3420" s="31"/>
      <c r="E3420" s="4"/>
      <c r="F3420" s="15"/>
      <c r="G3420" s="4"/>
    </row>
    <row r="3421" ht="14.25" customHeight="1">
      <c r="A3421" s="8" t="s">
        <v>6854</v>
      </c>
      <c r="B3421" s="8">
        <v>6.3</v>
      </c>
      <c r="C3421" s="4"/>
      <c r="D3421" s="31"/>
      <c r="E3421" s="4"/>
      <c r="F3421" s="15"/>
      <c r="G3421" s="4"/>
    </row>
    <row r="3422" ht="14.25" customHeight="1">
      <c r="A3422" s="8" t="s">
        <v>6857</v>
      </c>
      <c r="B3422" s="8">
        <v>6.1</v>
      </c>
      <c r="C3422" s="4"/>
      <c r="D3422" s="31"/>
      <c r="E3422" s="4"/>
      <c r="F3422" s="15"/>
      <c r="G3422" s="4"/>
    </row>
    <row r="3423" ht="14.25" customHeight="1">
      <c r="A3423" s="8" t="s">
        <v>6859</v>
      </c>
      <c r="B3423" s="8">
        <v>5.0</v>
      </c>
      <c r="C3423" s="4"/>
      <c r="D3423" s="31"/>
      <c r="E3423" s="4"/>
      <c r="F3423" s="15"/>
      <c r="G3423" s="4"/>
    </row>
    <row r="3424" ht="14.25" customHeight="1">
      <c r="A3424" s="8" t="s">
        <v>6862</v>
      </c>
      <c r="B3424" s="8">
        <v>5.3</v>
      </c>
      <c r="C3424" s="4"/>
      <c r="D3424" s="31"/>
      <c r="E3424" s="4"/>
      <c r="F3424" s="15"/>
      <c r="G3424" s="4"/>
    </row>
    <row r="3425" ht="14.25" customHeight="1">
      <c r="A3425" s="8" t="s">
        <v>6864</v>
      </c>
      <c r="B3425" s="8">
        <v>5.3</v>
      </c>
      <c r="C3425" s="4"/>
      <c r="D3425" s="31"/>
      <c r="E3425" s="4"/>
      <c r="F3425" s="15"/>
      <c r="G3425" s="4"/>
    </row>
    <row r="3426" ht="14.25" customHeight="1">
      <c r="A3426" s="8" t="s">
        <v>860</v>
      </c>
      <c r="B3426" s="8">
        <v>6.0</v>
      </c>
      <c r="C3426" s="4"/>
      <c r="D3426" s="31"/>
      <c r="E3426" s="4"/>
      <c r="F3426" s="15"/>
      <c r="G3426" s="4"/>
    </row>
    <row r="3427" ht="14.25" customHeight="1">
      <c r="A3427" s="8" t="s">
        <v>5460</v>
      </c>
      <c r="B3427" s="8">
        <v>7.4</v>
      </c>
      <c r="C3427" s="4"/>
      <c r="D3427" s="31"/>
      <c r="E3427" s="4"/>
      <c r="F3427" s="15"/>
      <c r="G3427" s="4"/>
    </row>
    <row r="3428" ht="14.25" customHeight="1">
      <c r="A3428" s="8" t="s">
        <v>6869</v>
      </c>
      <c r="B3428" s="8">
        <v>5.9</v>
      </c>
      <c r="C3428" s="4"/>
      <c r="D3428" s="31"/>
      <c r="E3428" s="4"/>
      <c r="F3428" s="15"/>
      <c r="G3428" s="4"/>
    </row>
    <row r="3429" ht="14.25" customHeight="1">
      <c r="A3429" s="8" t="s">
        <v>6872</v>
      </c>
      <c r="B3429" s="8">
        <v>4.1</v>
      </c>
      <c r="C3429" s="4"/>
      <c r="D3429" s="31"/>
      <c r="E3429" s="4"/>
      <c r="F3429" s="15"/>
      <c r="G3429" s="4"/>
    </row>
    <row r="3430" ht="14.25" customHeight="1">
      <c r="A3430" s="8" t="s">
        <v>2538</v>
      </c>
      <c r="B3430" s="8">
        <v>6.7</v>
      </c>
      <c r="C3430" s="4"/>
      <c r="D3430" s="31"/>
      <c r="E3430" s="4"/>
      <c r="F3430" s="15"/>
      <c r="G3430" s="4"/>
    </row>
    <row r="3431" ht="14.25" customHeight="1">
      <c r="A3431" s="8" t="s">
        <v>4640</v>
      </c>
      <c r="B3431" s="8">
        <v>5.8</v>
      </c>
      <c r="C3431" s="4"/>
      <c r="D3431" s="31"/>
      <c r="E3431" s="4"/>
      <c r="F3431" s="15"/>
      <c r="G3431" s="4"/>
    </row>
    <row r="3432" ht="14.25" customHeight="1">
      <c r="A3432" s="8" t="s">
        <v>111</v>
      </c>
      <c r="B3432" s="8">
        <v>6.5</v>
      </c>
      <c r="C3432" s="4"/>
      <c r="D3432" s="31"/>
      <c r="E3432" s="4"/>
      <c r="F3432" s="15"/>
      <c r="G3432" s="4"/>
    </row>
    <row r="3433" ht="14.25" customHeight="1">
      <c r="A3433" s="8" t="s">
        <v>6877</v>
      </c>
      <c r="B3433" s="8">
        <v>5.9</v>
      </c>
      <c r="C3433" s="4"/>
      <c r="D3433" s="31"/>
      <c r="E3433" s="4"/>
      <c r="F3433" s="15"/>
      <c r="G3433" s="4"/>
    </row>
    <row r="3434" ht="14.25" customHeight="1">
      <c r="A3434" s="8" t="s">
        <v>364</v>
      </c>
      <c r="B3434" s="8">
        <v>7.0</v>
      </c>
      <c r="C3434" s="4"/>
      <c r="D3434" s="31"/>
      <c r="E3434" s="4"/>
      <c r="F3434" s="15"/>
      <c r="G3434" s="4"/>
    </row>
    <row r="3435" ht="14.25" customHeight="1">
      <c r="A3435" s="8" t="s">
        <v>1789</v>
      </c>
      <c r="B3435" s="8">
        <v>8.0</v>
      </c>
      <c r="C3435" s="4"/>
      <c r="D3435" s="31"/>
      <c r="E3435" s="4"/>
      <c r="F3435" s="15"/>
      <c r="G3435" s="4"/>
    </row>
    <row r="3436" ht="14.25" customHeight="1">
      <c r="A3436" s="8" t="s">
        <v>6882</v>
      </c>
      <c r="B3436" s="8">
        <v>6.5</v>
      </c>
      <c r="C3436" s="4"/>
      <c r="D3436" s="31"/>
      <c r="E3436" s="4"/>
      <c r="F3436" s="15"/>
      <c r="G3436" s="4"/>
    </row>
    <row r="3437" ht="14.25" customHeight="1">
      <c r="A3437" s="8" t="s">
        <v>6885</v>
      </c>
      <c r="B3437" s="8">
        <v>6.4</v>
      </c>
      <c r="C3437" s="4"/>
      <c r="D3437" s="31"/>
      <c r="E3437" s="4"/>
      <c r="F3437" s="15"/>
      <c r="G3437" s="4"/>
    </row>
    <row r="3438" ht="14.25" customHeight="1">
      <c r="A3438" s="8" t="s">
        <v>2969</v>
      </c>
      <c r="B3438" s="8">
        <v>6.8</v>
      </c>
      <c r="C3438" s="4"/>
      <c r="D3438" s="31"/>
      <c r="E3438" s="4"/>
      <c r="F3438" s="15"/>
      <c r="G3438" s="4"/>
    </row>
    <row r="3439" ht="14.25" customHeight="1">
      <c r="A3439" s="8" t="s">
        <v>4994</v>
      </c>
      <c r="B3439" s="8">
        <v>7.4</v>
      </c>
      <c r="C3439" s="4"/>
      <c r="D3439" s="31"/>
      <c r="E3439" s="4"/>
      <c r="F3439" s="15"/>
      <c r="G3439" s="4"/>
    </row>
    <row r="3440" ht="14.25" customHeight="1">
      <c r="A3440" s="8" t="s">
        <v>6892</v>
      </c>
      <c r="B3440" s="8">
        <v>8.3</v>
      </c>
      <c r="C3440" s="4"/>
      <c r="D3440" s="31"/>
      <c r="E3440" s="4"/>
      <c r="F3440" s="15"/>
      <c r="G3440" s="4"/>
    </row>
    <row r="3441" ht="14.25" customHeight="1">
      <c r="A3441" s="8" t="s">
        <v>6895</v>
      </c>
      <c r="B3441" s="8">
        <v>5.3</v>
      </c>
      <c r="C3441" s="4"/>
      <c r="D3441" s="31"/>
      <c r="E3441" s="4"/>
      <c r="F3441" s="15"/>
      <c r="G3441" s="4"/>
    </row>
    <row r="3442" ht="14.25" customHeight="1">
      <c r="A3442" s="8" t="s">
        <v>6692</v>
      </c>
      <c r="B3442" s="8">
        <v>8.1</v>
      </c>
      <c r="C3442" s="4"/>
      <c r="D3442" s="31"/>
      <c r="E3442" s="4"/>
      <c r="F3442" s="15"/>
      <c r="G3442" s="4"/>
    </row>
    <row r="3443" ht="14.25" customHeight="1">
      <c r="A3443" s="8" t="s">
        <v>4001</v>
      </c>
      <c r="B3443" s="8">
        <v>8.0</v>
      </c>
      <c r="C3443" s="4"/>
      <c r="D3443" s="31"/>
      <c r="E3443" s="4"/>
      <c r="F3443" s="15"/>
      <c r="G3443" s="4"/>
    </row>
    <row r="3444" ht="14.25" customHeight="1">
      <c r="A3444" s="8" t="s">
        <v>4496</v>
      </c>
      <c r="B3444" s="8">
        <v>5.7</v>
      </c>
      <c r="C3444" s="4"/>
      <c r="D3444" s="31"/>
      <c r="E3444" s="4"/>
      <c r="F3444" s="15"/>
      <c r="G3444" s="4"/>
    </row>
    <row r="3445" ht="14.25" customHeight="1">
      <c r="A3445" s="8" t="s">
        <v>6903</v>
      </c>
      <c r="B3445" s="8">
        <v>7.1</v>
      </c>
      <c r="C3445" s="4"/>
      <c r="D3445" s="31"/>
      <c r="E3445" s="4"/>
      <c r="F3445" s="15"/>
      <c r="G3445" s="4"/>
    </row>
    <row r="3446" ht="14.25" customHeight="1">
      <c r="A3446" s="8" t="s">
        <v>4001</v>
      </c>
      <c r="B3446" s="8">
        <v>7.8</v>
      </c>
      <c r="C3446" s="4"/>
      <c r="D3446" s="31"/>
      <c r="E3446" s="4"/>
      <c r="F3446" s="15"/>
      <c r="G3446" s="4"/>
    </row>
    <row r="3447" ht="14.25" customHeight="1">
      <c r="A3447" s="8" t="s">
        <v>6906</v>
      </c>
      <c r="B3447" s="8">
        <v>5.9</v>
      </c>
      <c r="C3447" s="4"/>
      <c r="D3447" s="31"/>
      <c r="E3447" s="4"/>
      <c r="F3447" s="15"/>
      <c r="G3447" s="4"/>
    </row>
    <row r="3448" ht="14.25" customHeight="1">
      <c r="A3448" s="8" t="s">
        <v>4809</v>
      </c>
      <c r="B3448" s="8">
        <v>7.8</v>
      </c>
      <c r="C3448" s="4"/>
      <c r="D3448" s="31"/>
      <c r="E3448" s="4"/>
      <c r="F3448" s="15"/>
      <c r="G3448" s="4"/>
    </row>
    <row r="3449" ht="14.25" customHeight="1">
      <c r="A3449" s="8" t="s">
        <v>6911</v>
      </c>
      <c r="B3449" s="8">
        <v>6.0</v>
      </c>
      <c r="C3449" s="4"/>
      <c r="D3449" s="31"/>
      <c r="E3449" s="4"/>
      <c r="F3449" s="15"/>
      <c r="G3449" s="4"/>
    </row>
    <row r="3450" ht="14.25" customHeight="1">
      <c r="A3450" s="8" t="s">
        <v>3080</v>
      </c>
      <c r="B3450" s="8">
        <v>5.3</v>
      </c>
      <c r="C3450" s="4"/>
      <c r="D3450" s="31"/>
      <c r="E3450" s="4"/>
      <c r="F3450" s="15"/>
      <c r="G3450" s="4"/>
    </row>
    <row r="3451" ht="14.25" customHeight="1">
      <c r="A3451" s="8" t="s">
        <v>6913</v>
      </c>
      <c r="B3451" s="8">
        <v>7.2</v>
      </c>
      <c r="C3451" s="4"/>
      <c r="D3451" s="31"/>
      <c r="E3451" s="4"/>
      <c r="F3451" s="15"/>
      <c r="G3451" s="4"/>
    </row>
    <row r="3452" ht="14.25" customHeight="1">
      <c r="A3452" s="8" t="s">
        <v>6465</v>
      </c>
      <c r="B3452" s="8">
        <v>5.1</v>
      </c>
      <c r="C3452" s="4"/>
      <c r="D3452" s="31"/>
      <c r="E3452" s="4"/>
      <c r="F3452" s="15"/>
      <c r="G3452" s="4"/>
    </row>
    <row r="3453" ht="14.25" customHeight="1">
      <c r="A3453" s="8" t="s">
        <v>6918</v>
      </c>
      <c r="B3453" s="8">
        <v>5.1</v>
      </c>
      <c r="C3453" s="4"/>
      <c r="D3453" s="31"/>
      <c r="E3453" s="4"/>
      <c r="F3453" s="15"/>
      <c r="G3453" s="4"/>
    </row>
    <row r="3454" ht="14.25" customHeight="1">
      <c r="A3454" s="8" t="s">
        <v>140</v>
      </c>
      <c r="B3454" s="8">
        <v>6.9</v>
      </c>
      <c r="C3454" s="4"/>
      <c r="D3454" s="31"/>
      <c r="E3454" s="4"/>
      <c r="F3454" s="15"/>
      <c r="G3454" s="4"/>
    </row>
    <row r="3455" ht="14.25" customHeight="1">
      <c r="A3455" s="8" t="s">
        <v>6922</v>
      </c>
      <c r="B3455" s="8">
        <v>4.6</v>
      </c>
      <c r="C3455" s="4"/>
      <c r="D3455" s="31"/>
      <c r="E3455" s="4"/>
      <c r="F3455" s="15"/>
      <c r="G3455" s="4"/>
    </row>
    <row r="3456" ht="14.25" customHeight="1">
      <c r="A3456" s="8" t="s">
        <v>6925</v>
      </c>
      <c r="B3456" s="8">
        <v>6.7</v>
      </c>
      <c r="C3456" s="4"/>
      <c r="D3456" s="31"/>
      <c r="E3456" s="4"/>
      <c r="F3456" s="15"/>
      <c r="G3456" s="4"/>
    </row>
    <row r="3457" ht="14.25" customHeight="1">
      <c r="A3457" s="8" t="s">
        <v>2409</v>
      </c>
      <c r="B3457" s="8">
        <v>7.1</v>
      </c>
      <c r="C3457" s="4"/>
      <c r="D3457" s="31"/>
      <c r="E3457" s="4"/>
      <c r="F3457" s="15"/>
      <c r="G3457" s="4"/>
    </row>
    <row r="3458" ht="14.25" customHeight="1">
      <c r="A3458" s="8" t="s">
        <v>6294</v>
      </c>
      <c r="B3458" s="8">
        <v>7.6</v>
      </c>
      <c r="C3458" s="4"/>
      <c r="D3458" s="31"/>
      <c r="E3458" s="4"/>
      <c r="F3458" s="15"/>
      <c r="G3458" s="4"/>
    </row>
    <row r="3459" ht="14.25" customHeight="1">
      <c r="A3459" s="8" t="s">
        <v>3582</v>
      </c>
      <c r="B3459" s="8">
        <v>8.1</v>
      </c>
      <c r="C3459" s="4"/>
      <c r="D3459" s="31"/>
      <c r="E3459" s="4"/>
      <c r="F3459" s="15"/>
      <c r="G3459" s="4"/>
    </row>
    <row r="3460" ht="14.25" customHeight="1">
      <c r="A3460" s="8" t="s">
        <v>6932</v>
      </c>
      <c r="B3460" s="8">
        <v>7.0</v>
      </c>
      <c r="C3460" s="4"/>
      <c r="D3460" s="31"/>
      <c r="E3460" s="4"/>
      <c r="F3460" s="15"/>
      <c r="G3460" s="4"/>
    </row>
    <row r="3461" ht="14.25" customHeight="1">
      <c r="A3461" s="8" t="s">
        <v>5383</v>
      </c>
      <c r="B3461" s="8">
        <v>7.1</v>
      </c>
      <c r="C3461" s="4"/>
      <c r="D3461" s="31"/>
      <c r="E3461" s="4"/>
      <c r="F3461" s="15"/>
      <c r="G3461" s="4"/>
    </row>
    <row r="3462" ht="14.25" customHeight="1">
      <c r="A3462" s="8" t="s">
        <v>6936</v>
      </c>
      <c r="B3462" s="8">
        <v>7.6</v>
      </c>
      <c r="C3462" s="4"/>
      <c r="D3462" s="31"/>
      <c r="E3462" s="4"/>
      <c r="F3462" s="15"/>
      <c r="G3462" s="4"/>
    </row>
    <row r="3463" ht="14.25" customHeight="1">
      <c r="A3463" s="8" t="s">
        <v>6938</v>
      </c>
      <c r="B3463" s="8">
        <v>7.1</v>
      </c>
      <c r="C3463" s="4"/>
      <c r="D3463" s="31"/>
      <c r="E3463" s="4"/>
      <c r="F3463" s="15"/>
      <c r="G3463" s="4"/>
    </row>
    <row r="3464" ht="14.25" customHeight="1">
      <c r="A3464" s="8" t="s">
        <v>6495</v>
      </c>
      <c r="B3464" s="8">
        <v>7.1</v>
      </c>
      <c r="C3464" s="4"/>
      <c r="D3464" s="31"/>
      <c r="E3464" s="4"/>
      <c r="F3464" s="15"/>
      <c r="G3464" s="4"/>
    </row>
    <row r="3465" ht="14.25" customHeight="1">
      <c r="A3465" s="8" t="s">
        <v>1514</v>
      </c>
      <c r="B3465" s="8">
        <v>7.7</v>
      </c>
      <c r="C3465" s="4"/>
      <c r="D3465" s="31"/>
      <c r="E3465" s="4"/>
      <c r="F3465" s="15"/>
      <c r="G3465" s="4"/>
    </row>
    <row r="3466" ht="14.25" customHeight="1">
      <c r="A3466" s="8" t="s">
        <v>6945</v>
      </c>
      <c r="B3466" s="8">
        <v>7.6</v>
      </c>
      <c r="C3466" s="4"/>
      <c r="D3466" s="31"/>
      <c r="E3466" s="4"/>
      <c r="F3466" s="15"/>
      <c r="G3466" s="4"/>
    </row>
    <row r="3467" ht="14.25" customHeight="1">
      <c r="A3467" s="8" t="s">
        <v>6947</v>
      </c>
      <c r="B3467" s="8">
        <v>6.6</v>
      </c>
      <c r="C3467" s="4"/>
      <c r="D3467" s="31"/>
      <c r="E3467" s="4"/>
      <c r="F3467" s="15"/>
      <c r="G3467" s="4"/>
    </row>
    <row r="3468" ht="14.25" customHeight="1">
      <c r="A3468" s="8" t="s">
        <v>2042</v>
      </c>
      <c r="B3468" s="8">
        <v>6.7</v>
      </c>
      <c r="C3468" s="4"/>
      <c r="D3468" s="31"/>
      <c r="E3468" s="4"/>
      <c r="F3468" s="15"/>
      <c r="G3468" s="4"/>
    </row>
    <row r="3469" ht="14.25" customHeight="1">
      <c r="A3469" s="8" t="s">
        <v>6949</v>
      </c>
      <c r="B3469" s="8">
        <v>5.7</v>
      </c>
      <c r="C3469" s="4"/>
      <c r="D3469" s="31"/>
      <c r="E3469" s="4"/>
      <c r="F3469" s="15"/>
      <c r="G3469" s="4"/>
    </row>
    <row r="3470" ht="14.25" customHeight="1">
      <c r="A3470" s="8" t="s">
        <v>6951</v>
      </c>
      <c r="B3470" s="8">
        <v>7.1</v>
      </c>
      <c r="C3470" s="4"/>
      <c r="D3470" s="31"/>
      <c r="E3470" s="4"/>
      <c r="F3470" s="15"/>
      <c r="G3470" s="4"/>
    </row>
    <row r="3471" ht="14.25" customHeight="1">
      <c r="A3471" s="8" t="s">
        <v>6954</v>
      </c>
      <c r="B3471" s="8">
        <v>6.2</v>
      </c>
      <c r="C3471" s="4"/>
      <c r="D3471" s="31"/>
      <c r="E3471" s="4"/>
      <c r="F3471" s="15"/>
      <c r="G3471" s="4"/>
    </row>
    <row r="3472" ht="14.25" customHeight="1">
      <c r="A3472" s="8" t="s">
        <v>5065</v>
      </c>
      <c r="B3472" s="8">
        <v>6.1</v>
      </c>
      <c r="C3472" s="4"/>
      <c r="D3472" s="31"/>
      <c r="E3472" s="4"/>
      <c r="F3472" s="15"/>
      <c r="G3472" s="4"/>
    </row>
    <row r="3473" ht="14.25" customHeight="1">
      <c r="A3473" s="8" t="s">
        <v>6958</v>
      </c>
      <c r="B3473" s="8">
        <v>5.9</v>
      </c>
      <c r="C3473" s="4"/>
      <c r="D3473" s="31"/>
      <c r="E3473" s="4"/>
      <c r="F3473" s="15"/>
      <c r="G3473" s="4"/>
    </row>
    <row r="3474" ht="14.25" customHeight="1">
      <c r="A3474" s="8" t="s">
        <v>281</v>
      </c>
      <c r="B3474" s="8">
        <v>6.8</v>
      </c>
      <c r="C3474" s="4"/>
      <c r="D3474" s="31"/>
      <c r="E3474" s="4"/>
      <c r="F3474" s="15"/>
      <c r="G3474" s="4"/>
    </row>
    <row r="3475" ht="14.25" customHeight="1">
      <c r="A3475" s="8" t="s">
        <v>2048</v>
      </c>
      <c r="B3475" s="8">
        <v>6.8</v>
      </c>
      <c r="C3475" s="4"/>
      <c r="D3475" s="31"/>
      <c r="E3475" s="4"/>
      <c r="F3475" s="15"/>
      <c r="G3475" s="4"/>
    </row>
    <row r="3476" ht="14.25" customHeight="1">
      <c r="A3476" s="8" t="s">
        <v>6963</v>
      </c>
      <c r="B3476" s="8">
        <v>5.1</v>
      </c>
      <c r="C3476" s="4"/>
      <c r="D3476" s="31"/>
      <c r="E3476" s="4"/>
      <c r="F3476" s="15"/>
      <c r="G3476" s="4"/>
    </row>
    <row r="3477" ht="14.25" customHeight="1">
      <c r="A3477" s="8" t="s">
        <v>6965</v>
      </c>
      <c r="B3477" s="8">
        <v>7.7</v>
      </c>
      <c r="C3477" s="4"/>
      <c r="D3477" s="31"/>
      <c r="E3477" s="4"/>
      <c r="F3477" s="15"/>
      <c r="G3477" s="4"/>
    </row>
    <row r="3478" ht="14.25" customHeight="1">
      <c r="A3478" s="8" t="s">
        <v>6967</v>
      </c>
      <c r="B3478" s="8">
        <v>3.9</v>
      </c>
      <c r="C3478" s="4"/>
      <c r="D3478" s="31"/>
      <c r="E3478" s="4"/>
      <c r="F3478" s="15"/>
      <c r="G3478" s="4"/>
    </row>
    <row r="3479" ht="14.25" customHeight="1">
      <c r="A3479" s="8" t="s">
        <v>1133</v>
      </c>
      <c r="B3479" s="8">
        <v>7.8</v>
      </c>
      <c r="C3479" s="4"/>
      <c r="D3479" s="31"/>
      <c r="E3479" s="4"/>
      <c r="F3479" s="15"/>
      <c r="G3479" s="4"/>
    </row>
    <row r="3480" ht="14.25" customHeight="1">
      <c r="A3480" s="8" t="s">
        <v>2814</v>
      </c>
      <c r="B3480" s="8">
        <v>5.7</v>
      </c>
      <c r="C3480" s="4"/>
      <c r="D3480" s="31"/>
      <c r="E3480" s="4"/>
      <c r="F3480" s="15"/>
      <c r="G3480" s="4"/>
    </row>
    <row r="3481" ht="14.25" customHeight="1">
      <c r="A3481" s="8" t="s">
        <v>6974</v>
      </c>
      <c r="B3481" s="8">
        <v>4.7</v>
      </c>
      <c r="C3481" s="4"/>
      <c r="D3481" s="31"/>
      <c r="E3481" s="4"/>
      <c r="F3481" s="15"/>
      <c r="G3481" s="4"/>
    </row>
    <row r="3482" ht="14.25" customHeight="1">
      <c r="A3482" s="8" t="s">
        <v>6977</v>
      </c>
      <c r="B3482" s="8">
        <v>5.9</v>
      </c>
      <c r="C3482" s="4"/>
      <c r="D3482" s="31"/>
      <c r="E3482" s="4"/>
      <c r="F3482" s="15"/>
      <c r="G3482" s="4"/>
    </row>
    <row r="3483" ht="14.25" customHeight="1">
      <c r="A3483" s="8" t="s">
        <v>6979</v>
      </c>
      <c r="B3483" s="8">
        <v>5.9</v>
      </c>
      <c r="C3483" s="4"/>
      <c r="D3483" s="31"/>
      <c r="E3483" s="4"/>
      <c r="F3483" s="15"/>
      <c r="G3483" s="4"/>
    </row>
    <row r="3484" ht="14.25" customHeight="1">
      <c r="A3484" s="8" t="s">
        <v>6981</v>
      </c>
      <c r="B3484" s="8">
        <v>8.1</v>
      </c>
      <c r="C3484" s="4"/>
      <c r="D3484" s="31"/>
      <c r="E3484" s="4"/>
      <c r="F3484" s="15"/>
      <c r="G3484" s="4"/>
    </row>
    <row r="3485" ht="14.25" customHeight="1">
      <c r="A3485" s="8" t="s">
        <v>6984</v>
      </c>
      <c r="B3485" s="8">
        <v>7.6</v>
      </c>
      <c r="C3485" s="4"/>
      <c r="D3485" s="31"/>
      <c r="E3485" s="4"/>
      <c r="F3485" s="15"/>
      <c r="G3485" s="4"/>
    </row>
    <row r="3486" ht="14.25" customHeight="1">
      <c r="A3486" s="8" t="s">
        <v>6987</v>
      </c>
      <c r="B3486" s="8">
        <v>7.2</v>
      </c>
      <c r="C3486" s="4"/>
      <c r="D3486" s="31"/>
      <c r="E3486" s="4"/>
      <c r="F3486" s="15"/>
      <c r="G3486" s="4"/>
    </row>
    <row r="3487" ht="14.25" customHeight="1">
      <c r="A3487" s="8" t="s">
        <v>5849</v>
      </c>
      <c r="B3487" s="8">
        <v>7.5</v>
      </c>
      <c r="C3487" s="4"/>
      <c r="D3487" s="31"/>
      <c r="E3487" s="4"/>
      <c r="F3487" s="15"/>
      <c r="G3487" s="4"/>
    </row>
    <row r="3488" ht="14.25" customHeight="1">
      <c r="A3488" s="8" t="s">
        <v>6992</v>
      </c>
      <c r="B3488" s="8">
        <v>5.1</v>
      </c>
      <c r="C3488" s="4"/>
      <c r="D3488" s="31"/>
      <c r="E3488" s="4"/>
      <c r="F3488" s="15"/>
      <c r="G3488" s="4"/>
    </row>
    <row r="3489" ht="14.25" customHeight="1">
      <c r="A3489" s="8" t="s">
        <v>6996</v>
      </c>
      <c r="B3489" s="8">
        <v>6.9</v>
      </c>
      <c r="C3489" s="4"/>
      <c r="D3489" s="31"/>
      <c r="E3489" s="4"/>
      <c r="F3489" s="15"/>
      <c r="G3489" s="4"/>
    </row>
    <row r="3490" ht="14.25" customHeight="1">
      <c r="A3490" s="8" t="s">
        <v>359</v>
      </c>
      <c r="B3490" s="8">
        <v>7.6</v>
      </c>
      <c r="C3490" s="4"/>
      <c r="D3490" s="31"/>
      <c r="E3490" s="4"/>
      <c r="F3490" s="15"/>
      <c r="G3490" s="4"/>
    </row>
    <row r="3491" ht="14.25" customHeight="1">
      <c r="A3491" s="8" t="s">
        <v>7001</v>
      </c>
      <c r="B3491" s="8">
        <v>7.6</v>
      </c>
      <c r="C3491" s="4"/>
      <c r="D3491" s="31"/>
      <c r="E3491" s="4"/>
      <c r="F3491" s="15"/>
      <c r="G3491" s="4"/>
    </row>
    <row r="3492" ht="14.25" customHeight="1">
      <c r="A3492" s="8" t="s">
        <v>3327</v>
      </c>
      <c r="B3492" s="8">
        <v>7.6</v>
      </c>
      <c r="C3492" s="4"/>
      <c r="D3492" s="31"/>
      <c r="E3492" s="4"/>
      <c r="F3492" s="15"/>
      <c r="G3492" s="4"/>
    </row>
    <row r="3493" ht="14.25" customHeight="1">
      <c r="A3493" s="8" t="s">
        <v>7006</v>
      </c>
      <c r="B3493" s="8">
        <v>5.3</v>
      </c>
      <c r="C3493" s="4"/>
      <c r="D3493" s="31"/>
      <c r="E3493" s="4"/>
      <c r="F3493" s="15"/>
      <c r="G3493" s="4"/>
    </row>
    <row r="3494" ht="14.25" customHeight="1">
      <c r="A3494" s="8" t="s">
        <v>755</v>
      </c>
      <c r="B3494" s="8">
        <v>8.5</v>
      </c>
      <c r="C3494" s="4"/>
      <c r="D3494" s="31"/>
      <c r="E3494" s="4"/>
      <c r="F3494" s="15"/>
      <c r="G3494" s="4"/>
    </row>
    <row r="3495" ht="14.25" customHeight="1">
      <c r="A3495" s="8" t="s">
        <v>6570</v>
      </c>
      <c r="B3495" s="8">
        <v>7.0</v>
      </c>
      <c r="C3495" s="4"/>
      <c r="D3495" s="31"/>
      <c r="E3495" s="4"/>
      <c r="F3495" s="15"/>
      <c r="G3495" s="4"/>
    </row>
    <row r="3496" ht="14.25" customHeight="1">
      <c r="A3496" s="8" t="s">
        <v>7012</v>
      </c>
      <c r="B3496" s="8">
        <v>7.8</v>
      </c>
      <c r="C3496" s="4"/>
      <c r="D3496" s="31"/>
      <c r="E3496" s="4"/>
      <c r="F3496" s="15"/>
      <c r="G3496" s="4"/>
    </row>
    <row r="3497" ht="14.25" customHeight="1">
      <c r="A3497" s="8" t="s">
        <v>7016</v>
      </c>
      <c r="B3497" s="8">
        <v>7.2</v>
      </c>
      <c r="C3497" s="4"/>
      <c r="D3497" s="31"/>
      <c r="E3497" s="4"/>
      <c r="F3497" s="15"/>
      <c r="G3497" s="4"/>
    </row>
    <row r="3498" ht="14.25" customHeight="1">
      <c r="A3498" s="8" t="s">
        <v>3582</v>
      </c>
      <c r="B3498" s="8">
        <v>8.0</v>
      </c>
      <c r="C3498" s="4"/>
      <c r="D3498" s="31"/>
      <c r="E3498" s="4"/>
      <c r="F3498" s="15"/>
      <c r="G3498" s="4"/>
    </row>
    <row r="3499" ht="14.25" customHeight="1">
      <c r="A3499" s="8" t="s">
        <v>476</v>
      </c>
      <c r="B3499" s="8">
        <v>8.1</v>
      </c>
      <c r="C3499" s="4"/>
      <c r="D3499" s="31"/>
      <c r="E3499" s="4"/>
      <c r="F3499" s="15"/>
      <c r="G3499" s="4"/>
    </row>
    <row r="3500" ht="14.25" customHeight="1">
      <c r="A3500" s="8" t="s">
        <v>2447</v>
      </c>
      <c r="B3500" s="8">
        <v>6.8</v>
      </c>
      <c r="C3500" s="4"/>
      <c r="D3500" s="31"/>
      <c r="E3500" s="4"/>
      <c r="F3500" s="15"/>
      <c r="G3500" s="4"/>
    </row>
    <row r="3501" ht="14.25" customHeight="1">
      <c r="A3501" s="8" t="s">
        <v>7024</v>
      </c>
      <c r="B3501" s="8">
        <v>7.2</v>
      </c>
      <c r="C3501" s="4"/>
      <c r="D3501" s="31"/>
      <c r="E3501" s="4"/>
      <c r="F3501" s="15"/>
      <c r="G3501" s="4"/>
    </row>
    <row r="3502" ht="14.25" customHeight="1">
      <c r="A3502" s="8" t="s">
        <v>7026</v>
      </c>
      <c r="B3502" s="8">
        <v>7.4</v>
      </c>
      <c r="C3502" s="4"/>
      <c r="D3502" s="31"/>
      <c r="E3502" s="4"/>
      <c r="F3502" s="15"/>
      <c r="G3502" s="4"/>
    </row>
    <row r="3503" ht="14.25" customHeight="1">
      <c r="A3503" s="8" t="s">
        <v>7029</v>
      </c>
      <c r="B3503" s="8">
        <v>6.1</v>
      </c>
      <c r="C3503" s="4"/>
      <c r="D3503" s="31"/>
      <c r="E3503" s="4"/>
      <c r="F3503" s="15"/>
      <c r="G3503" s="4"/>
    </row>
    <row r="3504" ht="14.25" customHeight="1">
      <c r="A3504" s="8" t="s">
        <v>218</v>
      </c>
      <c r="B3504" s="8">
        <v>7.0</v>
      </c>
      <c r="C3504" s="4"/>
      <c r="D3504" s="31"/>
      <c r="E3504" s="4"/>
      <c r="F3504" s="15"/>
      <c r="G3504" s="4"/>
    </row>
    <row r="3505" ht="14.25" customHeight="1">
      <c r="A3505" s="8" t="s">
        <v>2712</v>
      </c>
      <c r="B3505" s="8">
        <v>5.3</v>
      </c>
      <c r="C3505" s="4"/>
      <c r="D3505" s="31"/>
      <c r="E3505" s="4"/>
      <c r="F3505" s="15"/>
      <c r="G3505" s="4"/>
    </row>
    <row r="3506" ht="14.25" customHeight="1">
      <c r="A3506" s="8" t="s">
        <v>639</v>
      </c>
      <c r="B3506" s="8">
        <v>4.7</v>
      </c>
      <c r="C3506" s="4"/>
      <c r="D3506" s="31"/>
      <c r="E3506" s="4"/>
      <c r="F3506" s="15"/>
      <c r="G3506" s="4"/>
    </row>
    <row r="3507" ht="14.25" customHeight="1">
      <c r="A3507" s="8" t="s">
        <v>7035</v>
      </c>
      <c r="B3507" s="8">
        <v>5.7</v>
      </c>
      <c r="C3507" s="4"/>
      <c r="D3507" s="31"/>
      <c r="E3507" s="4"/>
      <c r="F3507" s="15"/>
      <c r="G3507" s="4"/>
    </row>
    <row r="3508" ht="14.25" customHeight="1">
      <c r="A3508" s="8" t="s">
        <v>6298</v>
      </c>
      <c r="B3508" s="8">
        <v>6.5</v>
      </c>
      <c r="C3508" s="4"/>
      <c r="D3508" s="31"/>
      <c r="E3508" s="4"/>
      <c r="F3508" s="15"/>
      <c r="G3508" s="4"/>
    </row>
    <row r="3509" ht="14.25" customHeight="1">
      <c r="A3509" s="8" t="s">
        <v>7040</v>
      </c>
      <c r="B3509" s="8">
        <v>8.0</v>
      </c>
      <c r="C3509" s="4"/>
      <c r="D3509" s="31"/>
      <c r="E3509" s="4"/>
      <c r="F3509" s="15"/>
      <c r="G3509" s="4"/>
    </row>
    <row r="3510" ht="14.25" customHeight="1">
      <c r="A3510" s="8" t="s">
        <v>7044</v>
      </c>
      <c r="B3510" s="8">
        <v>3.3</v>
      </c>
      <c r="C3510" s="4"/>
      <c r="D3510" s="31"/>
      <c r="E3510" s="4"/>
      <c r="F3510" s="15"/>
      <c r="G3510" s="4"/>
    </row>
    <row r="3511" ht="14.25" customHeight="1">
      <c r="A3511" s="8" t="s">
        <v>6757</v>
      </c>
      <c r="B3511" s="8">
        <v>8.3</v>
      </c>
      <c r="C3511" s="4"/>
      <c r="D3511" s="31"/>
      <c r="E3511" s="4"/>
      <c r="F3511" s="15"/>
      <c r="G3511" s="4"/>
    </row>
    <row r="3512" ht="14.25" customHeight="1">
      <c r="A3512" s="8" t="s">
        <v>7049</v>
      </c>
      <c r="B3512" s="8">
        <v>6.9</v>
      </c>
      <c r="C3512" s="4"/>
      <c r="D3512" s="31"/>
      <c r="E3512" s="4"/>
      <c r="F3512" s="15"/>
      <c r="G3512" s="4"/>
    </row>
    <row r="3513" ht="14.25" customHeight="1">
      <c r="A3513" s="8" t="s">
        <v>7051</v>
      </c>
      <c r="B3513" s="8">
        <v>8.1</v>
      </c>
      <c r="C3513" s="4"/>
      <c r="D3513" s="31"/>
      <c r="E3513" s="4"/>
      <c r="F3513" s="15"/>
      <c r="G3513" s="4"/>
    </row>
    <row r="3514" ht="14.25" customHeight="1">
      <c r="A3514" s="8" t="s">
        <v>6512</v>
      </c>
      <c r="B3514" s="8">
        <v>6.8</v>
      </c>
      <c r="C3514" s="4"/>
      <c r="D3514" s="31"/>
      <c r="E3514" s="4"/>
      <c r="F3514" s="15"/>
      <c r="G3514" s="4"/>
    </row>
    <row r="3515" ht="14.25" customHeight="1">
      <c r="A3515" s="8" t="s">
        <v>7057</v>
      </c>
      <c r="B3515" s="8">
        <v>4.6</v>
      </c>
      <c r="C3515" s="4"/>
      <c r="D3515" s="31"/>
      <c r="E3515" s="4"/>
      <c r="F3515" s="15"/>
      <c r="G3515" s="4"/>
    </row>
    <row r="3516" ht="14.25" customHeight="1">
      <c r="A3516" s="8" t="s">
        <v>7060</v>
      </c>
      <c r="B3516" s="8">
        <v>7.0</v>
      </c>
      <c r="C3516" s="4"/>
      <c r="D3516" s="31"/>
      <c r="E3516" s="4"/>
      <c r="F3516" s="15"/>
      <c r="G3516" s="4"/>
    </row>
    <row r="3517" ht="14.25" customHeight="1">
      <c r="A3517" s="8" t="s">
        <v>7062</v>
      </c>
      <c r="B3517" s="8">
        <v>6.7</v>
      </c>
      <c r="C3517" s="4"/>
      <c r="D3517" s="31"/>
      <c r="E3517" s="4"/>
      <c r="F3517" s="15"/>
      <c r="G3517" s="4"/>
    </row>
    <row r="3518" ht="14.25" customHeight="1">
      <c r="A3518" s="8" t="s">
        <v>7066</v>
      </c>
      <c r="B3518" s="8">
        <v>5.8</v>
      </c>
      <c r="C3518" s="4"/>
      <c r="D3518" s="31"/>
      <c r="E3518" s="4"/>
      <c r="F3518" s="15"/>
      <c r="G3518" s="4"/>
    </row>
    <row r="3519" ht="14.25" customHeight="1">
      <c r="A3519" s="8" t="s">
        <v>183</v>
      </c>
      <c r="B3519" s="8">
        <v>4.5</v>
      </c>
      <c r="C3519" s="4"/>
      <c r="D3519" s="31"/>
      <c r="E3519" s="4"/>
      <c r="F3519" s="15"/>
      <c r="G3519" s="4"/>
    </row>
    <row r="3520" ht="14.25" customHeight="1">
      <c r="A3520" s="8" t="s">
        <v>7069</v>
      </c>
      <c r="B3520" s="8">
        <v>6.2</v>
      </c>
      <c r="C3520" s="4"/>
      <c r="D3520" s="31"/>
      <c r="E3520" s="4"/>
      <c r="F3520" s="15"/>
      <c r="G3520" s="4"/>
    </row>
    <row r="3521" ht="14.25" customHeight="1">
      <c r="A3521" s="8" t="s">
        <v>7072</v>
      </c>
      <c r="B3521" s="8">
        <v>6.6</v>
      </c>
      <c r="C3521" s="4"/>
      <c r="D3521" s="31"/>
      <c r="E3521" s="4"/>
      <c r="F3521" s="15"/>
      <c r="G3521" s="4"/>
    </row>
    <row r="3522" ht="14.25" customHeight="1">
      <c r="A3522" s="8" t="s">
        <v>7074</v>
      </c>
      <c r="B3522" s="8">
        <v>6.6</v>
      </c>
      <c r="C3522" s="4"/>
      <c r="D3522" s="31"/>
      <c r="E3522" s="4"/>
      <c r="F3522" s="15"/>
      <c r="G3522" s="4"/>
    </row>
    <row r="3523" ht="14.25" customHeight="1">
      <c r="A3523" s="8" t="s">
        <v>7077</v>
      </c>
      <c r="B3523" s="8">
        <v>7.8</v>
      </c>
      <c r="C3523" s="4"/>
      <c r="D3523" s="31"/>
      <c r="E3523" s="4"/>
      <c r="F3523" s="15"/>
      <c r="G3523" s="4"/>
    </row>
    <row r="3524" ht="14.25" customHeight="1">
      <c r="A3524" s="8" t="s">
        <v>7080</v>
      </c>
      <c r="B3524" s="8">
        <v>7.7</v>
      </c>
      <c r="C3524" s="4"/>
      <c r="D3524" s="31"/>
      <c r="E3524" s="4"/>
      <c r="F3524" s="15"/>
      <c r="G3524" s="4"/>
    </row>
    <row r="3525" ht="14.25" customHeight="1">
      <c r="A3525" s="8" t="s">
        <v>7084</v>
      </c>
      <c r="B3525" s="8">
        <v>5.7</v>
      </c>
      <c r="C3525" s="4"/>
      <c r="D3525" s="31"/>
      <c r="E3525" s="4"/>
      <c r="F3525" s="15"/>
      <c r="G3525" s="4"/>
    </row>
    <row r="3526" ht="14.25" customHeight="1">
      <c r="A3526" s="8" t="s">
        <v>7088</v>
      </c>
      <c r="B3526" s="8">
        <v>7.1</v>
      </c>
      <c r="C3526" s="4"/>
      <c r="D3526" s="31"/>
      <c r="E3526" s="4"/>
      <c r="F3526" s="15"/>
      <c r="G3526" s="4"/>
    </row>
    <row r="3527" ht="14.25" customHeight="1">
      <c r="A3527" s="8" t="s">
        <v>5230</v>
      </c>
      <c r="B3527" s="8">
        <v>6.4</v>
      </c>
      <c r="C3527" s="4"/>
      <c r="D3527" s="31"/>
      <c r="E3527" s="4"/>
      <c r="F3527" s="15"/>
      <c r="G3527" s="4"/>
    </row>
    <row r="3528" ht="14.25" customHeight="1">
      <c r="A3528" s="8" t="s">
        <v>7091</v>
      </c>
      <c r="B3528" s="8">
        <v>7.0</v>
      </c>
      <c r="C3528" s="4"/>
      <c r="D3528" s="31"/>
      <c r="E3528" s="4"/>
      <c r="F3528" s="15"/>
      <c r="G3528" s="4"/>
    </row>
    <row r="3529" ht="14.25" customHeight="1">
      <c r="A3529" s="8" t="s">
        <v>7093</v>
      </c>
      <c r="B3529" s="8">
        <v>5.8</v>
      </c>
      <c r="C3529" s="4"/>
      <c r="D3529" s="31"/>
      <c r="E3529" s="4"/>
      <c r="F3529" s="15"/>
      <c r="G3529" s="4"/>
    </row>
    <row r="3530" ht="14.25" customHeight="1">
      <c r="A3530" s="8" t="s">
        <v>3327</v>
      </c>
      <c r="B3530" s="8">
        <v>5.9</v>
      </c>
      <c r="C3530" s="4"/>
      <c r="D3530" s="31"/>
      <c r="E3530" s="4"/>
      <c r="F3530" s="15"/>
      <c r="G3530" s="4"/>
    </row>
    <row r="3531" ht="14.25" customHeight="1">
      <c r="A3531" s="8" t="s">
        <v>2511</v>
      </c>
      <c r="B3531" s="8">
        <v>7.5</v>
      </c>
      <c r="C3531" s="4"/>
      <c r="D3531" s="31"/>
      <c r="E3531" s="4"/>
      <c r="F3531" s="15"/>
      <c r="G3531" s="4"/>
    </row>
    <row r="3532" ht="14.25" customHeight="1">
      <c r="A3532" s="8" t="s">
        <v>4884</v>
      </c>
      <c r="B3532" s="8">
        <v>7.8</v>
      </c>
      <c r="C3532" s="4"/>
      <c r="D3532" s="31"/>
      <c r="E3532" s="4"/>
      <c r="F3532" s="15"/>
      <c r="G3532" s="4"/>
    </row>
    <row r="3533" ht="14.25" customHeight="1">
      <c r="A3533" s="8" t="s">
        <v>7099</v>
      </c>
      <c r="B3533" s="8">
        <v>7.2</v>
      </c>
      <c r="C3533" s="4"/>
      <c r="D3533" s="31"/>
      <c r="E3533" s="4"/>
      <c r="F3533" s="15"/>
      <c r="G3533" s="4"/>
    </row>
    <row r="3534" ht="14.25" customHeight="1">
      <c r="A3534" s="8" t="s">
        <v>7102</v>
      </c>
      <c r="B3534" s="8">
        <v>5.6</v>
      </c>
      <c r="C3534" s="4"/>
      <c r="D3534" s="31"/>
      <c r="E3534" s="4"/>
      <c r="F3534" s="15"/>
      <c r="G3534" s="4"/>
    </row>
    <row r="3535" ht="14.25" customHeight="1">
      <c r="A3535" s="8" t="s">
        <v>7105</v>
      </c>
      <c r="B3535" s="8">
        <v>6.8</v>
      </c>
      <c r="C3535" s="4"/>
      <c r="D3535" s="31"/>
      <c r="E3535" s="4"/>
      <c r="F3535" s="15"/>
      <c r="G3535" s="4"/>
    </row>
    <row r="3536" ht="14.25" customHeight="1">
      <c r="A3536" s="8" t="s">
        <v>7108</v>
      </c>
      <c r="B3536" s="8">
        <v>7.3</v>
      </c>
      <c r="C3536" s="4"/>
      <c r="D3536" s="31"/>
      <c r="E3536" s="4"/>
      <c r="F3536" s="15"/>
      <c r="G3536" s="4"/>
    </row>
    <row r="3537" ht="14.25" customHeight="1">
      <c r="A3537" s="8" t="s">
        <v>7110</v>
      </c>
      <c r="B3537" s="8">
        <v>7.3</v>
      </c>
      <c r="C3537" s="4"/>
      <c r="D3537" s="31"/>
      <c r="E3537" s="4"/>
      <c r="F3537" s="15"/>
      <c r="G3537" s="4"/>
    </row>
    <row r="3538" ht="14.25" customHeight="1">
      <c r="A3538" s="8" t="s">
        <v>5666</v>
      </c>
      <c r="B3538" s="8">
        <v>6.6</v>
      </c>
      <c r="C3538" s="4"/>
      <c r="D3538" s="31"/>
      <c r="E3538" s="4"/>
      <c r="F3538" s="15"/>
      <c r="G3538" s="4"/>
    </row>
    <row r="3539" ht="14.25" customHeight="1">
      <c r="A3539" s="8" t="s">
        <v>7113</v>
      </c>
      <c r="B3539" s="8">
        <v>7.5</v>
      </c>
      <c r="C3539" s="4"/>
      <c r="D3539" s="31"/>
      <c r="E3539" s="4"/>
      <c r="F3539" s="15"/>
      <c r="G3539" s="4"/>
    </row>
    <row r="3540" ht="14.25" customHeight="1">
      <c r="A3540" s="8" t="s">
        <v>769</v>
      </c>
      <c r="B3540" s="8">
        <v>7.8</v>
      </c>
      <c r="C3540" s="4"/>
      <c r="D3540" s="31"/>
      <c r="E3540" s="4"/>
      <c r="F3540" s="15"/>
      <c r="G3540" s="4"/>
    </row>
    <row r="3541" ht="14.25" customHeight="1">
      <c r="A3541" s="8" t="s">
        <v>7118</v>
      </c>
      <c r="B3541" s="8">
        <v>6.7</v>
      </c>
      <c r="C3541" s="4"/>
      <c r="D3541" s="31"/>
      <c r="E3541" s="4"/>
      <c r="F3541" s="15"/>
      <c r="G3541" s="4"/>
    </row>
    <row r="3542" ht="14.25" customHeight="1">
      <c r="A3542" s="8" t="s">
        <v>5138</v>
      </c>
      <c r="B3542" s="8">
        <v>7.5</v>
      </c>
      <c r="C3542" s="4"/>
      <c r="D3542" s="31"/>
      <c r="E3542" s="4"/>
      <c r="F3542" s="15"/>
      <c r="G3542" s="4"/>
    </row>
    <row r="3543" ht="14.25" customHeight="1">
      <c r="A3543" s="8" t="s">
        <v>7122</v>
      </c>
      <c r="B3543" s="8">
        <v>6.3</v>
      </c>
      <c r="C3543" s="4"/>
      <c r="D3543" s="31"/>
      <c r="E3543" s="4"/>
      <c r="F3543" s="15"/>
      <c r="G3543" s="4"/>
    </row>
    <row r="3544" ht="14.25" customHeight="1">
      <c r="A3544" s="8" t="s">
        <v>7125</v>
      </c>
      <c r="B3544" s="8">
        <v>6.3</v>
      </c>
      <c r="C3544" s="4"/>
      <c r="D3544" s="31"/>
      <c r="E3544" s="4"/>
      <c r="F3544" s="15"/>
      <c r="G3544" s="4"/>
    </row>
    <row r="3545" ht="14.25" customHeight="1">
      <c r="A3545" s="8" t="s">
        <v>7128</v>
      </c>
      <c r="B3545" s="8">
        <v>6.8</v>
      </c>
      <c r="C3545" s="4"/>
      <c r="D3545" s="31"/>
      <c r="E3545" s="4"/>
      <c r="F3545" s="15"/>
      <c r="G3545" s="4"/>
    </row>
    <row r="3546" ht="14.25" customHeight="1">
      <c r="A3546" s="8" t="s">
        <v>7130</v>
      </c>
      <c r="B3546" s="8">
        <v>7.8</v>
      </c>
      <c r="C3546" s="4"/>
      <c r="D3546" s="31"/>
      <c r="E3546" s="4"/>
      <c r="F3546" s="15"/>
      <c r="G3546" s="4"/>
    </row>
    <row r="3547" ht="14.25" customHeight="1">
      <c r="A3547" s="8" t="s">
        <v>7133</v>
      </c>
      <c r="B3547" s="8">
        <v>6.9</v>
      </c>
      <c r="C3547" s="4"/>
      <c r="D3547" s="31"/>
      <c r="E3547" s="4"/>
      <c r="F3547" s="15"/>
      <c r="G3547" s="4"/>
    </row>
    <row r="3548" ht="14.25" customHeight="1">
      <c r="A3548" s="8" t="s">
        <v>7135</v>
      </c>
      <c r="B3548" s="8">
        <v>4.3</v>
      </c>
      <c r="C3548" s="4"/>
      <c r="D3548" s="31"/>
      <c r="E3548" s="4"/>
      <c r="F3548" s="15"/>
      <c r="G3548" s="4"/>
    </row>
    <row r="3549" ht="14.25" customHeight="1">
      <c r="A3549" s="8" t="s">
        <v>7137</v>
      </c>
      <c r="B3549" s="8">
        <v>7.2</v>
      </c>
      <c r="C3549" s="4"/>
      <c r="D3549" s="31"/>
      <c r="E3549" s="4"/>
      <c r="F3549" s="15"/>
      <c r="G3549" s="4"/>
    </row>
    <row r="3550" ht="14.25" customHeight="1">
      <c r="A3550" s="8" t="s">
        <v>7141</v>
      </c>
      <c r="B3550" s="8">
        <v>7.3</v>
      </c>
      <c r="C3550" s="4"/>
      <c r="D3550" s="31"/>
      <c r="E3550" s="4"/>
      <c r="F3550" s="15"/>
      <c r="G3550" s="4"/>
    </row>
    <row r="3551" ht="14.25" customHeight="1">
      <c r="A3551" s="8" t="s">
        <v>7144</v>
      </c>
      <c r="B3551" s="8">
        <v>7.2</v>
      </c>
      <c r="C3551" s="4"/>
      <c r="D3551" s="31"/>
      <c r="E3551" s="4"/>
      <c r="F3551" s="15"/>
      <c r="G3551" s="4"/>
    </row>
    <row r="3552" ht="14.25" customHeight="1">
      <c r="A3552" s="8" t="s">
        <v>1177</v>
      </c>
      <c r="B3552" s="8">
        <v>5.4</v>
      </c>
      <c r="C3552" s="4"/>
      <c r="D3552" s="31"/>
      <c r="E3552" s="4"/>
      <c r="F3552" s="15"/>
      <c r="G3552" s="4"/>
    </row>
    <row r="3553" ht="14.25" customHeight="1">
      <c r="A3553" s="8" t="s">
        <v>48</v>
      </c>
      <c r="B3553" s="8">
        <v>7.4</v>
      </c>
      <c r="C3553" s="4"/>
      <c r="D3553" s="31"/>
      <c r="E3553" s="4"/>
      <c r="F3553" s="15"/>
      <c r="G3553" s="4"/>
    </row>
    <row r="3554" ht="14.25" customHeight="1">
      <c r="A3554" s="8" t="s">
        <v>7147</v>
      </c>
      <c r="B3554" s="8">
        <v>7.1</v>
      </c>
      <c r="C3554" s="4"/>
      <c r="D3554" s="31"/>
      <c r="E3554" s="4"/>
      <c r="F3554" s="15"/>
      <c r="G3554" s="4"/>
    </row>
    <row r="3555" ht="14.25" customHeight="1">
      <c r="A3555" s="8" t="s">
        <v>7150</v>
      </c>
      <c r="B3555" s="8">
        <v>6.8</v>
      </c>
      <c r="C3555" s="4"/>
      <c r="D3555" s="31"/>
      <c r="E3555" s="4"/>
      <c r="F3555" s="15"/>
      <c r="G3555" s="4"/>
    </row>
    <row r="3556" ht="14.25" customHeight="1">
      <c r="A3556" s="8" t="s">
        <v>7152</v>
      </c>
      <c r="B3556" s="8">
        <v>7.0</v>
      </c>
      <c r="C3556" s="4"/>
      <c r="D3556" s="31"/>
      <c r="E3556" s="4"/>
      <c r="F3556" s="15"/>
      <c r="G3556" s="4"/>
    </row>
    <row r="3557" ht="14.25" customHeight="1">
      <c r="A3557" s="8" t="s">
        <v>5754</v>
      </c>
      <c r="B3557" s="8">
        <v>7.4</v>
      </c>
      <c r="C3557" s="4"/>
      <c r="D3557" s="31"/>
      <c r="E3557" s="4"/>
      <c r="F3557" s="15"/>
      <c r="G3557" s="4"/>
    </row>
    <row r="3558" ht="14.25" customHeight="1">
      <c r="A3558" s="8" t="s">
        <v>3692</v>
      </c>
      <c r="B3558" s="8">
        <v>6.7</v>
      </c>
      <c r="C3558" s="4"/>
      <c r="D3558" s="31"/>
      <c r="E3558" s="4"/>
      <c r="F3558" s="15"/>
      <c r="G3558" s="4"/>
    </row>
    <row r="3559" ht="14.25" customHeight="1">
      <c r="A3559" s="8" t="s">
        <v>3888</v>
      </c>
      <c r="B3559" s="8">
        <v>7.2</v>
      </c>
      <c r="C3559" s="4"/>
      <c r="D3559" s="31"/>
      <c r="E3559" s="4"/>
      <c r="F3559" s="15"/>
      <c r="G3559" s="4"/>
    </row>
    <row r="3560" ht="14.25" customHeight="1">
      <c r="A3560" s="8" t="s">
        <v>5778</v>
      </c>
      <c r="B3560" s="8">
        <v>7.5</v>
      </c>
      <c r="C3560" s="4"/>
      <c r="D3560" s="31"/>
      <c r="E3560" s="4"/>
      <c r="F3560" s="15"/>
      <c r="G3560" s="4"/>
    </row>
    <row r="3561" ht="14.25" customHeight="1">
      <c r="A3561" s="8" t="s">
        <v>145</v>
      </c>
      <c r="B3561" s="8">
        <v>6.8</v>
      </c>
      <c r="C3561" s="4"/>
      <c r="D3561" s="31"/>
      <c r="E3561" s="4"/>
      <c r="F3561" s="15"/>
      <c r="G3561" s="4"/>
    </row>
    <row r="3562" ht="14.25" customHeight="1">
      <c r="A3562" s="8" t="s">
        <v>7161</v>
      </c>
      <c r="B3562" s="8">
        <v>7.9</v>
      </c>
      <c r="C3562" s="4"/>
      <c r="D3562" s="31"/>
      <c r="E3562" s="4"/>
      <c r="F3562" s="15"/>
      <c r="G3562" s="4"/>
    </row>
    <row r="3563" ht="14.25" customHeight="1">
      <c r="A3563" s="8" t="s">
        <v>7163</v>
      </c>
      <c r="B3563" s="8">
        <v>6.7</v>
      </c>
      <c r="C3563" s="4"/>
      <c r="D3563" s="31"/>
      <c r="E3563" s="4"/>
      <c r="F3563" s="15"/>
      <c r="G3563" s="4"/>
    </row>
    <row r="3564" ht="14.25" customHeight="1">
      <c r="A3564" s="8" t="s">
        <v>7166</v>
      </c>
      <c r="B3564" s="8">
        <v>5.8</v>
      </c>
      <c r="C3564" s="4"/>
      <c r="D3564" s="31"/>
      <c r="E3564" s="4"/>
      <c r="F3564" s="15"/>
      <c r="G3564" s="4"/>
    </row>
    <row r="3565" ht="14.25" customHeight="1">
      <c r="A3565" s="8" t="s">
        <v>6637</v>
      </c>
      <c r="B3565" s="8">
        <v>6.5</v>
      </c>
      <c r="C3565" s="4"/>
      <c r="D3565" s="31"/>
      <c r="E3565" s="4"/>
      <c r="F3565" s="15"/>
      <c r="G3565" s="4"/>
    </row>
    <row r="3566" ht="14.25" customHeight="1">
      <c r="A3566" s="8" t="s">
        <v>7170</v>
      </c>
      <c r="B3566" s="8">
        <v>7.2</v>
      </c>
      <c r="C3566" s="4"/>
      <c r="D3566" s="31"/>
      <c r="E3566" s="4"/>
      <c r="F3566" s="15"/>
      <c r="G3566" s="4"/>
    </row>
    <row r="3567" ht="14.25" customHeight="1">
      <c r="A3567" s="8" t="s">
        <v>5035</v>
      </c>
      <c r="B3567" s="8">
        <v>6.5</v>
      </c>
      <c r="C3567" s="4"/>
      <c r="D3567" s="31"/>
      <c r="E3567" s="4"/>
      <c r="F3567" s="15"/>
      <c r="G3567" s="4"/>
    </row>
    <row r="3568" ht="14.25" customHeight="1">
      <c r="A3568" s="8" t="s">
        <v>7174</v>
      </c>
      <c r="B3568" s="8">
        <v>6.2</v>
      </c>
      <c r="C3568" s="4"/>
      <c r="D3568" s="31"/>
      <c r="E3568" s="4"/>
      <c r="F3568" s="15"/>
      <c r="G3568" s="4"/>
    </row>
    <row r="3569" ht="14.25" customHeight="1">
      <c r="A3569" s="8" t="s">
        <v>7177</v>
      </c>
      <c r="B3569" s="8">
        <v>8.6</v>
      </c>
      <c r="C3569" s="4"/>
      <c r="D3569" s="31"/>
      <c r="E3569" s="4"/>
      <c r="F3569" s="15"/>
      <c r="G3569" s="4"/>
    </row>
    <row r="3570" ht="14.25" customHeight="1">
      <c r="A3570" s="8" t="s">
        <v>7180</v>
      </c>
      <c r="B3570" s="8">
        <v>6.5</v>
      </c>
      <c r="C3570" s="4"/>
      <c r="D3570" s="31"/>
      <c r="E3570" s="4"/>
      <c r="F3570" s="15"/>
      <c r="G3570" s="4"/>
    </row>
    <row r="3571" ht="14.25" customHeight="1">
      <c r="A3571" s="8" t="s">
        <v>7182</v>
      </c>
      <c r="B3571" s="8">
        <v>6.3</v>
      </c>
      <c r="C3571" s="4"/>
      <c r="D3571" s="31"/>
      <c r="E3571" s="4"/>
      <c r="F3571" s="15"/>
      <c r="G3571" s="4"/>
    </row>
    <row r="3572" ht="14.25" customHeight="1">
      <c r="A3572" s="8" t="s">
        <v>5222</v>
      </c>
      <c r="B3572" s="8">
        <v>4.3</v>
      </c>
      <c r="C3572" s="4"/>
      <c r="D3572" s="31"/>
      <c r="E3572" s="4"/>
      <c r="F3572" s="15"/>
      <c r="G3572" s="4"/>
    </row>
    <row r="3573" ht="14.25" customHeight="1">
      <c r="A3573" s="8" t="s">
        <v>7185</v>
      </c>
      <c r="B3573" s="8">
        <v>6.1</v>
      </c>
      <c r="C3573" s="4"/>
      <c r="D3573" s="31"/>
      <c r="E3573" s="4"/>
      <c r="F3573" s="15"/>
      <c r="G3573" s="4"/>
    </row>
    <row r="3574" ht="14.25" customHeight="1">
      <c r="A3574" s="8" t="s">
        <v>5917</v>
      </c>
      <c r="B3574" s="8">
        <v>5.8</v>
      </c>
      <c r="C3574" s="4"/>
      <c r="D3574" s="31"/>
      <c r="E3574" s="4"/>
      <c r="F3574" s="15"/>
      <c r="G3574" s="4"/>
    </row>
    <row r="3575" ht="14.25" customHeight="1">
      <c r="A3575" s="8" t="s">
        <v>7190</v>
      </c>
      <c r="B3575" s="8">
        <v>6.7</v>
      </c>
      <c r="C3575" s="4"/>
      <c r="D3575" s="31"/>
      <c r="E3575" s="4"/>
      <c r="F3575" s="15"/>
      <c r="G3575" s="4"/>
    </row>
    <row r="3576" ht="14.25" customHeight="1">
      <c r="A3576" s="8" t="s">
        <v>7193</v>
      </c>
      <c r="B3576" s="8">
        <v>6.7</v>
      </c>
      <c r="C3576" s="4"/>
      <c r="D3576" s="31"/>
      <c r="E3576" s="4"/>
      <c r="F3576" s="15"/>
      <c r="G3576" s="4"/>
    </row>
    <row r="3577" ht="14.25" customHeight="1">
      <c r="A3577" s="8" t="s">
        <v>4891</v>
      </c>
      <c r="B3577" s="8">
        <v>5.1</v>
      </c>
      <c r="C3577" s="4"/>
      <c r="D3577" s="31"/>
      <c r="E3577" s="4"/>
      <c r="F3577" s="15"/>
      <c r="G3577" s="4"/>
    </row>
    <row r="3578" ht="14.25" customHeight="1">
      <c r="A3578" s="8" t="s">
        <v>377</v>
      </c>
      <c r="B3578" s="8">
        <v>7.0</v>
      </c>
      <c r="C3578" s="4"/>
      <c r="D3578" s="31"/>
      <c r="E3578" s="4"/>
      <c r="F3578" s="15"/>
      <c r="G3578" s="4"/>
    </row>
    <row r="3579" ht="14.25" customHeight="1">
      <c r="A3579" s="8" t="s">
        <v>7196</v>
      </c>
      <c r="B3579" s="8">
        <v>7.7</v>
      </c>
      <c r="C3579" s="4"/>
      <c r="D3579" s="31"/>
      <c r="E3579" s="4"/>
      <c r="F3579" s="15"/>
      <c r="G3579" s="4"/>
    </row>
    <row r="3580" ht="14.25" customHeight="1">
      <c r="A3580" s="8" t="s">
        <v>7199</v>
      </c>
      <c r="B3580" s="8">
        <v>6.7</v>
      </c>
      <c r="C3580" s="4"/>
      <c r="D3580" s="31"/>
      <c r="E3580" s="4"/>
      <c r="F3580" s="15"/>
      <c r="G3580" s="4"/>
    </row>
    <row r="3581" ht="14.25" customHeight="1">
      <c r="A3581" s="8" t="s">
        <v>7201</v>
      </c>
      <c r="B3581" s="8">
        <v>6.6</v>
      </c>
      <c r="C3581" s="4"/>
      <c r="D3581" s="31"/>
      <c r="E3581" s="4"/>
      <c r="F3581" s="15"/>
      <c r="G3581" s="4"/>
    </row>
    <row r="3582" ht="14.25" customHeight="1">
      <c r="A3582" s="8" t="s">
        <v>538</v>
      </c>
      <c r="B3582" s="8">
        <v>8.2</v>
      </c>
      <c r="C3582" s="4"/>
      <c r="D3582" s="31"/>
      <c r="E3582" s="4"/>
      <c r="F3582" s="15"/>
      <c r="G3582" s="4"/>
    </row>
    <row r="3583" ht="14.25" customHeight="1">
      <c r="A3583" s="8" t="s">
        <v>6016</v>
      </c>
      <c r="B3583" s="8">
        <v>8.1</v>
      </c>
      <c r="C3583" s="4"/>
      <c r="D3583" s="31"/>
      <c r="E3583" s="4"/>
      <c r="F3583" s="15"/>
      <c r="G3583" s="4"/>
    </row>
    <row r="3584" ht="14.25" customHeight="1">
      <c r="A3584" s="8" t="s">
        <v>119</v>
      </c>
      <c r="B3584" s="8">
        <v>7.2</v>
      </c>
      <c r="C3584" s="4"/>
      <c r="D3584" s="31"/>
      <c r="E3584" s="4"/>
      <c r="F3584" s="15"/>
      <c r="G3584" s="4"/>
    </row>
    <row r="3585" ht="14.25" customHeight="1">
      <c r="A3585" s="8" t="s">
        <v>7208</v>
      </c>
      <c r="B3585" s="8">
        <v>7.4</v>
      </c>
      <c r="C3585" s="4"/>
      <c r="D3585" s="31"/>
      <c r="E3585" s="4"/>
      <c r="F3585" s="15"/>
      <c r="G3585" s="4"/>
    </row>
    <row r="3586" ht="14.25" customHeight="1">
      <c r="A3586" s="8" t="s">
        <v>7212</v>
      </c>
      <c r="B3586" s="8">
        <v>6.5</v>
      </c>
      <c r="C3586" s="4"/>
      <c r="D3586" s="31"/>
      <c r="E3586" s="4"/>
      <c r="F3586" s="15"/>
      <c r="G3586" s="4"/>
    </row>
    <row r="3587" ht="14.25" customHeight="1">
      <c r="A3587" s="8" t="s">
        <v>7214</v>
      </c>
      <c r="B3587" s="8">
        <v>5.7</v>
      </c>
      <c r="C3587" s="4"/>
      <c r="D3587" s="31"/>
      <c r="E3587" s="4"/>
      <c r="F3587" s="15"/>
      <c r="G3587" s="4"/>
    </row>
    <row r="3588" ht="14.25" customHeight="1">
      <c r="A3588" s="8" t="s">
        <v>1747</v>
      </c>
      <c r="B3588" s="8">
        <v>6.1</v>
      </c>
      <c r="C3588" s="4"/>
      <c r="D3588" s="31"/>
      <c r="E3588" s="4"/>
      <c r="F3588" s="15"/>
      <c r="G3588" s="4"/>
    </row>
    <row r="3589" ht="14.25" customHeight="1">
      <c r="A3589" s="8" t="s">
        <v>7216</v>
      </c>
      <c r="B3589" s="8">
        <v>6.2</v>
      </c>
      <c r="C3589" s="4"/>
      <c r="D3589" s="31"/>
      <c r="E3589" s="4"/>
      <c r="F3589" s="15"/>
      <c r="G3589" s="4"/>
    </row>
    <row r="3590" ht="14.25" customHeight="1">
      <c r="A3590" s="8" t="s">
        <v>7218</v>
      </c>
      <c r="B3590" s="8">
        <v>3.3</v>
      </c>
      <c r="C3590" s="4"/>
      <c r="D3590" s="31"/>
      <c r="E3590" s="4"/>
      <c r="F3590" s="15"/>
      <c r="G3590" s="4"/>
    </row>
    <row r="3591" ht="14.25" customHeight="1">
      <c r="A3591" s="8" t="s">
        <v>2814</v>
      </c>
      <c r="B3591" s="8">
        <v>6.1</v>
      </c>
      <c r="C3591" s="4"/>
      <c r="D3591" s="31"/>
      <c r="E3591" s="4"/>
      <c r="F3591" s="15"/>
      <c r="G3591" s="4"/>
    </row>
    <row r="3592" ht="14.25" customHeight="1">
      <c r="A3592" s="8" t="s">
        <v>7223</v>
      </c>
      <c r="B3592" s="8">
        <v>5.7</v>
      </c>
      <c r="C3592" s="4"/>
      <c r="D3592" s="31"/>
      <c r="E3592" s="4"/>
      <c r="F3592" s="15"/>
      <c r="G3592" s="4"/>
    </row>
    <row r="3593" ht="14.25" customHeight="1">
      <c r="A3593" s="8" t="s">
        <v>639</v>
      </c>
      <c r="B3593" s="8">
        <v>7.2</v>
      </c>
      <c r="C3593" s="4"/>
      <c r="D3593" s="31"/>
      <c r="E3593" s="4"/>
      <c r="F3593" s="15"/>
      <c r="G3593" s="4"/>
    </row>
    <row r="3594" ht="14.25" customHeight="1">
      <c r="A3594" s="8" t="s">
        <v>145</v>
      </c>
      <c r="B3594" s="8">
        <v>7.7</v>
      </c>
      <c r="C3594" s="4"/>
      <c r="D3594" s="31"/>
      <c r="E3594" s="4"/>
      <c r="F3594" s="15"/>
      <c r="G3594" s="4"/>
    </row>
    <row r="3595" ht="14.25" customHeight="1">
      <c r="A3595" s="8" t="s">
        <v>1996</v>
      </c>
      <c r="B3595" s="8">
        <v>7.1</v>
      </c>
      <c r="C3595" s="4"/>
      <c r="D3595" s="31"/>
      <c r="E3595" s="4"/>
      <c r="F3595" s="15"/>
      <c r="G3595" s="4"/>
    </row>
    <row r="3596" ht="14.25" customHeight="1">
      <c r="A3596" s="8" t="s">
        <v>7230</v>
      </c>
      <c r="B3596" s="8">
        <v>7.0</v>
      </c>
      <c r="C3596" s="4"/>
      <c r="D3596" s="31"/>
      <c r="E3596" s="4"/>
      <c r="F3596" s="15"/>
      <c r="G3596" s="4"/>
    </row>
    <row r="3597" ht="14.25" customHeight="1">
      <c r="A3597" s="8" t="s">
        <v>1111</v>
      </c>
      <c r="B3597" s="8">
        <v>5.5</v>
      </c>
      <c r="C3597" s="4"/>
      <c r="D3597" s="31"/>
      <c r="E3597" s="4"/>
      <c r="F3597" s="15"/>
      <c r="G3597" s="4"/>
    </row>
    <row r="3598" ht="14.25" customHeight="1">
      <c r="A3598" s="8" t="s">
        <v>3996</v>
      </c>
      <c r="B3598" s="8">
        <v>7.4</v>
      </c>
      <c r="C3598" s="4"/>
      <c r="D3598" s="31"/>
      <c r="E3598" s="4"/>
      <c r="F3598" s="15"/>
      <c r="G3598" s="4"/>
    </row>
    <row r="3599" ht="14.25" customHeight="1">
      <c r="A3599" s="8" t="s">
        <v>5159</v>
      </c>
      <c r="B3599" s="8">
        <v>7.7</v>
      </c>
      <c r="C3599" s="4"/>
      <c r="D3599" s="31"/>
      <c r="E3599" s="4"/>
      <c r="F3599" s="15"/>
      <c r="G3599" s="4"/>
    </row>
    <row r="3600" ht="14.25" customHeight="1">
      <c r="A3600" s="8" t="s">
        <v>2407</v>
      </c>
      <c r="B3600" s="8">
        <v>7.8</v>
      </c>
      <c r="C3600" s="4"/>
      <c r="D3600" s="31"/>
      <c r="E3600" s="4"/>
      <c r="F3600" s="15"/>
      <c r="G3600" s="4"/>
    </row>
    <row r="3601" ht="14.25" customHeight="1">
      <c r="A3601" s="8" t="s">
        <v>7236</v>
      </c>
      <c r="B3601" s="8">
        <v>6.6</v>
      </c>
      <c r="C3601" s="4"/>
      <c r="D3601" s="31"/>
      <c r="E3601" s="4"/>
      <c r="F3601" s="15"/>
      <c r="G3601" s="4"/>
    </row>
    <row r="3602" ht="14.25" customHeight="1">
      <c r="A3602" s="8" t="s">
        <v>7238</v>
      </c>
      <c r="B3602" s="8">
        <v>6.0</v>
      </c>
      <c r="C3602" s="4"/>
      <c r="D3602" s="31"/>
      <c r="E3602" s="4"/>
      <c r="F3602" s="15"/>
      <c r="G3602" s="4"/>
    </row>
    <row r="3603" ht="14.25" customHeight="1">
      <c r="A3603" s="8" t="s">
        <v>734</v>
      </c>
      <c r="B3603" s="8">
        <v>8.4</v>
      </c>
      <c r="C3603" s="4"/>
      <c r="D3603" s="31"/>
      <c r="E3603" s="4"/>
      <c r="F3603" s="15"/>
      <c r="G3603" s="4"/>
    </row>
    <row r="3604" ht="14.25" customHeight="1">
      <c r="A3604" s="8" t="s">
        <v>3421</v>
      </c>
      <c r="B3604" s="8">
        <v>8.9</v>
      </c>
      <c r="C3604" s="4"/>
      <c r="D3604" s="31"/>
      <c r="E3604" s="4"/>
      <c r="F3604" s="15"/>
      <c r="G3604" s="4"/>
    </row>
    <row r="3605" ht="14.25" customHeight="1">
      <c r="A3605" s="8" t="s">
        <v>7242</v>
      </c>
      <c r="B3605" s="8">
        <v>7.9</v>
      </c>
      <c r="C3605" s="4"/>
      <c r="D3605" s="31"/>
      <c r="E3605" s="4"/>
      <c r="F3605" s="15"/>
      <c r="G3605" s="4"/>
    </row>
    <row r="3606" ht="14.25" customHeight="1">
      <c r="A3606" s="8" t="s">
        <v>7245</v>
      </c>
      <c r="B3606" s="8">
        <v>6.0</v>
      </c>
      <c r="C3606" s="4"/>
      <c r="D3606" s="31"/>
      <c r="E3606" s="4"/>
      <c r="F3606" s="15"/>
      <c r="G3606" s="4"/>
    </row>
    <row r="3607" ht="14.25" customHeight="1">
      <c r="A3607" s="8" t="s">
        <v>7248</v>
      </c>
      <c r="B3607" s="8">
        <v>6.1</v>
      </c>
      <c r="C3607" s="4"/>
      <c r="D3607" s="31"/>
      <c r="E3607" s="4"/>
      <c r="F3607" s="15"/>
      <c r="G3607" s="4"/>
    </row>
    <row r="3608" ht="14.25" customHeight="1">
      <c r="A3608" s="8" t="s">
        <v>7251</v>
      </c>
      <c r="B3608" s="8">
        <v>6.2</v>
      </c>
      <c r="C3608" s="4"/>
      <c r="D3608" s="31"/>
      <c r="E3608" s="4"/>
      <c r="F3608" s="15"/>
      <c r="G3608" s="4"/>
    </row>
    <row r="3609" ht="14.25" customHeight="1">
      <c r="A3609" s="8" t="s">
        <v>7253</v>
      </c>
      <c r="B3609" s="8">
        <v>7.2</v>
      </c>
      <c r="C3609" s="4"/>
      <c r="D3609" s="31"/>
      <c r="E3609" s="4"/>
      <c r="F3609" s="15"/>
      <c r="G3609" s="4"/>
    </row>
    <row r="3610" ht="14.25" customHeight="1">
      <c r="A3610" s="8" t="s">
        <v>1471</v>
      </c>
      <c r="B3610" s="8">
        <v>6.2</v>
      </c>
      <c r="C3610" s="4"/>
      <c r="D3610" s="31"/>
      <c r="E3610" s="4"/>
      <c r="F3610" s="15"/>
      <c r="G3610" s="4"/>
    </row>
    <row r="3611" ht="14.25" customHeight="1">
      <c r="A3611" s="8" t="s">
        <v>7259</v>
      </c>
      <c r="B3611" s="8">
        <v>6.8</v>
      </c>
      <c r="C3611" s="4"/>
      <c r="D3611" s="31"/>
      <c r="E3611" s="4"/>
      <c r="F3611" s="15"/>
      <c r="G3611" s="4"/>
    </row>
    <row r="3612" ht="14.25" customHeight="1">
      <c r="A3612" s="8" t="s">
        <v>6965</v>
      </c>
      <c r="B3612" s="8">
        <v>7.7</v>
      </c>
      <c r="C3612" s="4"/>
      <c r="D3612" s="31"/>
      <c r="E3612" s="4"/>
      <c r="F3612" s="15"/>
      <c r="G3612" s="4"/>
    </row>
    <row r="3613" ht="14.25" customHeight="1">
      <c r="A3613" s="8" t="s">
        <v>7262</v>
      </c>
      <c r="B3613" s="8">
        <v>5.9</v>
      </c>
      <c r="C3613" s="4"/>
      <c r="D3613" s="31"/>
      <c r="E3613" s="4"/>
      <c r="F3613" s="15"/>
      <c r="G3613" s="4"/>
    </row>
    <row r="3614" ht="14.25" customHeight="1">
      <c r="A3614" s="8" t="s">
        <v>7266</v>
      </c>
      <c r="B3614" s="8">
        <v>7.0</v>
      </c>
      <c r="C3614" s="4"/>
      <c r="D3614" s="31"/>
      <c r="E3614" s="4"/>
      <c r="F3614" s="15"/>
      <c r="G3614" s="4"/>
    </row>
    <row r="3615" ht="14.25" customHeight="1">
      <c r="A3615" s="8" t="s">
        <v>7270</v>
      </c>
      <c r="B3615" s="8">
        <v>6.1</v>
      </c>
      <c r="C3615" s="4"/>
      <c r="D3615" s="31"/>
      <c r="E3615" s="4"/>
      <c r="F3615" s="15"/>
      <c r="G3615" s="4"/>
    </row>
    <row r="3616" ht="14.25" customHeight="1">
      <c r="A3616" s="8" t="s">
        <v>7273</v>
      </c>
      <c r="B3616" s="8">
        <v>7.6</v>
      </c>
      <c r="C3616" s="4"/>
      <c r="D3616" s="31"/>
      <c r="E3616" s="4"/>
      <c r="F3616" s="15"/>
      <c r="G3616" s="4"/>
    </row>
    <row r="3617" ht="14.25" customHeight="1">
      <c r="A3617" s="8" t="s">
        <v>2479</v>
      </c>
      <c r="B3617" s="8">
        <v>8.1</v>
      </c>
      <c r="C3617" s="4"/>
      <c r="D3617" s="31"/>
      <c r="E3617" s="4"/>
      <c r="F3617" s="15"/>
      <c r="G3617" s="4"/>
    </row>
    <row r="3618" ht="14.25" customHeight="1">
      <c r="A3618" s="8" t="s">
        <v>2158</v>
      </c>
      <c r="B3618" s="8">
        <v>6.8</v>
      </c>
      <c r="C3618" s="4"/>
      <c r="D3618" s="31"/>
      <c r="E3618" s="4"/>
      <c r="F3618" s="15"/>
      <c r="G3618" s="4"/>
    </row>
    <row r="3619" ht="14.25" customHeight="1">
      <c r="A3619" s="8" t="s">
        <v>7278</v>
      </c>
      <c r="B3619" s="8">
        <v>5.7</v>
      </c>
      <c r="C3619" s="4"/>
      <c r="D3619" s="31"/>
      <c r="E3619" s="4"/>
      <c r="F3619" s="15"/>
      <c r="G3619" s="4"/>
    </row>
    <row r="3620" ht="14.25" customHeight="1">
      <c r="A3620" s="8" t="s">
        <v>1167</v>
      </c>
      <c r="B3620" s="8">
        <v>6.6</v>
      </c>
      <c r="C3620" s="4"/>
      <c r="D3620" s="31"/>
      <c r="E3620" s="4"/>
      <c r="F3620" s="15"/>
      <c r="G3620" s="4"/>
    </row>
    <row r="3621" ht="14.25" customHeight="1">
      <c r="A3621" s="8" t="s">
        <v>5849</v>
      </c>
      <c r="B3621" s="8">
        <v>7.3</v>
      </c>
      <c r="C3621" s="4"/>
      <c r="D3621" s="31"/>
      <c r="E3621" s="4"/>
      <c r="F3621" s="15"/>
      <c r="G3621" s="4"/>
    </row>
    <row r="3622" ht="14.25" customHeight="1">
      <c r="A3622" s="8" t="s">
        <v>7284</v>
      </c>
      <c r="B3622" s="8">
        <v>5.0</v>
      </c>
      <c r="C3622" s="4"/>
      <c r="D3622" s="31"/>
      <c r="E3622" s="4"/>
      <c r="F3622" s="15"/>
      <c r="G3622" s="4"/>
    </row>
    <row r="3623" ht="14.25" customHeight="1">
      <c r="A3623" s="8" t="s">
        <v>7286</v>
      </c>
      <c r="B3623" s="8">
        <v>7.0</v>
      </c>
      <c r="C3623" s="4"/>
      <c r="D3623" s="31"/>
      <c r="E3623" s="4"/>
      <c r="F3623" s="15"/>
      <c r="G3623" s="4"/>
    </row>
    <row r="3624" ht="14.25" customHeight="1">
      <c r="A3624" s="8" t="s">
        <v>7289</v>
      </c>
      <c r="B3624" s="8">
        <v>3.4</v>
      </c>
      <c r="C3624" s="4"/>
      <c r="D3624" s="31"/>
      <c r="E3624" s="4"/>
      <c r="F3624" s="15"/>
      <c r="G3624" s="4"/>
    </row>
    <row r="3625" ht="14.25" customHeight="1">
      <c r="A3625" s="8" t="s">
        <v>3542</v>
      </c>
      <c r="B3625" s="8">
        <v>5.9</v>
      </c>
      <c r="C3625" s="4"/>
      <c r="D3625" s="31"/>
      <c r="E3625" s="4"/>
      <c r="F3625" s="15"/>
      <c r="G3625" s="4"/>
    </row>
    <row r="3626" ht="14.25" customHeight="1">
      <c r="A3626" s="8" t="s">
        <v>7293</v>
      </c>
      <c r="B3626" s="8">
        <v>6.0</v>
      </c>
      <c r="C3626" s="4"/>
      <c r="D3626" s="31"/>
      <c r="E3626" s="4"/>
      <c r="F3626" s="15"/>
      <c r="G3626" s="4"/>
    </row>
    <row r="3627" ht="14.25" customHeight="1">
      <c r="A3627" s="8" t="s">
        <v>4950</v>
      </c>
      <c r="B3627" s="8">
        <v>7.4</v>
      </c>
      <c r="C3627" s="4"/>
      <c r="D3627" s="31"/>
      <c r="E3627" s="4"/>
      <c r="F3627" s="15"/>
      <c r="G3627" s="4"/>
    </row>
    <row r="3628" ht="14.25" customHeight="1">
      <c r="A3628" s="8" t="s">
        <v>7297</v>
      </c>
      <c r="B3628" s="8">
        <v>7.4</v>
      </c>
      <c r="C3628" s="4"/>
      <c r="D3628" s="31"/>
      <c r="E3628" s="4"/>
      <c r="F3628" s="15"/>
      <c r="G3628" s="4"/>
    </row>
    <row r="3629" ht="14.25" customHeight="1">
      <c r="A3629" s="8" t="s">
        <v>4249</v>
      </c>
      <c r="B3629" s="8">
        <v>4.2</v>
      </c>
      <c r="C3629" s="4"/>
      <c r="D3629" s="31"/>
      <c r="E3629" s="4"/>
      <c r="F3629" s="15"/>
      <c r="G3629" s="4"/>
    </row>
    <row r="3630" ht="14.25" customHeight="1">
      <c r="A3630" s="8" t="s">
        <v>7301</v>
      </c>
      <c r="B3630" s="8">
        <v>6.2</v>
      </c>
      <c r="C3630" s="4"/>
      <c r="D3630" s="31"/>
      <c r="E3630" s="4"/>
      <c r="F3630" s="15"/>
      <c r="G3630" s="4"/>
    </row>
    <row r="3631" ht="14.25" customHeight="1">
      <c r="A3631" s="8" t="s">
        <v>6035</v>
      </c>
      <c r="B3631" s="8">
        <v>5.4</v>
      </c>
      <c r="C3631" s="4"/>
      <c r="D3631" s="31"/>
      <c r="E3631" s="4"/>
      <c r="F3631" s="15"/>
      <c r="G3631" s="4"/>
    </row>
    <row r="3632" ht="14.25" customHeight="1">
      <c r="A3632" s="8" t="s">
        <v>7304</v>
      </c>
      <c r="B3632" s="8">
        <v>7.2</v>
      </c>
      <c r="C3632" s="4"/>
      <c r="D3632" s="31"/>
      <c r="E3632" s="4"/>
      <c r="F3632" s="15"/>
      <c r="G3632" s="4"/>
    </row>
    <row r="3633" ht="14.25" customHeight="1">
      <c r="A3633" s="8" t="s">
        <v>5035</v>
      </c>
      <c r="B3633" s="8">
        <v>6.7</v>
      </c>
      <c r="C3633" s="4"/>
      <c r="D3633" s="31"/>
      <c r="E3633" s="4"/>
      <c r="F3633" s="15"/>
      <c r="G3633" s="4"/>
    </row>
    <row r="3634" ht="14.25" customHeight="1">
      <c r="A3634" s="8" t="s">
        <v>3240</v>
      </c>
      <c r="B3634" s="8">
        <v>7.5</v>
      </c>
      <c r="C3634" s="4"/>
      <c r="D3634" s="31"/>
      <c r="E3634" s="4"/>
      <c r="F3634" s="15"/>
      <c r="G3634" s="4"/>
    </row>
    <row r="3635" ht="14.25" customHeight="1">
      <c r="A3635" s="8" t="s">
        <v>7308</v>
      </c>
      <c r="B3635" s="8">
        <v>7.2</v>
      </c>
      <c r="C3635" s="4"/>
      <c r="D3635" s="31"/>
      <c r="E3635" s="4"/>
      <c r="F3635" s="15"/>
      <c r="G3635" s="4"/>
    </row>
    <row r="3636" ht="14.25" customHeight="1">
      <c r="A3636" s="8" t="s">
        <v>7310</v>
      </c>
      <c r="B3636" s="8">
        <v>7.4</v>
      </c>
      <c r="C3636" s="4"/>
      <c r="D3636" s="31"/>
      <c r="E3636" s="4"/>
      <c r="F3636" s="15"/>
      <c r="G3636" s="4"/>
    </row>
    <row r="3637" ht="14.25" customHeight="1">
      <c r="A3637" s="8" t="s">
        <v>6361</v>
      </c>
      <c r="B3637" s="8">
        <v>5.6</v>
      </c>
      <c r="C3637" s="4"/>
      <c r="D3637" s="31"/>
      <c r="E3637" s="4"/>
      <c r="F3637" s="15"/>
      <c r="G3637" s="4"/>
    </row>
    <row r="3638" ht="14.25" customHeight="1">
      <c r="A3638" s="8" t="s">
        <v>5967</v>
      </c>
      <c r="B3638" s="8">
        <v>6.8</v>
      </c>
      <c r="C3638" s="4"/>
      <c r="D3638" s="31"/>
      <c r="E3638" s="4"/>
      <c r="F3638" s="15"/>
      <c r="G3638" s="4"/>
    </row>
    <row r="3639" ht="14.25" customHeight="1">
      <c r="A3639" s="8" t="s">
        <v>7316</v>
      </c>
      <c r="B3639" s="8">
        <v>7.7</v>
      </c>
      <c r="C3639" s="4"/>
      <c r="D3639" s="31"/>
      <c r="E3639" s="4"/>
      <c r="F3639" s="15"/>
      <c r="G3639" s="4"/>
    </row>
    <row r="3640" ht="14.25" customHeight="1">
      <c r="A3640" s="8" t="s">
        <v>7318</v>
      </c>
      <c r="B3640" s="8">
        <v>7.0</v>
      </c>
      <c r="C3640" s="4"/>
      <c r="D3640" s="31"/>
      <c r="E3640" s="4"/>
      <c r="F3640" s="15"/>
      <c r="G3640" s="4"/>
    </row>
    <row r="3641" ht="14.25" customHeight="1">
      <c r="A3641" s="8" t="s">
        <v>202</v>
      </c>
      <c r="B3641" s="8">
        <v>6.4</v>
      </c>
      <c r="C3641" s="4"/>
      <c r="D3641" s="31"/>
      <c r="E3641" s="4"/>
      <c r="F3641" s="15"/>
      <c r="G3641" s="4"/>
    </row>
    <row r="3642" ht="14.25" customHeight="1">
      <c r="A3642" s="8" t="s">
        <v>7320</v>
      </c>
      <c r="B3642" s="8">
        <v>7.2</v>
      </c>
      <c r="C3642" s="4"/>
      <c r="D3642" s="31"/>
      <c r="E3642" s="4"/>
      <c r="F3642" s="15"/>
      <c r="G3642" s="4"/>
    </row>
    <row r="3643" ht="14.25" customHeight="1">
      <c r="A3643" s="8" t="s">
        <v>7323</v>
      </c>
      <c r="B3643" s="8">
        <v>7.2</v>
      </c>
      <c r="C3643" s="4"/>
      <c r="D3643" s="31"/>
      <c r="E3643" s="4"/>
      <c r="F3643" s="15"/>
      <c r="G3643" s="4"/>
    </row>
    <row r="3644" ht="14.25" customHeight="1">
      <c r="A3644" s="8" t="s">
        <v>7325</v>
      </c>
      <c r="B3644" s="8">
        <v>6.2</v>
      </c>
      <c r="C3644" s="4"/>
      <c r="D3644" s="31"/>
      <c r="E3644" s="4"/>
      <c r="F3644" s="15"/>
      <c r="G3644" s="4"/>
    </row>
    <row r="3645" ht="14.25" customHeight="1">
      <c r="A3645" s="8" t="s">
        <v>4084</v>
      </c>
      <c r="B3645" s="8">
        <v>6.2</v>
      </c>
      <c r="C3645" s="4"/>
      <c r="D3645" s="31"/>
      <c r="E3645" s="4"/>
      <c r="F3645" s="15"/>
      <c r="G3645" s="4"/>
    </row>
    <row r="3646" ht="14.25" customHeight="1">
      <c r="A3646" s="8" t="s">
        <v>2176</v>
      </c>
      <c r="B3646" s="8">
        <v>6.9</v>
      </c>
      <c r="C3646" s="4"/>
      <c r="D3646" s="31"/>
      <c r="E3646" s="4"/>
      <c r="F3646" s="15"/>
      <c r="G3646" s="4"/>
    </row>
    <row r="3647" ht="14.25" customHeight="1">
      <c r="A3647" s="8" t="s">
        <v>7330</v>
      </c>
      <c r="B3647" s="8">
        <v>7.0</v>
      </c>
      <c r="C3647" s="4"/>
      <c r="D3647" s="31"/>
      <c r="E3647" s="4"/>
      <c r="F3647" s="15"/>
      <c r="G3647" s="4"/>
    </row>
    <row r="3648" ht="14.25" customHeight="1">
      <c r="A3648" s="8" t="s">
        <v>7332</v>
      </c>
      <c r="B3648" s="8">
        <v>6.7</v>
      </c>
      <c r="C3648" s="4"/>
      <c r="D3648" s="31"/>
      <c r="E3648" s="4"/>
      <c r="F3648" s="15"/>
      <c r="G3648" s="4"/>
    </row>
    <row r="3649" ht="14.25" customHeight="1">
      <c r="A3649" s="8" t="s">
        <v>7334</v>
      </c>
      <c r="B3649" s="8">
        <v>3.6</v>
      </c>
      <c r="C3649" s="4"/>
      <c r="D3649" s="31"/>
      <c r="E3649" s="4"/>
      <c r="F3649" s="15"/>
      <c r="G3649" s="4"/>
    </row>
    <row r="3650" ht="14.25" customHeight="1">
      <c r="A3650" s="8" t="s">
        <v>7336</v>
      </c>
      <c r="B3650" s="8">
        <v>7.4</v>
      </c>
      <c r="C3650" s="4"/>
      <c r="D3650" s="31"/>
      <c r="E3650" s="4"/>
      <c r="F3650" s="15"/>
      <c r="G3650" s="4"/>
    </row>
    <row r="3651" ht="14.25" customHeight="1">
      <c r="A3651" s="8" t="s">
        <v>7338</v>
      </c>
      <c r="B3651" s="8">
        <v>6.1</v>
      </c>
      <c r="C3651" s="4"/>
      <c r="D3651" s="31"/>
      <c r="E3651" s="4"/>
      <c r="F3651" s="15"/>
      <c r="G3651" s="4"/>
    </row>
    <row r="3652" ht="14.25" customHeight="1">
      <c r="A3652" s="8" t="s">
        <v>73</v>
      </c>
      <c r="B3652" s="8">
        <v>6.7</v>
      </c>
      <c r="C3652" s="4"/>
      <c r="D3652" s="31"/>
      <c r="E3652" s="4"/>
      <c r="F3652" s="15"/>
      <c r="G3652" s="4"/>
    </row>
    <row r="3653" ht="14.25" customHeight="1">
      <c r="A3653" s="8" t="s">
        <v>7341</v>
      </c>
      <c r="B3653" s="8">
        <v>8.2</v>
      </c>
      <c r="C3653" s="4"/>
      <c r="D3653" s="31"/>
      <c r="E3653" s="4"/>
      <c r="F3653" s="15"/>
      <c r="G3653" s="4"/>
    </row>
    <row r="3654" ht="14.25" customHeight="1">
      <c r="A3654" s="8" t="s">
        <v>7345</v>
      </c>
      <c r="B3654" s="8">
        <v>7.7</v>
      </c>
      <c r="C3654" s="4"/>
      <c r="D3654" s="31"/>
      <c r="E3654" s="4"/>
      <c r="F3654" s="15"/>
      <c r="G3654" s="4"/>
    </row>
    <row r="3655" ht="14.25" customHeight="1">
      <c r="A3655" s="8" t="s">
        <v>7348</v>
      </c>
      <c r="B3655" s="8">
        <v>7.3</v>
      </c>
      <c r="C3655" s="4"/>
      <c r="D3655" s="31"/>
      <c r="E3655" s="4"/>
      <c r="F3655" s="15"/>
      <c r="G3655" s="4"/>
    </row>
    <row r="3656" ht="14.25" customHeight="1">
      <c r="A3656" s="8" t="s">
        <v>7352</v>
      </c>
      <c r="B3656" s="8">
        <v>7.6</v>
      </c>
      <c r="C3656" s="4"/>
      <c r="D3656" s="31"/>
      <c r="E3656" s="4"/>
      <c r="F3656" s="15"/>
      <c r="G3656" s="4"/>
    </row>
    <row r="3657" ht="14.25" customHeight="1">
      <c r="A3657" s="8" t="s">
        <v>7356</v>
      </c>
      <c r="B3657" s="8">
        <v>6.8</v>
      </c>
      <c r="C3657" s="4"/>
      <c r="D3657" s="31"/>
      <c r="E3657" s="4"/>
      <c r="F3657" s="15"/>
      <c r="G3657" s="4"/>
    </row>
    <row r="3658" ht="14.25" customHeight="1">
      <c r="A3658" s="8" t="s">
        <v>7359</v>
      </c>
      <c r="B3658" s="8">
        <v>5.6</v>
      </c>
      <c r="C3658" s="4"/>
      <c r="D3658" s="31"/>
      <c r="E3658" s="4"/>
      <c r="F3658" s="15"/>
      <c r="G3658" s="4"/>
    </row>
    <row r="3659" ht="14.25" customHeight="1">
      <c r="A3659" s="8" t="s">
        <v>7362</v>
      </c>
      <c r="B3659" s="8">
        <v>4.8</v>
      </c>
      <c r="C3659" s="4"/>
      <c r="D3659" s="31"/>
      <c r="E3659" s="4"/>
      <c r="F3659" s="15"/>
      <c r="G3659" s="4"/>
    </row>
    <row r="3660" ht="14.25" customHeight="1">
      <c r="A3660" s="8" t="s">
        <v>7365</v>
      </c>
      <c r="B3660" s="8">
        <v>6.4</v>
      </c>
      <c r="C3660" s="4"/>
      <c r="D3660" s="31"/>
      <c r="E3660" s="4"/>
      <c r="F3660" s="15"/>
      <c r="G3660" s="4"/>
    </row>
    <row r="3661" ht="14.25" customHeight="1">
      <c r="A3661" s="8" t="s">
        <v>7368</v>
      </c>
      <c r="B3661" s="8">
        <v>6.8</v>
      </c>
      <c r="C3661" s="4"/>
      <c r="D3661" s="31"/>
      <c r="E3661" s="4"/>
      <c r="F3661" s="15"/>
      <c r="G3661" s="4"/>
    </row>
    <row r="3662" ht="14.25" customHeight="1">
      <c r="A3662" s="8" t="s">
        <v>2425</v>
      </c>
      <c r="B3662" s="8">
        <v>6.1</v>
      </c>
      <c r="C3662" s="4"/>
      <c r="D3662" s="31"/>
      <c r="E3662" s="4"/>
      <c r="F3662" s="15"/>
      <c r="G3662" s="4"/>
    </row>
    <row r="3663" ht="14.25" customHeight="1">
      <c r="A3663" s="8" t="s">
        <v>3001</v>
      </c>
      <c r="B3663" s="8">
        <v>6.0</v>
      </c>
      <c r="C3663" s="4"/>
      <c r="D3663" s="31"/>
      <c r="E3663" s="4"/>
      <c r="F3663" s="15"/>
      <c r="G3663" s="4"/>
    </row>
    <row r="3664" ht="14.25" customHeight="1">
      <c r="A3664" s="8" t="s">
        <v>7373</v>
      </c>
      <c r="B3664" s="8">
        <v>6.1</v>
      </c>
      <c r="C3664" s="4"/>
      <c r="D3664" s="31"/>
      <c r="E3664" s="4"/>
      <c r="F3664" s="15"/>
      <c r="G3664" s="4"/>
    </row>
    <row r="3665" ht="14.25" customHeight="1">
      <c r="A3665" s="8" t="s">
        <v>7376</v>
      </c>
      <c r="B3665" s="8">
        <v>5.5</v>
      </c>
      <c r="C3665" s="4"/>
      <c r="D3665" s="31"/>
      <c r="E3665" s="4"/>
      <c r="F3665" s="15"/>
      <c r="G3665" s="4"/>
    </row>
    <row r="3666" ht="14.25" customHeight="1">
      <c r="A3666" s="8" t="s">
        <v>7379</v>
      </c>
      <c r="B3666" s="8">
        <v>6.9</v>
      </c>
      <c r="C3666" s="4"/>
      <c r="D3666" s="31"/>
      <c r="E3666" s="4"/>
      <c r="F3666" s="15"/>
      <c r="G3666" s="4"/>
    </row>
    <row r="3667" ht="14.25" customHeight="1">
      <c r="A3667" s="8" t="s">
        <v>4051</v>
      </c>
      <c r="B3667" s="8">
        <v>4.1</v>
      </c>
      <c r="C3667" s="4"/>
      <c r="D3667" s="31"/>
      <c r="E3667" s="4"/>
      <c r="F3667" s="15"/>
      <c r="G3667" s="4"/>
    </row>
    <row r="3668" ht="14.25" customHeight="1">
      <c r="A3668" s="8" t="s">
        <v>2986</v>
      </c>
      <c r="B3668" s="8">
        <v>5.4</v>
      </c>
      <c r="C3668" s="4"/>
      <c r="D3668" s="31"/>
      <c r="E3668" s="4"/>
      <c r="F3668" s="15"/>
      <c r="G3668" s="4"/>
    </row>
    <row r="3669" ht="14.25" customHeight="1">
      <c r="A3669" s="8" t="s">
        <v>7383</v>
      </c>
      <c r="B3669" s="8">
        <v>8.2</v>
      </c>
      <c r="C3669" s="4"/>
      <c r="D3669" s="31"/>
      <c r="E3669" s="4"/>
      <c r="F3669" s="15"/>
      <c r="G3669" s="4"/>
    </row>
    <row r="3670" ht="14.25" customHeight="1">
      <c r="A3670" s="8" t="s">
        <v>7385</v>
      </c>
      <c r="B3670" s="8">
        <v>5.7</v>
      </c>
      <c r="C3670" s="4"/>
      <c r="D3670" s="31"/>
      <c r="E3670" s="4"/>
      <c r="F3670" s="15"/>
      <c r="G3670" s="4"/>
    </row>
    <row r="3671" ht="14.25" customHeight="1">
      <c r="A3671" s="8" t="s">
        <v>7388</v>
      </c>
      <c r="B3671" s="8">
        <v>7.9</v>
      </c>
      <c r="C3671" s="4"/>
      <c r="D3671" s="31"/>
      <c r="E3671" s="4"/>
      <c r="F3671" s="15"/>
      <c r="G3671" s="4"/>
    </row>
    <row r="3672" ht="14.25" customHeight="1">
      <c r="A3672" s="8" t="s">
        <v>1447</v>
      </c>
      <c r="B3672" s="8">
        <v>7.1</v>
      </c>
      <c r="C3672" s="4"/>
      <c r="D3672" s="31"/>
      <c r="E3672" s="4"/>
      <c r="F3672" s="15"/>
      <c r="G3672" s="4"/>
    </row>
    <row r="3673" ht="14.25" customHeight="1">
      <c r="A3673" s="8" t="s">
        <v>7236</v>
      </c>
      <c r="B3673" s="8">
        <v>6.4</v>
      </c>
      <c r="C3673" s="4"/>
      <c r="D3673" s="31"/>
      <c r="E3673" s="4"/>
      <c r="F3673" s="15"/>
      <c r="G3673" s="4"/>
    </row>
    <row r="3674" ht="14.25" customHeight="1">
      <c r="A3674" s="8" t="s">
        <v>2826</v>
      </c>
      <c r="B3674" s="8">
        <v>7.5</v>
      </c>
      <c r="C3674" s="4"/>
      <c r="D3674" s="31"/>
      <c r="E3674" s="4"/>
      <c r="F3674" s="15"/>
      <c r="G3674" s="4"/>
    </row>
    <row r="3675" ht="14.25" customHeight="1">
      <c r="A3675" s="8" t="s">
        <v>7397</v>
      </c>
      <c r="B3675" s="8">
        <v>6.4</v>
      </c>
      <c r="C3675" s="4"/>
      <c r="D3675" s="31"/>
      <c r="E3675" s="4"/>
      <c r="F3675" s="15"/>
      <c r="G3675" s="4"/>
    </row>
    <row r="3676" ht="14.25" customHeight="1">
      <c r="A3676" s="8" t="s">
        <v>3692</v>
      </c>
      <c r="B3676" s="8">
        <v>7.3</v>
      </c>
      <c r="C3676" s="4"/>
      <c r="D3676" s="31"/>
      <c r="E3676" s="4"/>
      <c r="F3676" s="15"/>
      <c r="G3676" s="4"/>
    </row>
    <row r="3677" ht="14.25" customHeight="1">
      <c r="A3677" s="8" t="s">
        <v>4873</v>
      </c>
      <c r="B3677" s="8">
        <v>6.5</v>
      </c>
      <c r="C3677" s="4"/>
      <c r="D3677" s="31"/>
      <c r="E3677" s="4"/>
      <c r="F3677" s="15"/>
      <c r="G3677" s="4"/>
    </row>
    <row r="3678" ht="14.25" customHeight="1">
      <c r="A3678" s="8" t="s">
        <v>7402</v>
      </c>
      <c r="B3678" s="8">
        <v>7.2</v>
      </c>
      <c r="C3678" s="4"/>
      <c r="D3678" s="31"/>
      <c r="E3678" s="4"/>
      <c r="F3678" s="15"/>
      <c r="G3678" s="4"/>
    </row>
    <row r="3679" ht="14.25" customHeight="1">
      <c r="A3679" s="8" t="s">
        <v>7404</v>
      </c>
      <c r="B3679" s="8">
        <v>6.0</v>
      </c>
      <c r="C3679" s="4"/>
      <c r="D3679" s="31"/>
      <c r="E3679" s="4"/>
      <c r="F3679" s="15"/>
      <c r="G3679" s="4"/>
    </row>
    <row r="3680" ht="14.25" customHeight="1">
      <c r="A3680" s="8" t="s">
        <v>7407</v>
      </c>
      <c r="B3680" s="8">
        <v>5.6</v>
      </c>
      <c r="C3680" s="4"/>
      <c r="D3680" s="31"/>
      <c r="E3680" s="4"/>
      <c r="F3680" s="15"/>
      <c r="G3680" s="4"/>
    </row>
    <row r="3681" ht="14.25" customHeight="1">
      <c r="A3681" s="8" t="s">
        <v>7411</v>
      </c>
      <c r="B3681" s="8">
        <v>8.4</v>
      </c>
      <c r="C3681" s="4"/>
      <c r="D3681" s="31"/>
      <c r="E3681" s="4"/>
      <c r="F3681" s="15"/>
      <c r="G3681" s="4"/>
    </row>
    <row r="3682" ht="14.25" customHeight="1">
      <c r="A3682" s="8" t="s">
        <v>6847</v>
      </c>
      <c r="B3682" s="8">
        <v>7.5</v>
      </c>
      <c r="C3682" s="4"/>
      <c r="D3682" s="31"/>
      <c r="E3682" s="4"/>
      <c r="F3682" s="15"/>
      <c r="G3682" s="4"/>
    </row>
    <row r="3683" ht="14.25" customHeight="1">
      <c r="A3683" s="8" t="s">
        <v>6903</v>
      </c>
      <c r="B3683" s="8">
        <v>7.2</v>
      </c>
      <c r="C3683" s="4"/>
      <c r="D3683" s="31"/>
      <c r="E3683" s="4"/>
      <c r="F3683" s="15"/>
      <c r="G3683" s="4"/>
    </row>
    <row r="3684" ht="14.25" customHeight="1">
      <c r="A3684" s="8" t="s">
        <v>5616</v>
      </c>
      <c r="B3684" s="8">
        <v>7.2</v>
      </c>
      <c r="C3684" s="4"/>
      <c r="D3684" s="31"/>
      <c r="E3684" s="4"/>
      <c r="F3684" s="15"/>
      <c r="G3684" s="4"/>
    </row>
    <row r="3685" ht="14.25" customHeight="1">
      <c r="A3685" s="8" t="s">
        <v>1773</v>
      </c>
      <c r="B3685" s="8">
        <v>6.5</v>
      </c>
      <c r="C3685" s="4"/>
      <c r="D3685" s="31"/>
      <c r="E3685" s="4"/>
      <c r="F3685" s="15"/>
      <c r="G3685" s="4"/>
    </row>
    <row r="3686" ht="14.25" customHeight="1">
      <c r="A3686" s="8" t="s">
        <v>7421</v>
      </c>
      <c r="B3686" s="8">
        <v>5.1</v>
      </c>
      <c r="C3686" s="4"/>
      <c r="D3686" s="31"/>
      <c r="E3686" s="4"/>
      <c r="F3686" s="15"/>
      <c r="G3686" s="4"/>
    </row>
    <row r="3687" ht="14.25" customHeight="1">
      <c r="A3687" s="8" t="s">
        <v>2083</v>
      </c>
      <c r="B3687" s="8">
        <v>6.4</v>
      </c>
      <c r="C3687" s="4"/>
      <c r="D3687" s="31"/>
      <c r="E3687" s="4"/>
      <c r="F3687" s="15"/>
      <c r="G3687" s="4"/>
    </row>
    <row r="3688" ht="14.25" customHeight="1">
      <c r="A3688" s="8" t="s">
        <v>7425</v>
      </c>
      <c r="B3688" s="8">
        <v>6.8</v>
      </c>
      <c r="C3688" s="4"/>
      <c r="D3688" s="31"/>
      <c r="E3688" s="4"/>
      <c r="F3688" s="15"/>
      <c r="G3688" s="4"/>
    </row>
    <row r="3689" ht="14.25" customHeight="1">
      <c r="A3689" s="8" t="s">
        <v>602</v>
      </c>
      <c r="B3689" s="8">
        <v>7.5</v>
      </c>
      <c r="C3689" s="4"/>
      <c r="D3689" s="31"/>
      <c r="E3689" s="4"/>
      <c r="F3689" s="15"/>
      <c r="G3689" s="4"/>
    </row>
    <row r="3690" ht="14.25" customHeight="1">
      <c r="A3690" s="8" t="s">
        <v>7430</v>
      </c>
      <c r="B3690" s="8">
        <v>6.9</v>
      </c>
      <c r="C3690" s="4"/>
      <c r="D3690" s="31"/>
      <c r="E3690" s="4"/>
      <c r="F3690" s="15"/>
      <c r="G3690" s="4"/>
    </row>
    <row r="3691" ht="14.25" customHeight="1">
      <c r="A3691" s="8" t="s">
        <v>102</v>
      </c>
      <c r="B3691" s="8">
        <v>7.0</v>
      </c>
      <c r="C3691" s="4"/>
      <c r="D3691" s="31"/>
      <c r="E3691" s="4"/>
      <c r="F3691" s="15"/>
      <c r="G3691" s="4"/>
    </row>
    <row r="3692" ht="14.25" customHeight="1">
      <c r="A3692" s="8" t="s">
        <v>7434</v>
      </c>
      <c r="B3692" s="8">
        <v>6.3</v>
      </c>
      <c r="C3692" s="4"/>
      <c r="D3692" s="31"/>
      <c r="E3692" s="4"/>
      <c r="F3692" s="15"/>
      <c r="G3692" s="4"/>
    </row>
    <row r="3693" ht="14.25" customHeight="1">
      <c r="A3693" s="8" t="s">
        <v>7365</v>
      </c>
      <c r="B3693" s="8">
        <v>5.5</v>
      </c>
      <c r="C3693" s="4"/>
      <c r="D3693" s="31"/>
      <c r="E3693" s="4"/>
      <c r="F3693" s="15"/>
      <c r="G3693" s="4"/>
    </row>
    <row r="3694" ht="14.25" customHeight="1">
      <c r="A3694" s="8" t="s">
        <v>1526</v>
      </c>
      <c r="B3694" s="8">
        <v>4.8</v>
      </c>
      <c r="C3694" s="4"/>
      <c r="D3694" s="31"/>
      <c r="E3694" s="4"/>
      <c r="F3694" s="15"/>
      <c r="G3694" s="4"/>
    </row>
    <row r="3695" ht="14.25" customHeight="1">
      <c r="A3695" s="8" t="s">
        <v>1006</v>
      </c>
      <c r="B3695" s="8">
        <v>6.6</v>
      </c>
      <c r="C3695" s="4"/>
      <c r="D3695" s="31"/>
      <c r="E3695" s="4"/>
      <c r="F3695" s="15"/>
      <c r="G3695" s="4"/>
    </row>
    <row r="3696" ht="14.25" customHeight="1">
      <c r="A3696" s="8" t="s">
        <v>7439</v>
      </c>
      <c r="B3696" s="8">
        <v>5.2</v>
      </c>
      <c r="C3696" s="4"/>
      <c r="D3696" s="31"/>
      <c r="E3696" s="4"/>
      <c r="F3696" s="15"/>
      <c r="G3696" s="4"/>
    </row>
    <row r="3697" ht="14.25" customHeight="1">
      <c r="A3697" s="8" t="s">
        <v>5991</v>
      </c>
      <c r="B3697" s="8">
        <v>8.3</v>
      </c>
      <c r="C3697" s="4"/>
      <c r="D3697" s="31"/>
      <c r="E3697" s="4"/>
      <c r="F3697" s="15"/>
      <c r="G3697" s="4"/>
    </row>
    <row r="3698" ht="14.25" customHeight="1">
      <c r="A3698" s="8" t="s">
        <v>6508</v>
      </c>
      <c r="B3698" s="8">
        <v>7.2</v>
      </c>
      <c r="C3698" s="4"/>
      <c r="D3698" s="31"/>
      <c r="E3698" s="4"/>
      <c r="F3698" s="15"/>
      <c r="G3698" s="4"/>
    </row>
    <row r="3699" ht="14.25" customHeight="1">
      <c r="A3699" s="8" t="s">
        <v>73</v>
      </c>
      <c r="B3699" s="8">
        <v>7.2</v>
      </c>
      <c r="C3699" s="4"/>
      <c r="D3699" s="31"/>
      <c r="E3699" s="4"/>
      <c r="F3699" s="15"/>
      <c r="G3699" s="4"/>
    </row>
    <row r="3700" ht="14.25" customHeight="1">
      <c r="A3700" s="8" t="s">
        <v>2066</v>
      </c>
      <c r="B3700" s="8">
        <v>5.3</v>
      </c>
      <c r="C3700" s="4"/>
      <c r="D3700" s="31"/>
      <c r="E3700" s="4"/>
      <c r="F3700" s="15"/>
      <c r="G3700" s="4"/>
    </row>
    <row r="3701" ht="14.25" customHeight="1">
      <c r="A3701" s="8" t="s">
        <v>7446</v>
      </c>
      <c r="B3701" s="8">
        <v>7.2</v>
      </c>
      <c r="C3701" s="4"/>
      <c r="D3701" s="31"/>
      <c r="E3701" s="4"/>
      <c r="F3701" s="15"/>
      <c r="G3701" s="4"/>
    </row>
    <row r="3702" ht="14.25" customHeight="1">
      <c r="A3702" s="8" t="s">
        <v>7448</v>
      </c>
      <c r="B3702" s="8">
        <v>6.5</v>
      </c>
      <c r="C3702" s="4"/>
      <c r="D3702" s="31"/>
      <c r="E3702" s="4"/>
      <c r="F3702" s="15"/>
      <c r="G3702" s="4"/>
    </row>
    <row r="3703" ht="14.25" customHeight="1">
      <c r="A3703" s="8" t="s">
        <v>7451</v>
      </c>
      <c r="B3703" s="8">
        <v>6.5</v>
      </c>
      <c r="C3703" s="4"/>
      <c r="D3703" s="31"/>
      <c r="E3703" s="4"/>
      <c r="F3703" s="15"/>
      <c r="G3703" s="4"/>
    </row>
    <row r="3704" ht="14.25" customHeight="1">
      <c r="A3704" s="8" t="s">
        <v>7454</v>
      </c>
      <c r="B3704" s="8">
        <v>7.8</v>
      </c>
      <c r="C3704" s="4"/>
      <c r="D3704" s="31"/>
      <c r="E3704" s="4"/>
      <c r="F3704" s="15"/>
      <c r="G3704" s="4"/>
    </row>
    <row r="3705" ht="14.25" customHeight="1">
      <c r="A3705" s="8" t="s">
        <v>7457</v>
      </c>
      <c r="B3705" s="8">
        <v>6.4</v>
      </c>
      <c r="C3705" s="4"/>
      <c r="D3705" s="31"/>
      <c r="E3705" s="4"/>
      <c r="F3705" s="15"/>
      <c r="G3705" s="4"/>
    </row>
    <row r="3706" ht="14.25" customHeight="1">
      <c r="A3706" s="8" t="s">
        <v>7460</v>
      </c>
      <c r="B3706" s="8">
        <v>8.1</v>
      </c>
      <c r="C3706" s="4"/>
      <c r="D3706" s="31"/>
      <c r="E3706" s="4"/>
      <c r="F3706" s="15"/>
      <c r="G3706" s="4"/>
    </row>
    <row r="3707" ht="14.25" customHeight="1">
      <c r="A3707" s="8" t="s">
        <v>6979</v>
      </c>
      <c r="B3707" s="8">
        <v>5.6</v>
      </c>
      <c r="C3707" s="4"/>
      <c r="D3707" s="31"/>
      <c r="E3707" s="4"/>
      <c r="F3707" s="15"/>
      <c r="G3707" s="4"/>
    </row>
    <row r="3708" ht="14.25" customHeight="1">
      <c r="A3708" s="8" t="s">
        <v>7466</v>
      </c>
      <c r="B3708" s="8">
        <v>6.6</v>
      </c>
      <c r="C3708" s="4"/>
      <c r="D3708" s="31"/>
      <c r="E3708" s="4"/>
      <c r="F3708" s="15"/>
      <c r="G3708" s="4"/>
    </row>
    <row r="3709" ht="14.25" customHeight="1">
      <c r="A3709" s="8" t="s">
        <v>1962</v>
      </c>
      <c r="B3709" s="8">
        <v>7.7</v>
      </c>
      <c r="C3709" s="4"/>
      <c r="D3709" s="31"/>
      <c r="E3709" s="4"/>
      <c r="F3709" s="15"/>
      <c r="G3709" s="4"/>
    </row>
    <row r="3710" ht="14.25" customHeight="1">
      <c r="A3710" s="8" t="s">
        <v>6570</v>
      </c>
      <c r="B3710" s="8">
        <v>6.5</v>
      </c>
      <c r="C3710" s="4"/>
      <c r="D3710" s="31"/>
      <c r="E3710" s="4"/>
      <c r="F3710" s="15"/>
      <c r="G3710" s="4"/>
    </row>
    <row r="3711" ht="14.25" customHeight="1">
      <c r="A3711" s="8" t="s">
        <v>7472</v>
      </c>
      <c r="B3711" s="8">
        <v>6.1</v>
      </c>
      <c r="C3711" s="4"/>
      <c r="D3711" s="31"/>
      <c r="E3711" s="4"/>
      <c r="F3711" s="15"/>
      <c r="G3711" s="4"/>
    </row>
    <row r="3712" ht="14.25" customHeight="1">
      <c r="A3712" s="8" t="s">
        <v>7006</v>
      </c>
      <c r="B3712" s="8">
        <v>5.7</v>
      </c>
      <c r="C3712" s="4"/>
      <c r="D3712" s="31"/>
      <c r="E3712" s="4"/>
      <c r="F3712" s="15"/>
      <c r="G3712" s="4"/>
    </row>
    <row r="3713" ht="14.25" customHeight="1">
      <c r="A3713" s="8" t="s">
        <v>7479</v>
      </c>
      <c r="B3713" s="8">
        <v>5.9</v>
      </c>
      <c r="C3713" s="4"/>
      <c r="D3713" s="31"/>
      <c r="E3713" s="4"/>
      <c r="F3713" s="15"/>
      <c r="G3713" s="4"/>
    </row>
    <row r="3714" ht="14.25" customHeight="1">
      <c r="A3714" s="8" t="s">
        <v>4183</v>
      </c>
      <c r="B3714" s="8">
        <v>7.7</v>
      </c>
      <c r="C3714" s="4"/>
      <c r="D3714" s="31"/>
      <c r="E3714" s="4"/>
      <c r="F3714" s="15"/>
      <c r="G3714" s="4"/>
    </row>
    <row r="3715" ht="14.25" customHeight="1">
      <c r="A3715" s="8" t="s">
        <v>7483</v>
      </c>
      <c r="B3715" s="8">
        <v>7.1</v>
      </c>
      <c r="C3715" s="4"/>
      <c r="D3715" s="31"/>
      <c r="E3715" s="4"/>
      <c r="F3715" s="15"/>
      <c r="G3715" s="4"/>
    </row>
    <row r="3716" ht="14.25" customHeight="1">
      <c r="A3716" s="8" t="s">
        <v>7486</v>
      </c>
      <c r="B3716" s="8">
        <v>7.6</v>
      </c>
      <c r="C3716" s="4"/>
      <c r="D3716" s="31"/>
      <c r="E3716" s="4"/>
      <c r="F3716" s="15"/>
      <c r="G3716" s="4"/>
    </row>
    <row r="3717" ht="14.25" customHeight="1">
      <c r="A3717" s="8" t="s">
        <v>7490</v>
      </c>
      <c r="B3717" s="8">
        <v>6.4</v>
      </c>
      <c r="C3717" s="4"/>
      <c r="D3717" s="31"/>
      <c r="E3717" s="4"/>
      <c r="F3717" s="15"/>
      <c r="G3717" s="4"/>
    </row>
    <row r="3718" ht="14.25" customHeight="1">
      <c r="A3718" s="8" t="s">
        <v>7493</v>
      </c>
      <c r="B3718" s="8">
        <v>7.4</v>
      </c>
      <c r="C3718" s="4"/>
      <c r="D3718" s="31"/>
      <c r="E3718" s="4"/>
      <c r="F3718" s="15"/>
      <c r="G3718" s="4"/>
    </row>
    <row r="3719" ht="14.25" customHeight="1">
      <c r="A3719" s="8" t="s">
        <v>7496</v>
      </c>
      <c r="B3719" s="8">
        <v>6.8</v>
      </c>
      <c r="C3719" s="4"/>
      <c r="D3719" s="31"/>
      <c r="E3719" s="4"/>
      <c r="F3719" s="15"/>
      <c r="G3719" s="4"/>
    </row>
    <row r="3720" ht="14.25" customHeight="1">
      <c r="A3720" s="8" t="s">
        <v>7499</v>
      </c>
      <c r="B3720" s="8">
        <v>6.5</v>
      </c>
      <c r="C3720" s="4"/>
      <c r="D3720" s="31"/>
      <c r="E3720" s="4"/>
      <c r="F3720" s="15"/>
      <c r="G3720" s="4"/>
    </row>
    <row r="3721" ht="14.25" customHeight="1">
      <c r="A3721" s="8" t="s">
        <v>7490</v>
      </c>
      <c r="B3721" s="8">
        <v>6.0</v>
      </c>
      <c r="C3721" s="4"/>
      <c r="D3721" s="31"/>
      <c r="E3721" s="4"/>
      <c r="F3721" s="15"/>
      <c r="G3721" s="4"/>
    </row>
    <row r="3722" ht="14.25" customHeight="1">
      <c r="A3722" s="8" t="s">
        <v>5230</v>
      </c>
      <c r="B3722" s="8">
        <v>7.3</v>
      </c>
      <c r="C3722" s="4"/>
      <c r="D3722" s="31"/>
      <c r="E3722" s="4"/>
      <c r="F3722" s="15"/>
      <c r="G3722" s="4"/>
    </row>
    <row r="3723" ht="14.25" customHeight="1">
      <c r="A3723" s="8" t="s">
        <v>7505</v>
      </c>
      <c r="B3723" s="8">
        <v>7.3</v>
      </c>
      <c r="C3723" s="4"/>
      <c r="D3723" s="31"/>
      <c r="E3723" s="4"/>
      <c r="F3723" s="15"/>
      <c r="G3723" s="4"/>
    </row>
    <row r="3724" ht="14.25" customHeight="1">
      <c r="A3724" s="8" t="s">
        <v>6524</v>
      </c>
      <c r="B3724" s="8">
        <v>6.5</v>
      </c>
      <c r="C3724" s="4"/>
      <c r="D3724" s="31"/>
      <c r="E3724" s="4"/>
      <c r="F3724" s="15"/>
      <c r="G3724" s="4"/>
    </row>
    <row r="3725" ht="14.25" customHeight="1">
      <c r="A3725" s="8" t="s">
        <v>7509</v>
      </c>
      <c r="B3725" s="8">
        <v>6.0</v>
      </c>
      <c r="C3725" s="4"/>
      <c r="D3725" s="31"/>
      <c r="E3725" s="4"/>
      <c r="F3725" s="15"/>
      <c r="G3725" s="4"/>
    </row>
    <row r="3726" ht="14.25" customHeight="1">
      <c r="A3726" s="8" t="s">
        <v>7511</v>
      </c>
      <c r="B3726" s="8">
        <v>5.3</v>
      </c>
      <c r="C3726" s="4"/>
      <c r="D3726" s="31"/>
      <c r="E3726" s="4"/>
      <c r="F3726" s="15"/>
      <c r="G3726" s="4"/>
    </row>
    <row r="3727" ht="14.25" customHeight="1">
      <c r="A3727" s="8" t="s">
        <v>119</v>
      </c>
      <c r="B3727" s="8">
        <v>6.6</v>
      </c>
      <c r="C3727" s="4"/>
      <c r="D3727" s="31"/>
      <c r="E3727" s="4"/>
      <c r="F3727" s="15"/>
      <c r="G3727" s="4"/>
    </row>
    <row r="3728" ht="14.25" customHeight="1">
      <c r="A3728" s="8" t="s">
        <v>7515</v>
      </c>
      <c r="B3728" s="8">
        <v>7.1</v>
      </c>
      <c r="C3728" s="4"/>
      <c r="D3728" s="31"/>
      <c r="E3728" s="4"/>
      <c r="F3728" s="15"/>
      <c r="G3728" s="4"/>
    </row>
    <row r="3729" ht="14.25" customHeight="1">
      <c r="A3729" s="8" t="s">
        <v>5480</v>
      </c>
      <c r="B3729" s="8">
        <v>8.7</v>
      </c>
      <c r="C3729" s="4"/>
      <c r="D3729" s="31"/>
      <c r="E3729" s="4"/>
      <c r="F3729" s="15"/>
      <c r="G3729" s="4"/>
    </row>
    <row r="3730" ht="14.25" customHeight="1">
      <c r="A3730" s="8" t="s">
        <v>7519</v>
      </c>
      <c r="B3730" s="8">
        <v>8.4</v>
      </c>
      <c r="C3730" s="4"/>
      <c r="D3730" s="31"/>
      <c r="E3730" s="4"/>
      <c r="F3730" s="15"/>
      <c r="G3730" s="4"/>
    </row>
    <row r="3731" ht="14.25" customHeight="1">
      <c r="A3731" s="8" t="s">
        <v>174</v>
      </c>
      <c r="B3731" s="8">
        <v>6.2</v>
      </c>
      <c r="C3731" s="4"/>
      <c r="D3731" s="31"/>
      <c r="E3731" s="4"/>
      <c r="F3731" s="15"/>
      <c r="G3731" s="4"/>
    </row>
    <row r="3732" ht="14.25" customHeight="1">
      <c r="A3732" s="8" t="s">
        <v>7524</v>
      </c>
      <c r="B3732" s="8">
        <v>5.8</v>
      </c>
      <c r="C3732" s="4"/>
      <c r="D3732" s="31"/>
      <c r="E3732" s="4"/>
      <c r="F3732" s="15"/>
      <c r="G3732" s="4"/>
    </row>
    <row r="3733" ht="14.25" customHeight="1">
      <c r="A3733" s="8" t="s">
        <v>494</v>
      </c>
      <c r="B3733" s="8">
        <v>6.7</v>
      </c>
      <c r="C3733" s="4"/>
      <c r="D3733" s="31"/>
      <c r="E3733" s="4"/>
      <c r="F3733" s="15"/>
      <c r="G3733" s="4"/>
    </row>
    <row r="3734" ht="14.25" customHeight="1">
      <c r="A3734" s="8" t="s">
        <v>7402</v>
      </c>
      <c r="B3734" s="8">
        <v>5.7</v>
      </c>
      <c r="C3734" s="4"/>
      <c r="D3734" s="31"/>
      <c r="E3734" s="4"/>
      <c r="F3734" s="15"/>
      <c r="G3734" s="4"/>
    </row>
    <row r="3735" ht="14.25" customHeight="1">
      <c r="A3735" s="8" t="s">
        <v>7529</v>
      </c>
      <c r="B3735" s="8">
        <v>6.1</v>
      </c>
      <c r="C3735" s="4"/>
      <c r="D3735" s="31"/>
      <c r="E3735" s="4"/>
      <c r="F3735" s="15"/>
      <c r="G3735" s="4"/>
    </row>
    <row r="3736" ht="14.25" customHeight="1">
      <c r="A3736" s="8" t="s">
        <v>7531</v>
      </c>
      <c r="B3736" s="8">
        <v>6.4</v>
      </c>
      <c r="C3736" s="4"/>
      <c r="D3736" s="31"/>
      <c r="E3736" s="4"/>
      <c r="F3736" s="15"/>
      <c r="G3736" s="4"/>
    </row>
    <row r="3737" ht="14.25" customHeight="1">
      <c r="A3737" s="8" t="s">
        <v>7533</v>
      </c>
      <c r="B3737" s="8">
        <v>6.5</v>
      </c>
      <c r="C3737" s="4"/>
      <c r="D3737" s="31"/>
      <c r="E3737" s="4"/>
      <c r="F3737" s="15"/>
      <c r="G3737" s="4"/>
    </row>
    <row r="3738" ht="14.25" customHeight="1">
      <c r="A3738" s="8" t="s">
        <v>7535</v>
      </c>
      <c r="B3738" s="8">
        <v>4.6</v>
      </c>
      <c r="C3738" s="4"/>
      <c r="D3738" s="31"/>
      <c r="E3738" s="4"/>
      <c r="F3738" s="15"/>
      <c r="G3738" s="4"/>
    </row>
    <row r="3739" ht="14.25" customHeight="1">
      <c r="A3739" s="8" t="s">
        <v>7537</v>
      </c>
      <c r="B3739" s="8">
        <v>6.8</v>
      </c>
      <c r="C3739" s="4"/>
      <c r="D3739" s="31"/>
      <c r="E3739" s="4"/>
      <c r="F3739" s="15"/>
      <c r="G3739" s="4"/>
    </row>
    <row r="3740" ht="14.25" customHeight="1">
      <c r="A3740" s="8" t="s">
        <v>33</v>
      </c>
      <c r="B3740" s="8">
        <v>6.4</v>
      </c>
      <c r="C3740" s="4"/>
      <c r="D3740" s="31"/>
      <c r="E3740" s="4"/>
      <c r="F3740" s="15"/>
      <c r="G3740" s="4"/>
    </row>
    <row r="3741" ht="14.25" customHeight="1">
      <c r="A3741" s="8" t="s">
        <v>7541</v>
      </c>
      <c r="B3741" s="8">
        <v>5.9</v>
      </c>
      <c r="C3741" s="4"/>
      <c r="D3741" s="31"/>
      <c r="E3741" s="4"/>
      <c r="F3741" s="15"/>
      <c r="G3741" s="4"/>
    </row>
    <row r="3742" ht="14.25" customHeight="1">
      <c r="A3742" s="8" t="s">
        <v>484</v>
      </c>
      <c r="B3742" s="8">
        <v>7.7</v>
      </c>
      <c r="C3742" s="4"/>
      <c r="D3742" s="31"/>
      <c r="E3742" s="4"/>
      <c r="F3742" s="15"/>
      <c r="G3742" s="4"/>
    </row>
    <row r="3743" ht="14.25" customHeight="1">
      <c r="A3743" s="8" t="s">
        <v>7545</v>
      </c>
      <c r="B3743" s="8">
        <v>7.1</v>
      </c>
      <c r="C3743" s="4"/>
      <c r="D3743" s="31"/>
      <c r="E3743" s="4"/>
      <c r="F3743" s="15"/>
      <c r="G3743" s="4"/>
    </row>
    <row r="3744" ht="14.25" customHeight="1">
      <c r="A3744" s="8" t="s">
        <v>7547</v>
      </c>
      <c r="B3744" s="8">
        <v>6.2</v>
      </c>
      <c r="C3744" s="4"/>
      <c r="D3744" s="31"/>
      <c r="E3744" s="4"/>
      <c r="F3744" s="15"/>
      <c r="G3744" s="4"/>
    </row>
    <row r="3745" ht="14.25" customHeight="1">
      <c r="A3745" s="8" t="s">
        <v>7550</v>
      </c>
      <c r="B3745" s="8">
        <v>7.7</v>
      </c>
      <c r="C3745" s="4"/>
      <c r="D3745" s="31"/>
      <c r="E3745" s="4"/>
      <c r="F3745" s="15"/>
      <c r="G3745" s="4"/>
    </row>
    <row r="3746" ht="14.25" customHeight="1">
      <c r="A3746" s="8" t="s">
        <v>7552</v>
      </c>
      <c r="B3746" s="8">
        <v>7.5</v>
      </c>
      <c r="C3746" s="4"/>
      <c r="D3746" s="31"/>
      <c r="E3746" s="4"/>
      <c r="F3746" s="15"/>
      <c r="G3746" s="4"/>
    </row>
    <row r="3747" ht="14.25" customHeight="1">
      <c r="A3747" s="8" t="s">
        <v>7555</v>
      </c>
      <c r="B3747" s="8">
        <v>7.6</v>
      </c>
      <c r="C3747" s="4"/>
      <c r="D3747" s="31"/>
      <c r="E3747" s="4"/>
      <c r="F3747" s="15"/>
      <c r="G3747" s="4"/>
    </row>
    <row r="3748" ht="14.25" customHeight="1">
      <c r="A3748" s="8" t="s">
        <v>3128</v>
      </c>
      <c r="B3748" s="8">
        <v>6.9</v>
      </c>
      <c r="C3748" s="4"/>
      <c r="D3748" s="31"/>
      <c r="E3748" s="4"/>
      <c r="F3748" s="15"/>
      <c r="G3748" s="4"/>
    </row>
    <row r="3749" ht="14.25" customHeight="1">
      <c r="A3749" s="8" t="s">
        <v>6514</v>
      </c>
      <c r="B3749" s="8">
        <v>7.1</v>
      </c>
      <c r="C3749" s="4"/>
      <c r="D3749" s="31"/>
      <c r="E3749" s="4"/>
      <c r="F3749" s="15"/>
      <c r="G3749" s="4"/>
    </row>
    <row r="3750" ht="14.25" customHeight="1">
      <c r="A3750" s="8" t="s">
        <v>7561</v>
      </c>
      <c r="B3750" s="8">
        <v>6.3</v>
      </c>
      <c r="C3750" s="4"/>
      <c r="D3750" s="31"/>
      <c r="E3750" s="4"/>
      <c r="F3750" s="15"/>
      <c r="G3750" s="4"/>
    </row>
    <row r="3751" ht="14.25" customHeight="1">
      <c r="A3751" s="8" t="s">
        <v>1150</v>
      </c>
      <c r="B3751" s="8">
        <v>8.3</v>
      </c>
      <c r="C3751" s="4"/>
      <c r="D3751" s="31"/>
      <c r="E3751" s="4"/>
      <c r="F3751" s="15"/>
      <c r="G3751" s="4"/>
    </row>
    <row r="3752" ht="14.25" customHeight="1">
      <c r="A3752" s="8" t="s">
        <v>6433</v>
      </c>
      <c r="B3752" s="8">
        <v>7.1</v>
      </c>
      <c r="C3752" s="4"/>
      <c r="D3752" s="31"/>
      <c r="E3752" s="4"/>
      <c r="F3752" s="15"/>
      <c r="G3752" s="4"/>
    </row>
    <row r="3753" ht="14.25" customHeight="1">
      <c r="A3753" s="8" t="s">
        <v>7567</v>
      </c>
      <c r="B3753" s="8">
        <v>4.7</v>
      </c>
      <c r="C3753" s="4"/>
      <c r="D3753" s="31"/>
      <c r="E3753" s="4"/>
      <c r="F3753" s="15"/>
      <c r="G3753" s="4"/>
    </row>
    <row r="3754" ht="14.25" customHeight="1">
      <c r="A3754" s="8" t="s">
        <v>7571</v>
      </c>
      <c r="B3754" s="8">
        <v>7.2</v>
      </c>
      <c r="C3754" s="4"/>
      <c r="D3754" s="31"/>
      <c r="E3754" s="4"/>
      <c r="F3754" s="15"/>
      <c r="G3754" s="4"/>
    </row>
    <row r="3755" ht="14.25" customHeight="1">
      <c r="A3755" s="8" t="s">
        <v>7575</v>
      </c>
      <c r="B3755" s="8">
        <v>5.1</v>
      </c>
      <c r="C3755" s="4"/>
      <c r="D3755" s="31"/>
      <c r="E3755" s="4"/>
      <c r="F3755" s="15"/>
      <c r="G3755" s="4"/>
    </row>
    <row r="3756" ht="14.25" customHeight="1">
      <c r="A3756" s="8" t="s">
        <v>7578</v>
      </c>
      <c r="B3756" s="8">
        <v>6.9</v>
      </c>
      <c r="C3756" s="4"/>
      <c r="D3756" s="31"/>
      <c r="E3756" s="4"/>
      <c r="F3756" s="15"/>
      <c r="G3756" s="4"/>
    </row>
    <row r="3757" ht="14.25" customHeight="1">
      <c r="A3757" s="8" t="s">
        <v>3210</v>
      </c>
      <c r="B3757" s="8">
        <v>6.1</v>
      </c>
      <c r="C3757" s="4"/>
      <c r="D3757" s="31"/>
      <c r="E3757" s="4"/>
      <c r="F3757" s="15"/>
      <c r="G3757" s="4"/>
    </row>
    <row r="3758" ht="14.25" customHeight="1">
      <c r="A3758" s="8" t="s">
        <v>7583</v>
      </c>
      <c r="B3758" s="8">
        <v>7.0</v>
      </c>
      <c r="C3758" s="4"/>
      <c r="D3758" s="31"/>
      <c r="E3758" s="4"/>
      <c r="F3758" s="15"/>
      <c r="G3758" s="4"/>
    </row>
    <row r="3759" ht="14.25" customHeight="1">
      <c r="A3759" s="8" t="s">
        <v>7586</v>
      </c>
      <c r="B3759" s="8">
        <v>6.3</v>
      </c>
      <c r="C3759" s="4"/>
      <c r="D3759" s="31"/>
      <c r="E3759" s="4"/>
      <c r="F3759" s="15"/>
      <c r="G3759" s="4"/>
    </row>
    <row r="3760" ht="14.25" customHeight="1">
      <c r="A3760" s="8" t="s">
        <v>7589</v>
      </c>
      <c r="B3760" s="8">
        <v>6.1</v>
      </c>
      <c r="C3760" s="4"/>
      <c r="D3760" s="31"/>
      <c r="E3760" s="4"/>
      <c r="F3760" s="15"/>
      <c r="G3760" s="4"/>
    </row>
    <row r="3761" ht="14.25" customHeight="1">
      <c r="A3761" s="8" t="s">
        <v>7592</v>
      </c>
      <c r="B3761" s="8">
        <v>7.2</v>
      </c>
      <c r="C3761" s="4"/>
      <c r="D3761" s="31"/>
      <c r="E3761" s="4"/>
      <c r="F3761" s="15"/>
      <c r="G3761" s="4"/>
    </row>
    <row r="3762" ht="14.25" customHeight="1">
      <c r="A3762" s="8" t="s">
        <v>7595</v>
      </c>
      <c r="B3762" s="8">
        <v>7.8</v>
      </c>
      <c r="C3762" s="4"/>
      <c r="D3762" s="31"/>
      <c r="E3762" s="4"/>
      <c r="F3762" s="15"/>
      <c r="G3762" s="4"/>
    </row>
    <row r="3763" ht="14.25" customHeight="1">
      <c r="A3763" s="8" t="s">
        <v>7598</v>
      </c>
      <c r="B3763" s="8">
        <v>4.7</v>
      </c>
      <c r="C3763" s="4"/>
      <c r="D3763" s="31"/>
      <c r="E3763" s="4"/>
      <c r="F3763" s="15"/>
      <c r="G3763" s="4"/>
    </row>
    <row r="3764" ht="14.25" customHeight="1">
      <c r="A3764" s="8" t="s">
        <v>2158</v>
      </c>
      <c r="B3764" s="8">
        <v>7.9</v>
      </c>
      <c r="C3764" s="4"/>
      <c r="D3764" s="31"/>
      <c r="E3764" s="4"/>
      <c r="F3764" s="15"/>
      <c r="G3764" s="4"/>
    </row>
    <row r="3765" ht="14.25" customHeight="1">
      <c r="A3765" s="8" t="s">
        <v>3385</v>
      </c>
      <c r="B3765" s="8">
        <v>6.7</v>
      </c>
      <c r="C3765" s="4"/>
      <c r="D3765" s="31"/>
      <c r="E3765" s="4"/>
      <c r="F3765" s="15"/>
      <c r="G3765" s="4"/>
    </row>
    <row r="3766" ht="14.25" customHeight="1">
      <c r="A3766" s="8" t="s">
        <v>7603</v>
      </c>
      <c r="B3766" s="8">
        <v>6.6</v>
      </c>
      <c r="C3766" s="4"/>
      <c r="D3766" s="31"/>
      <c r="E3766" s="4"/>
      <c r="F3766" s="15"/>
      <c r="G3766" s="4"/>
    </row>
    <row r="3767" ht="14.25" customHeight="1">
      <c r="A3767" s="8" t="s">
        <v>6324</v>
      </c>
      <c r="B3767" s="8">
        <v>6.9</v>
      </c>
      <c r="C3767" s="4"/>
      <c r="D3767" s="31"/>
      <c r="E3767" s="4"/>
      <c r="F3767" s="15"/>
      <c r="G3767" s="4"/>
    </row>
    <row r="3768" ht="14.25" customHeight="1">
      <c r="A3768" s="8" t="s">
        <v>2586</v>
      </c>
      <c r="B3768" s="8">
        <v>7.1</v>
      </c>
      <c r="C3768" s="4"/>
      <c r="D3768" s="31"/>
      <c r="E3768" s="4"/>
      <c r="F3768" s="15"/>
      <c r="G3768" s="4"/>
    </row>
    <row r="3769" ht="14.25" customHeight="1">
      <c r="A3769" s="8" t="s">
        <v>7609</v>
      </c>
      <c r="B3769" s="8">
        <v>6.7</v>
      </c>
      <c r="C3769" s="4"/>
      <c r="D3769" s="31"/>
      <c r="E3769" s="4"/>
      <c r="F3769" s="15"/>
      <c r="G3769" s="4"/>
    </row>
    <row r="3770" ht="14.25" customHeight="1">
      <c r="A3770" s="8" t="s">
        <v>7609</v>
      </c>
      <c r="B3770" s="8">
        <v>7.1</v>
      </c>
      <c r="C3770" s="4"/>
      <c r="D3770" s="31"/>
      <c r="E3770" s="4"/>
      <c r="F3770" s="15"/>
      <c r="G3770" s="4"/>
    </row>
    <row r="3771" ht="14.25" customHeight="1">
      <c r="A3771" s="8" t="s">
        <v>7614</v>
      </c>
      <c r="B3771" s="8">
        <v>8.1</v>
      </c>
      <c r="C3771" s="4"/>
      <c r="D3771" s="31"/>
      <c r="E3771" s="4"/>
      <c r="F3771" s="15"/>
      <c r="G3771" s="4"/>
    </row>
    <row r="3772" ht="14.25" customHeight="1">
      <c r="A3772" s="8" t="s">
        <v>6425</v>
      </c>
      <c r="B3772" s="8">
        <v>5.5</v>
      </c>
      <c r="C3772" s="4"/>
      <c r="D3772" s="31"/>
      <c r="E3772" s="4"/>
      <c r="F3772" s="15"/>
      <c r="G3772" s="4"/>
    </row>
    <row r="3773" ht="14.25" customHeight="1">
      <c r="A3773" s="8" t="s">
        <v>7618</v>
      </c>
      <c r="B3773" s="8">
        <v>6.6</v>
      </c>
      <c r="C3773" s="4"/>
      <c r="D3773" s="31"/>
      <c r="E3773" s="4"/>
      <c r="F3773" s="15"/>
      <c r="G3773" s="4"/>
    </row>
    <row r="3774" ht="14.25" customHeight="1">
      <c r="A3774" s="8" t="s">
        <v>2342</v>
      </c>
      <c r="B3774" s="8">
        <v>7.4</v>
      </c>
      <c r="C3774" s="4"/>
      <c r="D3774" s="31"/>
      <c r="E3774" s="4"/>
      <c r="F3774" s="15"/>
      <c r="G3774" s="4"/>
    </row>
    <row r="3775" ht="14.25" customHeight="1">
      <c r="A3775" s="8" t="s">
        <v>7621</v>
      </c>
      <c r="B3775" s="8">
        <v>4.8</v>
      </c>
      <c r="C3775" s="4"/>
      <c r="D3775" s="31"/>
      <c r="E3775" s="4"/>
      <c r="F3775" s="15"/>
      <c r="G3775" s="4"/>
    </row>
    <row r="3776" ht="14.25" customHeight="1">
      <c r="A3776" s="8" t="s">
        <v>7624</v>
      </c>
      <c r="B3776" s="8">
        <v>6.4</v>
      </c>
      <c r="C3776" s="4"/>
      <c r="D3776" s="31"/>
      <c r="E3776" s="4"/>
      <c r="F3776" s="15"/>
      <c r="G3776" s="4"/>
    </row>
    <row r="3777" ht="14.25" customHeight="1">
      <c r="A3777" s="8" t="s">
        <v>2839</v>
      </c>
      <c r="B3777" s="8">
        <v>7.3</v>
      </c>
      <c r="C3777" s="4"/>
      <c r="D3777" s="31"/>
      <c r="E3777" s="4"/>
      <c r="F3777" s="15"/>
      <c r="G3777" s="4"/>
    </row>
    <row r="3778" ht="14.25" customHeight="1">
      <c r="A3778" s="8" t="s">
        <v>5967</v>
      </c>
      <c r="B3778" s="8">
        <v>6.9</v>
      </c>
      <c r="C3778" s="4"/>
      <c r="D3778" s="31"/>
      <c r="E3778" s="4"/>
      <c r="F3778" s="15"/>
      <c r="G3778" s="4"/>
    </row>
    <row r="3779" ht="14.25" customHeight="1">
      <c r="A3779" s="8" t="s">
        <v>174</v>
      </c>
      <c r="B3779" s="8">
        <v>7.2</v>
      </c>
      <c r="C3779" s="4"/>
      <c r="D3779" s="31"/>
      <c r="E3779" s="4"/>
      <c r="F3779" s="15"/>
      <c r="G3779" s="4"/>
    </row>
    <row r="3780" ht="14.25" customHeight="1">
      <c r="A3780" s="8" t="s">
        <v>7632</v>
      </c>
      <c r="B3780" s="8">
        <v>6.5</v>
      </c>
      <c r="C3780" s="4"/>
      <c r="D3780" s="31"/>
      <c r="E3780" s="4"/>
      <c r="F3780" s="15"/>
      <c r="G3780" s="4"/>
    </row>
    <row r="3781" ht="14.25" customHeight="1">
      <c r="A3781" s="8" t="s">
        <v>3508</v>
      </c>
      <c r="B3781" s="8">
        <v>6.6</v>
      </c>
      <c r="C3781" s="4"/>
      <c r="D3781" s="31"/>
      <c r="E3781" s="4"/>
      <c r="F3781" s="15"/>
      <c r="G3781" s="4"/>
    </row>
    <row r="3782" ht="14.25" customHeight="1">
      <c r="A3782" s="8" t="s">
        <v>7636</v>
      </c>
      <c r="B3782" s="8">
        <v>6.7</v>
      </c>
      <c r="C3782" s="4"/>
      <c r="D3782" s="31"/>
      <c r="E3782" s="4"/>
      <c r="F3782" s="15"/>
      <c r="G3782" s="4"/>
    </row>
    <row r="3783" ht="14.25" customHeight="1">
      <c r="A3783" s="8" t="s">
        <v>3380</v>
      </c>
      <c r="B3783" s="8">
        <v>7.3</v>
      </c>
      <c r="C3783" s="4"/>
      <c r="D3783" s="31"/>
      <c r="E3783" s="4"/>
      <c r="F3783" s="15"/>
      <c r="G3783" s="4"/>
    </row>
    <row r="3784" ht="14.25" customHeight="1">
      <c r="A3784" s="8" t="s">
        <v>7641</v>
      </c>
      <c r="B3784" s="8">
        <v>6.4</v>
      </c>
      <c r="C3784" s="4"/>
      <c r="D3784" s="31"/>
      <c r="E3784" s="4"/>
      <c r="F3784" s="15"/>
      <c r="G3784" s="4"/>
    </row>
    <row r="3785" ht="14.25" customHeight="1">
      <c r="A3785" s="8" t="s">
        <v>7643</v>
      </c>
      <c r="B3785" s="8">
        <v>7.0</v>
      </c>
      <c r="C3785" s="4"/>
      <c r="D3785" s="31"/>
      <c r="E3785" s="4"/>
      <c r="F3785" s="15"/>
      <c r="G3785" s="4"/>
    </row>
    <row r="3786" ht="14.25" customHeight="1">
      <c r="A3786" s="8" t="s">
        <v>7499</v>
      </c>
      <c r="B3786" s="8">
        <v>5.5</v>
      </c>
      <c r="C3786" s="4"/>
      <c r="D3786" s="31"/>
      <c r="E3786" s="4"/>
      <c r="F3786" s="15"/>
      <c r="G3786" s="4"/>
    </row>
    <row r="3787" ht="14.25" customHeight="1">
      <c r="A3787" s="8" t="s">
        <v>7649</v>
      </c>
      <c r="B3787" s="8">
        <v>6.7</v>
      </c>
      <c r="C3787" s="4"/>
      <c r="D3787" s="31"/>
      <c r="E3787" s="4"/>
      <c r="F3787" s="15"/>
      <c r="G3787" s="4"/>
    </row>
    <row r="3788" ht="14.25" customHeight="1">
      <c r="A3788" s="8" t="s">
        <v>6639</v>
      </c>
      <c r="B3788" s="8">
        <v>6.1</v>
      </c>
      <c r="C3788" s="4"/>
      <c r="D3788" s="31"/>
      <c r="E3788" s="4"/>
      <c r="F3788" s="15"/>
      <c r="G3788" s="4"/>
    </row>
    <row r="3789" ht="14.25" customHeight="1">
      <c r="A3789" s="8" t="s">
        <v>6134</v>
      </c>
      <c r="B3789" s="8">
        <v>3.9</v>
      </c>
      <c r="C3789" s="4"/>
      <c r="D3789" s="31"/>
      <c r="E3789" s="4"/>
      <c r="F3789" s="15"/>
      <c r="G3789" s="4"/>
    </row>
    <row r="3790" ht="14.25" customHeight="1">
      <c r="A3790" s="8" t="s">
        <v>7655</v>
      </c>
      <c r="B3790" s="8">
        <v>6.3</v>
      </c>
      <c r="C3790" s="4"/>
      <c r="D3790" s="31"/>
      <c r="E3790" s="4"/>
      <c r="F3790" s="15"/>
      <c r="G3790" s="4"/>
    </row>
    <row r="3791" ht="14.25" customHeight="1">
      <c r="A3791" s="8" t="s">
        <v>7659</v>
      </c>
      <c r="B3791" s="8">
        <v>7.5</v>
      </c>
      <c r="C3791" s="4"/>
      <c r="D3791" s="31"/>
      <c r="E3791" s="4"/>
      <c r="F3791" s="15"/>
      <c r="G3791" s="4"/>
    </row>
    <row r="3792" ht="14.25" customHeight="1">
      <c r="A3792" s="8" t="s">
        <v>7662</v>
      </c>
      <c r="B3792" s="8">
        <v>7.0</v>
      </c>
      <c r="C3792" s="4"/>
      <c r="D3792" s="31"/>
      <c r="E3792" s="4"/>
      <c r="F3792" s="15"/>
      <c r="G3792" s="4"/>
    </row>
    <row r="3793" ht="14.25" customHeight="1">
      <c r="A3793" s="8" t="s">
        <v>7665</v>
      </c>
      <c r="B3793" s="8">
        <v>6.7</v>
      </c>
      <c r="C3793" s="4"/>
      <c r="D3793" s="31"/>
      <c r="E3793" s="4"/>
      <c r="F3793" s="15"/>
      <c r="G3793" s="4"/>
    </row>
    <row r="3794" ht="14.25" customHeight="1">
      <c r="A3794" s="8" t="s">
        <v>225</v>
      </c>
      <c r="B3794" s="8">
        <v>7.4</v>
      </c>
      <c r="C3794" s="4"/>
      <c r="D3794" s="31"/>
      <c r="E3794" s="4"/>
      <c r="F3794" s="15"/>
      <c r="G3794" s="4"/>
    </row>
    <row r="3795" ht="14.25" customHeight="1">
      <c r="A3795" s="8" t="s">
        <v>3421</v>
      </c>
      <c r="B3795" s="8">
        <v>8.0</v>
      </c>
      <c r="C3795" s="4"/>
      <c r="D3795" s="31"/>
      <c r="E3795" s="4"/>
      <c r="F3795" s="15"/>
      <c r="G3795" s="4"/>
    </row>
    <row r="3796" ht="14.25" customHeight="1">
      <c r="A3796" s="8" t="s">
        <v>7671</v>
      </c>
      <c r="B3796" s="8">
        <v>7.2</v>
      </c>
      <c r="C3796" s="4"/>
      <c r="D3796" s="31"/>
      <c r="E3796" s="4"/>
      <c r="F3796" s="15"/>
      <c r="G3796" s="4"/>
    </row>
    <row r="3797" ht="14.25" customHeight="1">
      <c r="A3797" s="8" t="s">
        <v>7674</v>
      </c>
      <c r="B3797" s="8">
        <v>6.4</v>
      </c>
      <c r="C3797" s="4"/>
      <c r="D3797" s="31"/>
      <c r="E3797" s="4"/>
      <c r="F3797" s="15"/>
      <c r="G3797" s="4"/>
    </row>
    <row r="3798" ht="14.25" customHeight="1">
      <c r="A3798" s="8" t="s">
        <v>4168</v>
      </c>
      <c r="B3798" s="8">
        <v>6.5</v>
      </c>
      <c r="C3798" s="4"/>
      <c r="D3798" s="31"/>
      <c r="E3798" s="4"/>
      <c r="F3798" s="15"/>
      <c r="G3798" s="4"/>
    </row>
    <row r="3799" ht="14.25" customHeight="1">
      <c r="A3799" s="8" t="s">
        <v>7678</v>
      </c>
      <c r="B3799" s="8">
        <v>6.9</v>
      </c>
      <c r="C3799" s="4"/>
      <c r="D3799" s="31"/>
      <c r="E3799" s="4"/>
      <c r="F3799" s="15"/>
      <c r="G3799" s="4"/>
    </row>
    <row r="3800" ht="14.25" customHeight="1">
      <c r="A3800" s="8" t="s">
        <v>7681</v>
      </c>
      <c r="B3800" s="8">
        <v>7.5</v>
      </c>
      <c r="C3800" s="4"/>
      <c r="D3800" s="31"/>
      <c r="E3800" s="4"/>
      <c r="F3800" s="15"/>
      <c r="G3800" s="4"/>
    </row>
    <row r="3801" ht="14.25" customHeight="1">
      <c r="A3801" s="8" t="s">
        <v>639</v>
      </c>
      <c r="B3801" s="8">
        <v>7.1</v>
      </c>
      <c r="C3801" s="4"/>
      <c r="D3801" s="31"/>
      <c r="E3801" s="4"/>
      <c r="F3801" s="15"/>
      <c r="G3801" s="4"/>
    </row>
    <row r="3802" ht="14.25" customHeight="1">
      <c r="A3802" s="8" t="s">
        <v>7684</v>
      </c>
      <c r="B3802" s="8">
        <v>7.7</v>
      </c>
      <c r="C3802" s="4"/>
      <c r="D3802" s="31"/>
      <c r="E3802" s="4"/>
      <c r="F3802" s="15"/>
      <c r="G3802" s="4"/>
    </row>
    <row r="3803" ht="14.25" customHeight="1">
      <c r="A3803" s="8" t="s">
        <v>7688</v>
      </c>
      <c r="B3803" s="8">
        <v>8.5</v>
      </c>
      <c r="C3803" s="4"/>
      <c r="D3803" s="31"/>
      <c r="E3803" s="4"/>
      <c r="F3803" s="15"/>
      <c r="G3803" s="4"/>
    </row>
    <row r="3804" ht="14.25" customHeight="1">
      <c r="A3804" s="8" t="s">
        <v>7691</v>
      </c>
      <c r="B3804" s="8">
        <v>7.7</v>
      </c>
      <c r="C3804" s="4"/>
      <c r="D3804" s="31"/>
      <c r="E3804" s="4"/>
      <c r="F3804" s="15"/>
      <c r="G3804" s="4"/>
    </row>
    <row r="3805" ht="14.25" customHeight="1">
      <c r="A3805" s="8" t="s">
        <v>2048</v>
      </c>
      <c r="B3805" s="8">
        <v>6.5</v>
      </c>
      <c r="C3805" s="4"/>
      <c r="D3805" s="31"/>
      <c r="E3805" s="4"/>
      <c r="F3805" s="15"/>
      <c r="G3805" s="4"/>
    </row>
    <row r="3806" ht="14.25" customHeight="1">
      <c r="A3806" s="8" t="s">
        <v>7695</v>
      </c>
      <c r="B3806" s="8">
        <v>7.0</v>
      </c>
      <c r="C3806" s="4"/>
      <c r="D3806" s="31"/>
      <c r="E3806" s="4"/>
      <c r="F3806" s="15"/>
      <c r="G3806" s="4"/>
    </row>
    <row r="3807" ht="14.25" customHeight="1">
      <c r="A3807" s="8" t="s">
        <v>7698</v>
      </c>
      <c r="B3807" s="8">
        <v>5.5</v>
      </c>
      <c r="C3807" s="4"/>
      <c r="D3807" s="31"/>
      <c r="E3807" s="4"/>
      <c r="F3807" s="15"/>
      <c r="G3807" s="4"/>
    </row>
    <row r="3808" ht="14.25" customHeight="1">
      <c r="A3808" s="8" t="s">
        <v>3263</v>
      </c>
      <c r="B3808" s="8">
        <v>6.3</v>
      </c>
      <c r="C3808" s="4"/>
      <c r="D3808" s="31"/>
      <c r="E3808" s="4"/>
      <c r="F3808" s="15"/>
      <c r="G3808" s="4"/>
    </row>
    <row r="3809" ht="14.25" customHeight="1">
      <c r="A3809" s="8" t="s">
        <v>5996</v>
      </c>
      <c r="B3809" s="8">
        <v>7.9</v>
      </c>
      <c r="C3809" s="4"/>
      <c r="D3809" s="31"/>
      <c r="E3809" s="4"/>
      <c r="F3809" s="15"/>
      <c r="G3809" s="4"/>
    </row>
    <row r="3810" ht="14.25" customHeight="1">
      <c r="A3810" s="8" t="s">
        <v>7704</v>
      </c>
      <c r="B3810" s="8">
        <v>7.3</v>
      </c>
      <c r="C3810" s="4"/>
      <c r="D3810" s="31"/>
      <c r="E3810" s="4"/>
      <c r="F3810" s="15"/>
      <c r="G3810" s="4"/>
    </row>
    <row r="3811" ht="14.25" customHeight="1">
      <c r="A3811" s="8" t="s">
        <v>7707</v>
      </c>
      <c r="B3811" s="8">
        <v>7.4</v>
      </c>
      <c r="C3811" s="4"/>
      <c r="D3811" s="31"/>
      <c r="E3811" s="4"/>
      <c r="F3811" s="15"/>
      <c r="G3811" s="4"/>
    </row>
    <row r="3812" ht="14.25" customHeight="1">
      <c r="A3812" s="8" t="s">
        <v>2944</v>
      </c>
      <c r="B3812" s="8">
        <v>7.5</v>
      </c>
      <c r="C3812" s="4"/>
      <c r="D3812" s="31"/>
      <c r="E3812" s="4"/>
      <c r="F3812" s="15"/>
      <c r="G3812" s="4"/>
    </row>
    <row r="3813" ht="14.25" customHeight="1">
      <c r="A3813" s="8" t="s">
        <v>7710</v>
      </c>
      <c r="B3813" s="8">
        <v>7.0</v>
      </c>
      <c r="C3813" s="4"/>
      <c r="D3813" s="31"/>
      <c r="E3813" s="4"/>
      <c r="F3813" s="15"/>
      <c r="G3813" s="4"/>
    </row>
    <row r="3814" ht="14.25" customHeight="1">
      <c r="A3814" s="8" t="s">
        <v>7714</v>
      </c>
      <c r="B3814" s="8">
        <v>7.1</v>
      </c>
      <c r="C3814" s="4"/>
      <c r="D3814" s="31"/>
      <c r="E3814" s="4"/>
      <c r="F3814" s="15"/>
      <c r="G3814" s="4"/>
    </row>
    <row r="3815" ht="14.25" customHeight="1">
      <c r="A3815" s="8" t="s">
        <v>5855</v>
      </c>
      <c r="B3815" s="8">
        <v>7.5</v>
      </c>
      <c r="C3815" s="4"/>
      <c r="D3815" s="31"/>
      <c r="E3815" s="4"/>
      <c r="F3815" s="15"/>
      <c r="G3815" s="4"/>
    </row>
    <row r="3816" ht="14.25" customHeight="1">
      <c r="A3816" s="8" t="s">
        <v>7718</v>
      </c>
      <c r="B3816" s="8">
        <v>6.7</v>
      </c>
      <c r="C3816" s="4"/>
      <c r="D3816" s="31"/>
      <c r="E3816" s="4"/>
      <c r="F3816" s="15"/>
      <c r="G3816" s="4"/>
    </row>
    <row r="3817" ht="14.25" customHeight="1">
      <c r="A3817" s="8" t="s">
        <v>6570</v>
      </c>
      <c r="B3817" s="8">
        <v>6.7</v>
      </c>
      <c r="C3817" s="4"/>
      <c r="D3817" s="31"/>
      <c r="E3817" s="4"/>
      <c r="F3817" s="15"/>
      <c r="G3817" s="4"/>
    </row>
    <row r="3818" ht="14.25" customHeight="1">
      <c r="A3818" s="8" t="s">
        <v>7722</v>
      </c>
      <c r="B3818" s="8">
        <v>4.2</v>
      </c>
      <c r="C3818" s="4"/>
      <c r="D3818" s="31"/>
      <c r="E3818" s="4"/>
      <c r="F3818" s="15"/>
      <c r="G3818" s="4"/>
    </row>
    <row r="3819" ht="14.25" customHeight="1">
      <c r="A3819" s="8" t="s">
        <v>7725</v>
      </c>
      <c r="B3819" s="8">
        <v>7.0</v>
      </c>
      <c r="C3819" s="4"/>
      <c r="D3819" s="31"/>
      <c r="E3819" s="4"/>
      <c r="F3819" s="15"/>
      <c r="G3819" s="4"/>
    </row>
    <row r="3820" ht="14.25" customHeight="1">
      <c r="A3820" s="8" t="s">
        <v>7727</v>
      </c>
      <c r="B3820" s="8">
        <v>7.0</v>
      </c>
      <c r="C3820" s="4"/>
      <c r="D3820" s="31"/>
      <c r="E3820" s="4"/>
      <c r="F3820" s="15"/>
      <c r="G3820" s="4"/>
    </row>
    <row r="3821" ht="14.25" customHeight="1">
      <c r="A3821" s="8" t="s">
        <v>7730</v>
      </c>
      <c r="B3821" s="8">
        <v>6.8</v>
      </c>
      <c r="C3821" s="4"/>
      <c r="D3821" s="31"/>
      <c r="E3821" s="4"/>
      <c r="F3821" s="15"/>
      <c r="G3821" s="4"/>
    </row>
    <row r="3822" ht="14.25" customHeight="1">
      <c r="A3822" s="8" t="s">
        <v>4894</v>
      </c>
      <c r="B3822" s="8">
        <v>6.6</v>
      </c>
      <c r="C3822" s="4"/>
      <c r="D3822" s="31"/>
      <c r="E3822" s="4"/>
      <c r="F3822" s="15"/>
      <c r="G3822" s="4"/>
    </row>
    <row r="3823" ht="14.25" customHeight="1">
      <c r="A3823" s="8" t="s">
        <v>505</v>
      </c>
      <c r="B3823" s="8">
        <v>7.5</v>
      </c>
      <c r="C3823" s="4"/>
      <c r="D3823" s="31"/>
      <c r="E3823" s="4"/>
      <c r="F3823" s="15"/>
      <c r="G3823" s="4"/>
    </row>
    <row r="3824" ht="14.25" customHeight="1">
      <c r="A3824" s="8" t="s">
        <v>7735</v>
      </c>
      <c r="B3824" s="8">
        <v>5.3</v>
      </c>
      <c r="C3824" s="4"/>
      <c r="D3824" s="31"/>
      <c r="E3824" s="4"/>
      <c r="F3824" s="15"/>
      <c r="G3824" s="4"/>
    </row>
    <row r="3825" ht="14.25" customHeight="1">
      <c r="A3825" s="8" t="s">
        <v>5666</v>
      </c>
      <c r="B3825" s="8">
        <v>7.3</v>
      </c>
      <c r="C3825" s="4"/>
      <c r="D3825" s="31"/>
      <c r="E3825" s="4"/>
      <c r="F3825" s="15"/>
      <c r="G3825" s="4"/>
    </row>
    <row r="3826" ht="14.25" customHeight="1">
      <c r="A3826" s="8" t="s">
        <v>7740</v>
      </c>
      <c r="B3826" s="8">
        <v>5.6</v>
      </c>
      <c r="C3826" s="4"/>
      <c r="D3826" s="31"/>
      <c r="E3826" s="4"/>
      <c r="F3826" s="15"/>
      <c r="G3826" s="4"/>
    </row>
    <row r="3827" ht="14.25" customHeight="1">
      <c r="A3827" s="8" t="s">
        <v>7742</v>
      </c>
      <c r="B3827" s="8">
        <v>5.6</v>
      </c>
      <c r="C3827" s="4"/>
      <c r="D3827" s="31"/>
      <c r="E3827" s="4"/>
      <c r="F3827" s="15"/>
      <c r="G3827" s="4"/>
    </row>
    <row r="3828" ht="14.25" customHeight="1">
      <c r="A3828" s="8" t="s">
        <v>6728</v>
      </c>
      <c r="B3828" s="8">
        <v>6.6</v>
      </c>
      <c r="C3828" s="4"/>
      <c r="D3828" s="31"/>
      <c r="E3828" s="4"/>
      <c r="F3828" s="15"/>
      <c r="G3828" s="4"/>
    </row>
    <row r="3829" ht="14.25" customHeight="1">
      <c r="A3829" s="8" t="s">
        <v>7366</v>
      </c>
      <c r="B3829" s="8">
        <v>6.3</v>
      </c>
      <c r="C3829" s="4"/>
      <c r="D3829" s="31"/>
      <c r="E3829" s="4"/>
      <c r="F3829" s="15"/>
      <c r="G3829" s="4"/>
    </row>
    <row r="3830" ht="14.25" customHeight="1">
      <c r="A3830" s="8" t="s">
        <v>2176</v>
      </c>
      <c r="B3830" s="8">
        <v>7.5</v>
      </c>
      <c r="C3830" s="4"/>
      <c r="D3830" s="31"/>
      <c r="E3830" s="4"/>
      <c r="F3830" s="15"/>
      <c r="G3830" s="4"/>
    </row>
    <row r="3831" ht="14.25" customHeight="1">
      <c r="A3831" s="8" t="s">
        <v>7749</v>
      </c>
      <c r="B3831" s="8">
        <v>7.6</v>
      </c>
      <c r="C3831" s="4"/>
      <c r="D3831" s="31"/>
      <c r="E3831" s="4"/>
      <c r="F3831" s="15"/>
      <c r="G3831" s="4"/>
    </row>
    <row r="3832" ht="14.25" customHeight="1">
      <c r="A3832" s="8" t="s">
        <v>7752</v>
      </c>
      <c r="B3832" s="8">
        <v>4.1</v>
      </c>
      <c r="C3832" s="4"/>
      <c r="D3832" s="31"/>
      <c r="E3832" s="4"/>
      <c r="F3832" s="15"/>
      <c r="G3832" s="4"/>
    </row>
    <row r="3833" ht="14.25" customHeight="1">
      <c r="A3833" s="8" t="s">
        <v>2839</v>
      </c>
      <c r="B3833" s="8">
        <v>7.8</v>
      </c>
      <c r="C3833" s="4"/>
      <c r="D3833" s="31"/>
      <c r="E3833" s="4"/>
      <c r="F3833" s="15"/>
      <c r="G3833" s="4"/>
    </row>
    <row r="3834" ht="14.25" customHeight="1">
      <c r="A3834" s="8" t="s">
        <v>7756</v>
      </c>
      <c r="B3834" s="8">
        <v>6.7</v>
      </c>
      <c r="C3834" s="4"/>
      <c r="D3834" s="31"/>
      <c r="E3834" s="4"/>
      <c r="F3834" s="15"/>
      <c r="G3834" s="4"/>
    </row>
    <row r="3835" ht="14.25" customHeight="1">
      <c r="A3835" s="8" t="s">
        <v>3926</v>
      </c>
      <c r="B3835" s="8">
        <v>7.3</v>
      </c>
      <c r="C3835" s="4"/>
      <c r="D3835" s="31"/>
      <c r="E3835" s="4"/>
      <c r="F3835" s="15"/>
      <c r="G3835" s="4"/>
    </row>
    <row r="3836" ht="14.25" customHeight="1">
      <c r="A3836" s="8" t="s">
        <v>218</v>
      </c>
      <c r="B3836" s="8">
        <v>5.7</v>
      </c>
      <c r="C3836" s="4"/>
      <c r="D3836" s="31"/>
      <c r="E3836" s="4"/>
      <c r="F3836" s="15"/>
      <c r="G3836" s="4"/>
    </row>
    <row r="3837" ht="14.25" customHeight="1">
      <c r="A3837" s="8" t="s">
        <v>3582</v>
      </c>
      <c r="B3837" s="8">
        <v>7.1</v>
      </c>
      <c r="C3837" s="4"/>
      <c r="D3837" s="31"/>
      <c r="E3837" s="4"/>
      <c r="F3837" s="15"/>
      <c r="G3837" s="4"/>
    </row>
    <row r="3838" ht="14.25" customHeight="1">
      <c r="A3838" s="8" t="s">
        <v>5724</v>
      </c>
      <c r="B3838" s="8">
        <v>6.6</v>
      </c>
      <c r="C3838" s="4"/>
      <c r="D3838" s="31"/>
      <c r="E3838" s="4"/>
      <c r="F3838" s="15"/>
      <c r="G3838" s="4"/>
    </row>
    <row r="3839" ht="14.25" customHeight="1">
      <c r="A3839" s="8" t="s">
        <v>7764</v>
      </c>
      <c r="B3839" s="8">
        <v>6.2</v>
      </c>
      <c r="C3839" s="4"/>
      <c r="D3839" s="31"/>
      <c r="E3839" s="4"/>
      <c r="F3839" s="15"/>
      <c r="G3839" s="4"/>
    </row>
    <row r="3840" ht="14.25" customHeight="1">
      <c r="A3840" s="8" t="s">
        <v>5239</v>
      </c>
      <c r="B3840" s="8">
        <v>6.1</v>
      </c>
      <c r="C3840" s="4"/>
      <c r="D3840" s="31"/>
      <c r="E3840" s="4"/>
      <c r="F3840" s="15"/>
      <c r="G3840" s="4"/>
    </row>
    <row r="3841" ht="14.25" customHeight="1">
      <c r="A3841" s="8" t="s">
        <v>5253</v>
      </c>
      <c r="B3841" s="8">
        <v>6.9</v>
      </c>
      <c r="C3841" s="4"/>
      <c r="D3841" s="31"/>
      <c r="E3841" s="4"/>
      <c r="F3841" s="15"/>
      <c r="G3841" s="4"/>
    </row>
    <row r="3842" ht="14.25" customHeight="1">
      <c r="A3842" s="8" t="s">
        <v>7772</v>
      </c>
      <c r="B3842" s="8">
        <v>7.5</v>
      </c>
      <c r="C3842" s="4"/>
      <c r="D3842" s="31"/>
      <c r="E3842" s="4"/>
      <c r="F3842" s="15"/>
      <c r="G3842" s="4"/>
    </row>
    <row r="3843" ht="14.25" customHeight="1">
      <c r="A3843" s="8" t="s">
        <v>7775</v>
      </c>
      <c r="B3843" s="8">
        <v>7.4</v>
      </c>
      <c r="C3843" s="4"/>
      <c r="D3843" s="31"/>
      <c r="E3843" s="4">
        <f t="shared" ref="E3843:E3848" si="4">COUNTIFS(A:A,C3843)</f>
        <v>0</v>
      </c>
      <c r="F3843" s="15"/>
      <c r="G3843" s="4"/>
    </row>
    <row r="3844" ht="14.25" customHeight="1">
      <c r="A3844" s="8" t="s">
        <v>7778</v>
      </c>
      <c r="B3844" s="8">
        <v>7.0</v>
      </c>
      <c r="C3844" s="4"/>
      <c r="D3844" s="31"/>
      <c r="E3844" s="4">
        <f t="shared" si="4"/>
        <v>0</v>
      </c>
      <c r="F3844" s="15"/>
      <c r="G3844" s="4"/>
    </row>
    <row r="3845" ht="14.25" customHeight="1">
      <c r="A3845" s="8" t="s">
        <v>7780</v>
      </c>
      <c r="B3845" s="8">
        <v>6.3</v>
      </c>
      <c r="C3845" s="4"/>
      <c r="D3845" s="31"/>
      <c r="E3845" s="4">
        <f t="shared" si="4"/>
        <v>0</v>
      </c>
      <c r="F3845" s="15"/>
      <c r="G3845" s="4"/>
    </row>
    <row r="3846" ht="14.25" customHeight="1">
      <c r="A3846" s="8" t="s">
        <v>1980</v>
      </c>
      <c r="B3846" s="8">
        <v>6.9</v>
      </c>
      <c r="C3846" s="4"/>
      <c r="D3846" s="31"/>
      <c r="E3846" s="4">
        <f t="shared" si="4"/>
        <v>0</v>
      </c>
      <c r="F3846" s="15"/>
      <c r="G3846" s="4"/>
    </row>
    <row r="3847" ht="14.25" customHeight="1">
      <c r="A3847" s="8" t="s">
        <v>6728</v>
      </c>
      <c r="B3847" s="8">
        <v>6.4</v>
      </c>
      <c r="C3847" s="4"/>
      <c r="D3847" s="31"/>
      <c r="E3847" s="4">
        <f t="shared" si="4"/>
        <v>0</v>
      </c>
      <c r="F3847" s="15"/>
      <c r="G3847" s="4"/>
    </row>
    <row r="3848" ht="14.25" customHeight="1">
      <c r="A3848" s="8" t="s">
        <v>6979</v>
      </c>
      <c r="B3848" s="8">
        <v>6.6</v>
      </c>
      <c r="C3848" s="4"/>
      <c r="D3848" s="31"/>
      <c r="E3848" s="4">
        <f t="shared" si="4"/>
        <v>0</v>
      </c>
      <c r="F3848" s="15"/>
      <c r="G3848" s="4"/>
    </row>
  </sheetData>
  <autoFilter ref="$C$1:$D$3848"/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71"/>
    <col customWidth="1" min="2" max="2" width="17.71"/>
    <col customWidth="1" min="3" max="3" width="16.57"/>
    <col customWidth="1" min="4" max="4" width="17.29"/>
    <col customWidth="1" min="5" max="5" width="3.29"/>
    <col customWidth="1" min="6" max="6" width="28.57"/>
    <col customWidth="1" min="7" max="7" width="37.71"/>
    <col customWidth="1" min="8" max="8" width="17.86"/>
    <col customWidth="1" min="9" max="9" width="16.43"/>
    <col customWidth="1" min="10" max="10" width="17.29"/>
    <col customWidth="1" min="11" max="13" width="8.71"/>
    <col customWidth="1" min="14" max="14" width="10.71"/>
  </cols>
  <sheetData>
    <row r="1" ht="14.25" customHeight="1">
      <c r="A1" s="29" t="s">
        <v>7823</v>
      </c>
      <c r="B1" s="34" t="s">
        <v>7824</v>
      </c>
      <c r="C1" s="34" t="s">
        <v>7825</v>
      </c>
      <c r="D1" s="34" t="s">
        <v>7826</v>
      </c>
      <c r="G1" s="35" t="s">
        <v>7823</v>
      </c>
      <c r="H1" s="36" t="s">
        <v>7824</v>
      </c>
      <c r="I1" s="36" t="s">
        <v>7825</v>
      </c>
      <c r="J1" s="36" t="s">
        <v>7826</v>
      </c>
    </row>
    <row r="2" ht="14.25" customHeight="1">
      <c r="A2" s="4" t="s">
        <v>15</v>
      </c>
      <c r="B2" s="37">
        <v>237.0</v>
      </c>
      <c r="C2" s="37">
        <v>760.505847</v>
      </c>
      <c r="D2" s="37">
        <v>523.505847</v>
      </c>
      <c r="E2" s="8" t="s">
        <v>7827</v>
      </c>
      <c r="F2" s="38" t="s">
        <v>7828</v>
      </c>
      <c r="G2" s="14" t="s">
        <v>15</v>
      </c>
      <c r="H2" s="39">
        <v>237.0</v>
      </c>
      <c r="I2" s="39">
        <v>760.505847</v>
      </c>
      <c r="J2" s="39">
        <v>523.505847</v>
      </c>
      <c r="M2" s="29"/>
      <c r="N2" s="40"/>
    </row>
    <row r="3" ht="14.25" customHeight="1">
      <c r="A3" s="4" t="s">
        <v>104</v>
      </c>
      <c r="B3" s="37">
        <v>150.0</v>
      </c>
      <c r="C3" s="37">
        <v>652.177271</v>
      </c>
      <c r="D3" s="37">
        <v>502.177271</v>
      </c>
      <c r="F3" s="29">
        <f>CORREL(B:B,C:C)</f>
        <v>0.1008235306</v>
      </c>
      <c r="G3" s="14" t="s">
        <v>104</v>
      </c>
      <c r="H3" s="39">
        <v>150.0</v>
      </c>
      <c r="I3" s="39">
        <v>652.177271</v>
      </c>
      <c r="J3" s="39">
        <v>502.177271</v>
      </c>
      <c r="M3" s="29"/>
      <c r="N3" s="5"/>
    </row>
    <row r="4" ht="14.25" customHeight="1">
      <c r="A4" s="4" t="s">
        <v>94</v>
      </c>
      <c r="B4" s="37">
        <v>200.0</v>
      </c>
      <c r="C4" s="37">
        <v>658.672302</v>
      </c>
      <c r="D4" s="37">
        <v>458.672302</v>
      </c>
      <c r="G4" s="14" t="s">
        <v>94</v>
      </c>
      <c r="H4" s="39">
        <v>200.0</v>
      </c>
      <c r="I4" s="39">
        <v>658.672302</v>
      </c>
      <c r="J4" s="39">
        <v>458.672302</v>
      </c>
      <c r="M4" s="5"/>
      <c r="N4" s="5"/>
    </row>
    <row r="5" ht="14.25" customHeight="1">
      <c r="A5" s="4" t="s">
        <v>5485</v>
      </c>
      <c r="B5" s="37">
        <v>11.0</v>
      </c>
      <c r="C5" s="37">
        <v>460.935665</v>
      </c>
      <c r="D5" s="37">
        <v>449.935665</v>
      </c>
      <c r="G5" s="14" t="s">
        <v>5485</v>
      </c>
      <c r="H5" s="39">
        <v>11.0</v>
      </c>
      <c r="I5" s="39">
        <v>460.935665</v>
      </c>
      <c r="J5" s="39">
        <v>449.935665</v>
      </c>
      <c r="M5" s="29"/>
      <c r="N5" s="4"/>
    </row>
    <row r="6" ht="14.25" customHeight="1">
      <c r="A6" s="4" t="s">
        <v>5565</v>
      </c>
      <c r="B6" s="37">
        <v>10.5</v>
      </c>
      <c r="C6" s="37">
        <v>434.949459</v>
      </c>
      <c r="D6" s="37">
        <v>424.449459</v>
      </c>
      <c r="E6" s="8" t="s">
        <v>7829</v>
      </c>
      <c r="F6" s="28" t="s">
        <v>7830</v>
      </c>
      <c r="G6" s="14" t="s">
        <v>5565</v>
      </c>
      <c r="H6" s="39">
        <v>10.5</v>
      </c>
      <c r="I6" s="39">
        <v>434.949459</v>
      </c>
      <c r="J6" s="39">
        <v>424.449459</v>
      </c>
      <c r="M6" s="41"/>
      <c r="N6" s="42"/>
    </row>
    <row r="7" ht="14.25" customHeight="1">
      <c r="A7" s="4" t="s">
        <v>66</v>
      </c>
      <c r="B7" s="37">
        <v>220.0</v>
      </c>
      <c r="C7" s="37">
        <v>623.279547</v>
      </c>
      <c r="D7" s="37">
        <v>403.279547</v>
      </c>
      <c r="F7" s="43">
        <f>MAX(D:D)</f>
        <v>523.505847</v>
      </c>
      <c r="G7" s="14" t="s">
        <v>66</v>
      </c>
      <c r="H7" s="39">
        <v>220.0</v>
      </c>
      <c r="I7" s="39">
        <v>623.279547</v>
      </c>
      <c r="J7" s="39">
        <v>403.279547</v>
      </c>
      <c r="M7" s="5"/>
      <c r="N7" s="5"/>
    </row>
    <row r="8" ht="14.25" customHeight="1">
      <c r="A8" s="4" t="s">
        <v>1197</v>
      </c>
      <c r="B8" s="37">
        <v>45.0</v>
      </c>
      <c r="C8" s="37">
        <v>422.783777</v>
      </c>
      <c r="D8" s="37">
        <v>377.783777</v>
      </c>
      <c r="F8" s="38" t="s">
        <v>7831</v>
      </c>
      <c r="G8" s="14" t="s">
        <v>1197</v>
      </c>
      <c r="H8" s="39">
        <v>45.0</v>
      </c>
      <c r="I8" s="39">
        <v>422.783777</v>
      </c>
      <c r="J8" s="39">
        <v>377.783777</v>
      </c>
    </row>
    <row r="9" ht="14.25" customHeight="1">
      <c r="A9" s="4" t="s">
        <v>608</v>
      </c>
      <c r="B9" s="37">
        <v>115.0</v>
      </c>
      <c r="C9" s="37">
        <v>474.544677</v>
      </c>
      <c r="D9" s="37">
        <v>359.544677</v>
      </c>
      <c r="G9" s="14" t="s">
        <v>608</v>
      </c>
      <c r="H9" s="39">
        <v>115.0</v>
      </c>
      <c r="I9" s="39">
        <v>474.544677</v>
      </c>
      <c r="J9" s="39">
        <v>359.544677</v>
      </c>
    </row>
    <row r="10" ht="14.25" customHeight="1">
      <c r="A10" s="4" t="s">
        <v>198</v>
      </c>
      <c r="B10" s="37">
        <v>185.0</v>
      </c>
      <c r="C10" s="37">
        <v>533.316061</v>
      </c>
      <c r="D10" s="37">
        <v>348.316061</v>
      </c>
      <c r="G10" s="14" t="s">
        <v>198</v>
      </c>
      <c r="H10" s="39">
        <v>185.0</v>
      </c>
      <c r="I10" s="39">
        <v>533.316061</v>
      </c>
      <c r="J10" s="39">
        <v>348.316061</v>
      </c>
    </row>
    <row r="11" ht="14.25" customHeight="1">
      <c r="A11" s="4" t="s">
        <v>1064</v>
      </c>
      <c r="B11" s="37">
        <v>78.0</v>
      </c>
      <c r="C11" s="37">
        <v>407.999255</v>
      </c>
      <c r="D11" s="37">
        <v>329.999255</v>
      </c>
      <c r="G11" s="14" t="s">
        <v>1064</v>
      </c>
      <c r="H11" s="39">
        <v>78.0</v>
      </c>
      <c r="I11" s="39">
        <v>407.999255</v>
      </c>
      <c r="J11" s="39">
        <v>329.999255</v>
      </c>
    </row>
    <row r="12" ht="14.25" customHeight="1">
      <c r="A12" s="4" t="s">
        <v>1808</v>
      </c>
      <c r="B12" s="37">
        <v>58.0</v>
      </c>
      <c r="C12" s="37">
        <v>363.024263</v>
      </c>
      <c r="D12" s="37">
        <v>305.024263</v>
      </c>
    </row>
    <row r="13" ht="14.25" customHeight="1">
      <c r="A13" s="4" t="s">
        <v>493</v>
      </c>
      <c r="B13" s="37">
        <v>130.0</v>
      </c>
      <c r="C13" s="37">
        <v>424.645577</v>
      </c>
      <c r="D13" s="37">
        <v>294.645577</v>
      </c>
    </row>
    <row r="14" ht="14.25" customHeight="1">
      <c r="A14" s="4" t="s">
        <v>1569</v>
      </c>
      <c r="B14" s="37">
        <v>63.0</v>
      </c>
      <c r="C14" s="37">
        <v>356.784</v>
      </c>
      <c r="D14" s="37">
        <v>293.784</v>
      </c>
    </row>
    <row r="15" ht="14.25" customHeight="1">
      <c r="A15" s="4" t="s">
        <v>1223</v>
      </c>
      <c r="B15" s="37">
        <v>76.0</v>
      </c>
      <c r="C15" s="37">
        <v>368.049635</v>
      </c>
      <c r="D15" s="37">
        <v>292.049635</v>
      </c>
    </row>
    <row r="16" ht="14.25" customHeight="1">
      <c r="A16" s="4" t="s">
        <v>1813</v>
      </c>
      <c r="B16" s="37">
        <v>58.8</v>
      </c>
      <c r="C16" s="37">
        <v>350.123553</v>
      </c>
      <c r="D16" s="37">
        <v>291.323553</v>
      </c>
    </row>
    <row r="17" ht="14.25" customHeight="1">
      <c r="A17" s="4" t="s">
        <v>848</v>
      </c>
      <c r="B17" s="37">
        <v>94.0</v>
      </c>
      <c r="C17" s="37">
        <v>380.83887</v>
      </c>
      <c r="D17" s="37">
        <v>286.83887</v>
      </c>
    </row>
    <row r="18" ht="14.25" customHeight="1">
      <c r="A18" s="4" t="s">
        <v>1347</v>
      </c>
      <c r="B18" s="37">
        <v>150.0</v>
      </c>
      <c r="C18" s="37">
        <v>436.471036</v>
      </c>
      <c r="D18" s="37">
        <v>286.471036</v>
      </c>
    </row>
    <row r="19" ht="14.25" customHeight="1">
      <c r="A19" s="4" t="s">
        <v>850</v>
      </c>
      <c r="B19" s="37">
        <v>94.0</v>
      </c>
      <c r="C19" s="37">
        <v>377.019252</v>
      </c>
      <c r="D19" s="37">
        <v>283.019252</v>
      </c>
    </row>
    <row r="20" ht="14.25" customHeight="1">
      <c r="A20" s="4" t="s">
        <v>3116</v>
      </c>
      <c r="B20" s="37">
        <v>32.5</v>
      </c>
      <c r="C20" s="37">
        <v>309.125409</v>
      </c>
      <c r="D20" s="37">
        <v>276.625409</v>
      </c>
    </row>
    <row r="21" ht="14.25" customHeight="1">
      <c r="A21" s="4" t="s">
        <v>1849</v>
      </c>
      <c r="B21" s="37">
        <v>55.0</v>
      </c>
      <c r="C21" s="37">
        <v>329.691196</v>
      </c>
      <c r="D21" s="37">
        <v>274.691196</v>
      </c>
    </row>
    <row r="22" ht="14.25" customHeight="1">
      <c r="A22" s="4" t="s">
        <v>3961</v>
      </c>
      <c r="B22" s="37">
        <v>18.0</v>
      </c>
      <c r="C22" s="37">
        <v>290.158751</v>
      </c>
      <c r="D22" s="37">
        <v>272.158751</v>
      </c>
    </row>
    <row r="23" ht="14.25" customHeight="1">
      <c r="A23" s="4" t="s">
        <v>4834</v>
      </c>
      <c r="B23" s="37">
        <v>18.0</v>
      </c>
      <c r="C23" s="37">
        <v>285.761243</v>
      </c>
      <c r="D23" s="37">
        <v>267.761243</v>
      </c>
    </row>
    <row r="24" ht="14.25" customHeight="1">
      <c r="A24" s="4" t="s">
        <v>604</v>
      </c>
      <c r="B24" s="37">
        <v>113.0</v>
      </c>
      <c r="C24" s="37">
        <v>380.262555</v>
      </c>
      <c r="D24" s="37">
        <v>267.262555</v>
      </c>
    </row>
    <row r="25" ht="14.25" customHeight="1">
      <c r="A25" s="4" t="s">
        <v>436</v>
      </c>
      <c r="B25" s="37">
        <v>139.0</v>
      </c>
      <c r="C25" s="37">
        <v>403.706375</v>
      </c>
      <c r="D25" s="37">
        <v>264.706375</v>
      </c>
    </row>
    <row r="26" ht="14.25" customHeight="1">
      <c r="A26" s="4" t="s">
        <v>1303</v>
      </c>
      <c r="B26" s="37">
        <v>74.0</v>
      </c>
      <c r="C26" s="37">
        <v>336.02956</v>
      </c>
      <c r="D26" s="37">
        <v>262.02956</v>
      </c>
    </row>
    <row r="27" ht="14.25" customHeight="1">
      <c r="A27" s="4" t="s">
        <v>2473</v>
      </c>
      <c r="B27" s="37">
        <v>40.0</v>
      </c>
      <c r="C27" s="37">
        <v>293.501675</v>
      </c>
      <c r="D27" s="37">
        <v>253.501675</v>
      </c>
    </row>
    <row r="28" ht="14.25" customHeight="1">
      <c r="A28" s="4" t="s">
        <v>5321</v>
      </c>
      <c r="B28" s="37">
        <v>8.0</v>
      </c>
      <c r="C28" s="37">
        <v>260.0</v>
      </c>
      <c r="D28" s="37">
        <v>252.0</v>
      </c>
    </row>
    <row r="29" ht="14.25" customHeight="1">
      <c r="A29" s="4" t="s">
        <v>355</v>
      </c>
      <c r="B29" s="37">
        <v>150.0</v>
      </c>
      <c r="C29" s="37">
        <v>400.7366</v>
      </c>
      <c r="D29" s="37">
        <v>250.7366</v>
      </c>
    </row>
    <row r="30" ht="14.25" customHeight="1">
      <c r="A30" s="4" t="s">
        <v>1217</v>
      </c>
      <c r="B30" s="37">
        <v>75.0</v>
      </c>
      <c r="C30" s="37">
        <v>323.50554</v>
      </c>
      <c r="D30" s="37">
        <v>248.50554</v>
      </c>
    </row>
    <row r="31" ht="14.25" customHeight="1">
      <c r="A31" s="4" t="s">
        <v>2017</v>
      </c>
      <c r="B31" s="37">
        <v>50.0</v>
      </c>
      <c r="C31" s="37">
        <v>296.623634</v>
      </c>
      <c r="D31" s="37">
        <v>246.623634</v>
      </c>
    </row>
    <row r="32" ht="14.25" customHeight="1">
      <c r="A32" s="4" t="s">
        <v>851</v>
      </c>
      <c r="B32" s="37">
        <v>94.0</v>
      </c>
      <c r="C32" s="37">
        <v>340.478898</v>
      </c>
      <c r="D32" s="37">
        <v>246.478898</v>
      </c>
    </row>
    <row r="33" ht="14.25" customHeight="1">
      <c r="A33" s="4" t="s">
        <v>2879</v>
      </c>
      <c r="B33" s="37">
        <v>35.0</v>
      </c>
      <c r="C33" s="37">
        <v>277.313371</v>
      </c>
      <c r="D33" s="37">
        <v>242.313371</v>
      </c>
    </row>
    <row r="34" ht="14.25" customHeight="1">
      <c r="A34" s="4" t="s">
        <v>6439</v>
      </c>
      <c r="B34" s="37">
        <v>5.0</v>
      </c>
      <c r="C34" s="37">
        <v>241.437427</v>
      </c>
      <c r="D34" s="37">
        <v>236.437427</v>
      </c>
    </row>
    <row r="35" ht="14.25" customHeight="1">
      <c r="A35" s="4" t="s">
        <v>1448</v>
      </c>
      <c r="B35" s="37">
        <v>68.0</v>
      </c>
      <c r="C35" s="37">
        <v>300.523113</v>
      </c>
      <c r="D35" s="37">
        <v>232.523113</v>
      </c>
    </row>
    <row r="36" ht="14.25" customHeight="1">
      <c r="A36" s="4" t="s">
        <v>1224</v>
      </c>
      <c r="B36" s="37">
        <v>75.0</v>
      </c>
      <c r="C36" s="37">
        <v>306.124059</v>
      </c>
      <c r="D36" s="37">
        <v>231.124059</v>
      </c>
    </row>
    <row r="37" ht="14.25" customHeight="1">
      <c r="A37" s="4" t="s">
        <v>2892</v>
      </c>
      <c r="B37" s="37">
        <v>29.0</v>
      </c>
      <c r="C37" s="37">
        <v>255.950375</v>
      </c>
      <c r="D37" s="37">
        <v>226.950375</v>
      </c>
    </row>
    <row r="38" ht="14.25" customHeight="1">
      <c r="A38" s="4" t="s">
        <v>4113</v>
      </c>
      <c r="B38" s="37">
        <v>18.0</v>
      </c>
      <c r="C38" s="37">
        <v>242.374454</v>
      </c>
      <c r="D38" s="37">
        <v>224.374454</v>
      </c>
    </row>
    <row r="39" ht="14.25" customHeight="1">
      <c r="A39" s="4" t="s">
        <v>676</v>
      </c>
      <c r="B39" s="37">
        <v>93.0</v>
      </c>
      <c r="C39" s="37">
        <v>313.837577</v>
      </c>
      <c r="D39" s="37">
        <v>220.837577</v>
      </c>
    </row>
    <row r="40" ht="14.25" customHeight="1">
      <c r="A40" s="4" t="s">
        <v>4833</v>
      </c>
      <c r="B40" s="37">
        <v>14.0</v>
      </c>
      <c r="C40" s="37">
        <v>234.7605</v>
      </c>
      <c r="D40" s="37">
        <v>220.7605</v>
      </c>
    </row>
    <row r="41" ht="14.25" customHeight="1">
      <c r="A41" s="4" t="s">
        <v>2886</v>
      </c>
      <c r="B41" s="37">
        <v>35.0</v>
      </c>
      <c r="C41" s="37">
        <v>251.188924</v>
      </c>
      <c r="D41" s="37">
        <v>216.188924</v>
      </c>
    </row>
    <row r="42" ht="14.25" customHeight="1">
      <c r="A42" s="4" t="s">
        <v>141</v>
      </c>
      <c r="B42" s="37">
        <v>200.0</v>
      </c>
      <c r="C42" s="37">
        <v>414.984497</v>
      </c>
      <c r="D42" s="37">
        <v>214.984497</v>
      </c>
    </row>
    <row r="43" ht="14.25" customHeight="1">
      <c r="A43" s="4" t="s">
        <v>530</v>
      </c>
      <c r="B43" s="37">
        <v>125.0</v>
      </c>
      <c r="C43" s="37">
        <v>337.103873</v>
      </c>
      <c r="D43" s="37">
        <v>212.103873</v>
      </c>
    </row>
    <row r="44" ht="14.25" customHeight="1">
      <c r="A44" s="4" t="s">
        <v>110</v>
      </c>
      <c r="B44" s="37">
        <v>200.0</v>
      </c>
      <c r="C44" s="37">
        <v>408.992272</v>
      </c>
      <c r="D44" s="37">
        <v>208.992272</v>
      </c>
    </row>
    <row r="45" ht="14.25" customHeight="1">
      <c r="A45" s="4" t="s">
        <v>43</v>
      </c>
      <c r="B45" s="37">
        <v>250.0</v>
      </c>
      <c r="C45" s="37">
        <v>458.991599</v>
      </c>
      <c r="D45" s="37">
        <v>208.991599</v>
      </c>
    </row>
    <row r="46" ht="14.25" customHeight="1">
      <c r="A46" s="4" t="s">
        <v>2019</v>
      </c>
      <c r="B46" s="37">
        <v>60.0</v>
      </c>
      <c r="C46" s="37">
        <v>267.652016</v>
      </c>
      <c r="D46" s="37">
        <v>207.652016</v>
      </c>
    </row>
    <row r="47" ht="14.25" customHeight="1">
      <c r="A47" s="4" t="s">
        <v>123</v>
      </c>
      <c r="B47" s="37">
        <v>200.0</v>
      </c>
      <c r="C47" s="37">
        <v>402.076689</v>
      </c>
      <c r="D47" s="37">
        <v>202.076689</v>
      </c>
    </row>
    <row r="48" ht="14.25" customHeight="1">
      <c r="A48" s="4" t="s">
        <v>1597</v>
      </c>
      <c r="B48" s="37">
        <v>80.0</v>
      </c>
      <c r="C48" s="37">
        <v>279.167575</v>
      </c>
      <c r="D48" s="37">
        <v>199.167575</v>
      </c>
    </row>
    <row r="49" ht="14.25" customHeight="1">
      <c r="A49" s="4" t="s">
        <v>28</v>
      </c>
      <c r="B49" s="37">
        <v>250.0</v>
      </c>
      <c r="C49" s="37">
        <v>448.130642</v>
      </c>
      <c r="D49" s="37">
        <v>198.130642</v>
      </c>
      <c r="E49" s="8" t="s">
        <v>7829</v>
      </c>
      <c r="F49" s="38" t="s">
        <v>7830</v>
      </c>
      <c r="G49" s="44"/>
    </row>
    <row r="50" ht="14.25" customHeight="1">
      <c r="A50" s="4" t="s">
        <v>58</v>
      </c>
      <c r="B50" s="37">
        <v>225.0</v>
      </c>
      <c r="C50" s="37">
        <v>423.032628</v>
      </c>
      <c r="D50" s="37">
        <v>198.032628</v>
      </c>
    </row>
    <row r="51" ht="14.25" customHeight="1">
      <c r="A51" s="4" t="s">
        <v>1711</v>
      </c>
      <c r="B51" s="37">
        <v>60.0</v>
      </c>
      <c r="C51" s="37">
        <v>257.756197</v>
      </c>
      <c r="D51" s="37">
        <v>197.756197</v>
      </c>
    </row>
    <row r="52" ht="14.25" customHeight="1">
      <c r="A52" s="4" t="s">
        <v>5320</v>
      </c>
      <c r="B52" s="37">
        <v>8.0</v>
      </c>
      <c r="C52" s="37">
        <v>204.565</v>
      </c>
      <c r="D52" s="37">
        <v>196.565</v>
      </c>
    </row>
    <row r="53" ht="14.25" customHeight="1">
      <c r="A53" s="4" t="s">
        <v>605</v>
      </c>
      <c r="B53" s="37">
        <v>115.0</v>
      </c>
      <c r="C53" s="37">
        <v>310.675583</v>
      </c>
      <c r="D53" s="37">
        <v>195.675583</v>
      </c>
    </row>
    <row r="54" ht="14.25" customHeight="1">
      <c r="A54" s="4" t="s">
        <v>4008</v>
      </c>
      <c r="B54" s="37">
        <v>22.0</v>
      </c>
      <c r="C54" s="37">
        <v>217.631306</v>
      </c>
      <c r="D54" s="37">
        <v>195.631306</v>
      </c>
    </row>
    <row r="55" ht="14.25" customHeight="1">
      <c r="A55" s="4" t="s">
        <v>6694</v>
      </c>
      <c r="B55" s="37">
        <v>3.977</v>
      </c>
      <c r="C55" s="37">
        <v>198.655278</v>
      </c>
      <c r="D55" s="37">
        <v>194.678278</v>
      </c>
    </row>
    <row r="56" ht="14.25" customHeight="1">
      <c r="A56" s="4" t="s">
        <v>3661</v>
      </c>
      <c r="B56" s="37">
        <v>25.0</v>
      </c>
      <c r="C56" s="37">
        <v>219.2</v>
      </c>
      <c r="D56" s="37">
        <v>194.2</v>
      </c>
    </row>
    <row r="57" ht="14.25" customHeight="1">
      <c r="A57" s="4" t="s">
        <v>525</v>
      </c>
      <c r="B57" s="37">
        <v>125.0</v>
      </c>
      <c r="C57" s="37">
        <v>317.557891</v>
      </c>
      <c r="D57" s="37">
        <v>192.557891</v>
      </c>
    </row>
    <row r="58" ht="14.25" customHeight="1">
      <c r="A58" s="4" t="s">
        <v>4460</v>
      </c>
      <c r="B58" s="37">
        <v>19.0</v>
      </c>
      <c r="C58" s="37">
        <v>210.609762</v>
      </c>
      <c r="D58" s="37">
        <v>191.609762</v>
      </c>
    </row>
    <row r="59" ht="14.25" customHeight="1">
      <c r="A59" s="4" t="s">
        <v>3464</v>
      </c>
      <c r="B59" s="37">
        <v>28.0</v>
      </c>
      <c r="C59" s="37">
        <v>217.350219</v>
      </c>
      <c r="D59" s="37">
        <v>189.350219</v>
      </c>
    </row>
    <row r="60" ht="14.25" customHeight="1">
      <c r="A60" s="4" t="s">
        <v>238</v>
      </c>
      <c r="B60" s="37">
        <v>175.0</v>
      </c>
      <c r="C60" s="37">
        <v>362.645141</v>
      </c>
      <c r="D60" s="37">
        <v>187.645141</v>
      </c>
    </row>
    <row r="61" ht="14.25" customHeight="1">
      <c r="A61" s="4" t="s">
        <v>238</v>
      </c>
      <c r="B61" s="37">
        <v>175.0</v>
      </c>
      <c r="C61" s="37">
        <v>362.645141</v>
      </c>
      <c r="D61" s="37">
        <v>187.645141</v>
      </c>
    </row>
    <row r="62" ht="14.25" customHeight="1">
      <c r="A62" s="4" t="s">
        <v>7198</v>
      </c>
      <c r="B62" s="37">
        <v>2.0</v>
      </c>
      <c r="C62" s="37">
        <v>184.925485</v>
      </c>
      <c r="D62" s="37">
        <v>182.925485</v>
      </c>
    </row>
    <row r="63" ht="14.25" customHeight="1">
      <c r="A63" s="4" t="s">
        <v>1450</v>
      </c>
      <c r="B63" s="37">
        <v>69.0</v>
      </c>
      <c r="C63" s="37">
        <v>251.501645</v>
      </c>
      <c r="D63" s="37">
        <v>182.501645</v>
      </c>
    </row>
    <row r="64" ht="14.25" customHeight="1">
      <c r="A64" s="4" t="s">
        <v>235</v>
      </c>
      <c r="B64" s="37">
        <v>175.0</v>
      </c>
      <c r="C64" s="37">
        <v>356.454367</v>
      </c>
      <c r="D64" s="37">
        <v>181.454367</v>
      </c>
    </row>
    <row r="65" ht="14.25" customHeight="1">
      <c r="A65" s="4" t="s">
        <v>207</v>
      </c>
      <c r="B65" s="37">
        <v>140.0</v>
      </c>
      <c r="C65" s="37">
        <v>318.29818</v>
      </c>
      <c r="D65" s="37">
        <v>178.29818</v>
      </c>
    </row>
    <row r="66" ht="14.25" customHeight="1">
      <c r="A66" s="4" t="s">
        <v>6228</v>
      </c>
      <c r="B66" s="37">
        <v>6.0</v>
      </c>
      <c r="C66" s="37">
        <v>181.36</v>
      </c>
      <c r="D66" s="37">
        <v>175.36</v>
      </c>
    </row>
    <row r="67" ht="14.25" customHeight="1">
      <c r="A67" s="4" t="s">
        <v>606</v>
      </c>
      <c r="B67" s="37">
        <v>115.0</v>
      </c>
      <c r="C67" s="37">
        <v>289.907418</v>
      </c>
      <c r="D67" s="37">
        <v>174.907418</v>
      </c>
    </row>
    <row r="68" ht="14.25" customHeight="1">
      <c r="A68" s="4" t="s">
        <v>1066</v>
      </c>
      <c r="B68" s="37">
        <v>80.0</v>
      </c>
      <c r="C68" s="37">
        <v>254.455986</v>
      </c>
      <c r="D68" s="37">
        <v>174.455986</v>
      </c>
    </row>
    <row r="69" ht="14.25" customHeight="1">
      <c r="A69" s="4" t="s">
        <v>619</v>
      </c>
      <c r="B69" s="37">
        <v>100.0</v>
      </c>
      <c r="C69" s="37">
        <v>274.084951</v>
      </c>
      <c r="D69" s="37">
        <v>174.084951</v>
      </c>
    </row>
    <row r="70" ht="14.25" customHeight="1">
      <c r="A70" s="4" t="s">
        <v>108</v>
      </c>
      <c r="B70" s="37">
        <v>200.0</v>
      </c>
      <c r="C70" s="37">
        <v>373.377893</v>
      </c>
      <c r="D70" s="37">
        <v>173.377893</v>
      </c>
    </row>
    <row r="71" ht="14.25" customHeight="1">
      <c r="A71" s="4" t="s">
        <v>2885</v>
      </c>
      <c r="B71" s="37">
        <v>33.0</v>
      </c>
      <c r="C71" s="37">
        <v>205.399422</v>
      </c>
      <c r="D71" s="37">
        <v>172.399422</v>
      </c>
    </row>
    <row r="72" ht="14.25" customHeight="1">
      <c r="A72" s="4" t="s">
        <v>469</v>
      </c>
      <c r="B72" s="37">
        <v>120.0</v>
      </c>
      <c r="C72" s="37">
        <v>292.298923</v>
      </c>
      <c r="D72" s="37">
        <v>172.298923</v>
      </c>
    </row>
    <row r="73" ht="14.25" customHeight="1">
      <c r="A73" s="4" t="s">
        <v>874</v>
      </c>
      <c r="B73" s="37">
        <v>92.0</v>
      </c>
      <c r="C73" s="37">
        <v>261.437578</v>
      </c>
      <c r="D73" s="37">
        <v>169.437578</v>
      </c>
    </row>
    <row r="74" ht="14.25" customHeight="1">
      <c r="A74" s="4" t="s">
        <v>323</v>
      </c>
      <c r="B74" s="37">
        <v>150.0</v>
      </c>
      <c r="C74" s="37">
        <v>318.759914</v>
      </c>
      <c r="D74" s="37">
        <v>168.759914</v>
      </c>
    </row>
    <row r="75" ht="14.25" customHeight="1">
      <c r="A75" s="4" t="s">
        <v>2025</v>
      </c>
      <c r="B75" s="37">
        <v>50.0</v>
      </c>
      <c r="C75" s="37">
        <v>218.62868</v>
      </c>
      <c r="D75" s="37">
        <v>168.62868</v>
      </c>
    </row>
    <row r="76" ht="14.25" customHeight="1">
      <c r="A76" s="4" t="s">
        <v>5896</v>
      </c>
      <c r="B76" s="37">
        <v>8.8</v>
      </c>
      <c r="C76" s="37">
        <v>174.635</v>
      </c>
      <c r="D76" s="37">
        <v>165.835</v>
      </c>
    </row>
    <row r="77" ht="14.25" customHeight="1">
      <c r="A77" s="4" t="s">
        <v>529</v>
      </c>
      <c r="B77" s="37">
        <v>140.0</v>
      </c>
      <c r="C77" s="37">
        <v>305.388685</v>
      </c>
      <c r="D77" s="37">
        <v>165.388685</v>
      </c>
    </row>
    <row r="78" ht="14.25" customHeight="1">
      <c r="A78" s="4" t="s">
        <v>5086</v>
      </c>
      <c r="B78" s="37">
        <v>14.0</v>
      </c>
      <c r="C78" s="37">
        <v>178.406268</v>
      </c>
      <c r="D78" s="37">
        <v>164.406268</v>
      </c>
    </row>
    <row r="79" ht="14.25" customHeight="1">
      <c r="A79" s="4" t="s">
        <v>283</v>
      </c>
      <c r="B79" s="37">
        <v>170.0</v>
      </c>
      <c r="C79" s="37">
        <v>333.130696</v>
      </c>
      <c r="D79" s="37">
        <v>163.130696</v>
      </c>
    </row>
    <row r="80" ht="14.25" customHeight="1">
      <c r="A80" s="4" t="s">
        <v>4451</v>
      </c>
      <c r="B80" s="37">
        <v>22.0</v>
      </c>
      <c r="C80" s="37">
        <v>184.208848</v>
      </c>
      <c r="D80" s="37">
        <v>162.208848</v>
      </c>
    </row>
    <row r="81" ht="14.25" customHeight="1">
      <c r="A81" s="4" t="s">
        <v>708</v>
      </c>
      <c r="B81" s="37">
        <v>100.0</v>
      </c>
      <c r="C81" s="37">
        <v>261.970615</v>
      </c>
      <c r="D81" s="37">
        <v>161.970615</v>
      </c>
    </row>
    <row r="82" ht="14.25" customHeight="1">
      <c r="A82" s="4" t="s">
        <v>3206</v>
      </c>
      <c r="B82" s="37">
        <v>30.0</v>
      </c>
      <c r="C82" s="37">
        <v>191.796233</v>
      </c>
      <c r="D82" s="37">
        <v>161.796233</v>
      </c>
    </row>
    <row r="83" ht="14.25" customHeight="1">
      <c r="A83" s="4" t="s">
        <v>4837</v>
      </c>
      <c r="B83" s="37">
        <v>15.0</v>
      </c>
      <c r="C83" s="37">
        <v>176.781728</v>
      </c>
      <c r="D83" s="37">
        <v>161.781728</v>
      </c>
    </row>
    <row r="84" ht="14.25" customHeight="1">
      <c r="A84" s="4" t="s">
        <v>1060</v>
      </c>
      <c r="B84" s="37">
        <v>81.0</v>
      </c>
      <c r="C84" s="37">
        <v>242.58958</v>
      </c>
      <c r="D84" s="37">
        <v>161.58958</v>
      </c>
    </row>
    <row r="85" ht="14.25" customHeight="1">
      <c r="A85" s="4" t="s">
        <v>310</v>
      </c>
      <c r="B85" s="37">
        <v>160.0</v>
      </c>
      <c r="C85" s="37">
        <v>320.706665</v>
      </c>
      <c r="D85" s="37">
        <v>160.706665</v>
      </c>
    </row>
    <row r="86" ht="14.25" customHeight="1">
      <c r="A86" s="4" t="s">
        <v>881</v>
      </c>
      <c r="B86" s="37">
        <v>90.0</v>
      </c>
      <c r="C86" s="37">
        <v>250.147615</v>
      </c>
      <c r="D86" s="37">
        <v>160.147615</v>
      </c>
    </row>
    <row r="87" ht="14.25" customHeight="1">
      <c r="A87" s="4" t="s">
        <v>148</v>
      </c>
      <c r="B87" s="37">
        <v>190.0</v>
      </c>
      <c r="C87" s="37">
        <v>350.03411</v>
      </c>
      <c r="D87" s="37">
        <v>160.03411</v>
      </c>
    </row>
    <row r="88" ht="14.25" customHeight="1">
      <c r="A88" s="4" t="s">
        <v>167</v>
      </c>
      <c r="B88" s="37">
        <v>195.0</v>
      </c>
      <c r="C88" s="37">
        <v>352.358779</v>
      </c>
      <c r="D88" s="37">
        <v>157.358779</v>
      </c>
    </row>
    <row r="89" ht="14.25" customHeight="1">
      <c r="A89" s="4" t="s">
        <v>1851</v>
      </c>
      <c r="B89" s="37">
        <v>60.0</v>
      </c>
      <c r="C89" s="37">
        <v>217.326336</v>
      </c>
      <c r="D89" s="37">
        <v>157.326336</v>
      </c>
    </row>
    <row r="90" ht="14.25" customHeight="1">
      <c r="A90" s="4" t="s">
        <v>97</v>
      </c>
      <c r="B90" s="37">
        <v>250.0</v>
      </c>
      <c r="C90" s="37">
        <v>407.197282</v>
      </c>
      <c r="D90" s="37">
        <v>157.197282</v>
      </c>
    </row>
    <row r="91" ht="14.25" customHeight="1">
      <c r="A91" s="4" t="s">
        <v>4835</v>
      </c>
      <c r="B91" s="37">
        <v>11.0</v>
      </c>
      <c r="C91" s="37">
        <v>167.78096</v>
      </c>
      <c r="D91" s="37">
        <v>156.78096</v>
      </c>
    </row>
    <row r="92" ht="14.25" customHeight="1">
      <c r="A92" s="4" t="s">
        <v>1226</v>
      </c>
      <c r="B92" s="37">
        <v>73.0</v>
      </c>
      <c r="C92" s="37">
        <v>229.074524</v>
      </c>
      <c r="D92" s="37">
        <v>156.074524</v>
      </c>
    </row>
    <row r="93" ht="14.25" customHeight="1">
      <c r="A93" s="4" t="s">
        <v>1344</v>
      </c>
      <c r="B93" s="37">
        <v>72.0</v>
      </c>
      <c r="C93" s="37">
        <v>227.96569</v>
      </c>
      <c r="D93" s="37">
        <v>155.96569</v>
      </c>
    </row>
    <row r="94" ht="14.25" customHeight="1">
      <c r="A94" s="4" t="s">
        <v>882</v>
      </c>
      <c r="B94" s="37">
        <v>90.0</v>
      </c>
      <c r="C94" s="37">
        <v>245.823397</v>
      </c>
      <c r="D94" s="37">
        <v>155.823397</v>
      </c>
    </row>
    <row r="95" ht="14.25" customHeight="1">
      <c r="A95" s="4" t="s">
        <v>4114</v>
      </c>
      <c r="B95" s="37">
        <v>18.0</v>
      </c>
      <c r="C95" s="37">
        <v>173.585516</v>
      </c>
      <c r="D95" s="37">
        <v>155.585516</v>
      </c>
    </row>
    <row r="96" ht="14.25" customHeight="1">
      <c r="A96" s="4" t="s">
        <v>4836</v>
      </c>
      <c r="B96" s="37">
        <v>22.0</v>
      </c>
      <c r="C96" s="37">
        <v>177.2</v>
      </c>
      <c r="D96" s="37">
        <v>155.2</v>
      </c>
    </row>
    <row r="97" ht="14.25" customHeight="1">
      <c r="A97" s="4" t="s">
        <v>5928</v>
      </c>
      <c r="B97" s="37">
        <v>8.2</v>
      </c>
      <c r="C97" s="37">
        <v>163.214286</v>
      </c>
      <c r="D97" s="37">
        <v>155.014286</v>
      </c>
    </row>
    <row r="98" ht="14.25" customHeight="1">
      <c r="A98" s="4" t="s">
        <v>2846</v>
      </c>
      <c r="B98" s="37">
        <v>37.0</v>
      </c>
      <c r="C98" s="37">
        <v>191.449475</v>
      </c>
      <c r="D98" s="37">
        <v>154.449475</v>
      </c>
    </row>
    <row r="99" ht="14.25" customHeight="1">
      <c r="A99" s="4" t="s">
        <v>2846</v>
      </c>
      <c r="B99" s="37">
        <v>37.0</v>
      </c>
      <c r="C99" s="37">
        <v>191.449475</v>
      </c>
      <c r="D99" s="37">
        <v>154.449475</v>
      </c>
    </row>
    <row r="100" ht="14.25" customHeight="1">
      <c r="A100" s="4" t="s">
        <v>3445</v>
      </c>
      <c r="B100" s="37">
        <v>29.0</v>
      </c>
      <c r="C100" s="37">
        <v>183.43638</v>
      </c>
      <c r="D100" s="37">
        <v>154.43638</v>
      </c>
    </row>
    <row r="101" ht="14.25" customHeight="1">
      <c r="A101" s="4" t="s">
        <v>6341</v>
      </c>
      <c r="B101" s="37">
        <v>5.5</v>
      </c>
      <c r="C101" s="37">
        <v>159.6</v>
      </c>
      <c r="D101" s="37">
        <v>154.1</v>
      </c>
    </row>
    <row r="102" ht="14.25" customHeight="1">
      <c r="A102" s="4" t="s">
        <v>4009</v>
      </c>
      <c r="B102" s="37">
        <v>23.0</v>
      </c>
      <c r="C102" s="37">
        <v>176.483808</v>
      </c>
      <c r="D102" s="37">
        <v>153.483808</v>
      </c>
    </row>
    <row r="103" ht="14.25" customHeight="1">
      <c r="A103" s="4" t="s">
        <v>3468</v>
      </c>
      <c r="B103" s="37">
        <v>28.0</v>
      </c>
      <c r="C103" s="37">
        <v>179.870271</v>
      </c>
      <c r="D103" s="37">
        <v>151.870271</v>
      </c>
    </row>
    <row r="104" ht="14.25" customHeight="1">
      <c r="A104" s="4" t="s">
        <v>1566</v>
      </c>
      <c r="B104" s="37">
        <v>63.0</v>
      </c>
      <c r="C104" s="37">
        <v>213.079163</v>
      </c>
      <c r="D104" s="37">
        <v>150.079163</v>
      </c>
    </row>
    <row r="105" ht="14.25" customHeight="1">
      <c r="A105" s="4" t="s">
        <v>975</v>
      </c>
      <c r="B105" s="37">
        <v>92.0</v>
      </c>
      <c r="C105" s="37">
        <v>241.688385</v>
      </c>
      <c r="D105" s="37">
        <v>149.688385</v>
      </c>
    </row>
    <row r="106" ht="14.25" customHeight="1">
      <c r="A106" s="4" t="s">
        <v>2216</v>
      </c>
      <c r="B106" s="37">
        <v>48.0</v>
      </c>
      <c r="C106" s="37">
        <v>197.171806</v>
      </c>
      <c r="D106" s="37">
        <v>149.171806</v>
      </c>
    </row>
    <row r="107" ht="14.25" customHeight="1">
      <c r="A107" s="4" t="s">
        <v>3662</v>
      </c>
      <c r="B107" s="37">
        <v>25.0</v>
      </c>
      <c r="C107" s="37">
        <v>172.825435</v>
      </c>
      <c r="D107" s="37">
        <v>147.825435</v>
      </c>
    </row>
    <row r="108" ht="14.25" customHeight="1">
      <c r="A108" s="4" t="s">
        <v>1477</v>
      </c>
      <c r="B108" s="37">
        <v>70.0</v>
      </c>
      <c r="C108" s="37">
        <v>216.119491</v>
      </c>
      <c r="D108" s="37">
        <v>146.119491</v>
      </c>
    </row>
    <row r="109" ht="14.25" customHeight="1">
      <c r="A109" s="4" t="s">
        <v>1596</v>
      </c>
      <c r="B109" s="37">
        <v>65.0</v>
      </c>
      <c r="C109" s="37">
        <v>210.59259</v>
      </c>
      <c r="D109" s="37">
        <v>145.59259</v>
      </c>
    </row>
    <row r="110" ht="14.25" customHeight="1">
      <c r="A110" s="4" t="s">
        <v>3672</v>
      </c>
      <c r="B110" s="37">
        <v>25.0</v>
      </c>
      <c r="C110" s="37">
        <v>169.705587</v>
      </c>
      <c r="D110" s="37">
        <v>144.705587</v>
      </c>
    </row>
    <row r="111" ht="14.25" customHeight="1">
      <c r="A111" s="4" t="s">
        <v>1372</v>
      </c>
      <c r="B111" s="37">
        <v>75.0</v>
      </c>
      <c r="C111" s="37">
        <v>219.613391</v>
      </c>
      <c r="D111" s="37">
        <v>144.613391</v>
      </c>
    </row>
    <row r="112" ht="14.25" customHeight="1">
      <c r="A112" s="4" t="s">
        <v>977</v>
      </c>
      <c r="B112" s="37">
        <v>90.0</v>
      </c>
      <c r="C112" s="37">
        <v>233.630478</v>
      </c>
      <c r="D112" s="37">
        <v>143.630478</v>
      </c>
    </row>
    <row r="113" ht="14.25" customHeight="1">
      <c r="A113" s="4" t="s">
        <v>5085</v>
      </c>
      <c r="B113" s="37">
        <v>14.0</v>
      </c>
      <c r="C113" s="37">
        <v>156.645693</v>
      </c>
      <c r="D113" s="37">
        <v>142.645693</v>
      </c>
    </row>
    <row r="114" ht="14.25" customHeight="1">
      <c r="A114" s="4" t="s">
        <v>329</v>
      </c>
      <c r="B114" s="37">
        <v>150.0</v>
      </c>
      <c r="C114" s="37">
        <v>292.000866</v>
      </c>
      <c r="D114" s="37">
        <v>142.000866</v>
      </c>
    </row>
    <row r="115" ht="14.25" customHeight="1">
      <c r="A115" s="4" t="s">
        <v>2037</v>
      </c>
      <c r="B115" s="37">
        <v>50.0</v>
      </c>
      <c r="C115" s="37">
        <v>191.616238</v>
      </c>
      <c r="D115" s="37">
        <v>141.616238</v>
      </c>
    </row>
    <row r="116" ht="14.25" customHeight="1">
      <c r="A116" s="4" t="s">
        <v>3960</v>
      </c>
      <c r="B116" s="37">
        <v>20.0</v>
      </c>
      <c r="C116" s="37">
        <v>161.487252</v>
      </c>
      <c r="D116" s="37">
        <v>141.487252</v>
      </c>
    </row>
    <row r="117" ht="14.25" customHeight="1">
      <c r="A117" s="4" t="s">
        <v>630</v>
      </c>
      <c r="B117" s="37">
        <v>110.0</v>
      </c>
      <c r="C117" s="37">
        <v>250.863268</v>
      </c>
      <c r="D117" s="37">
        <v>140.863268</v>
      </c>
    </row>
    <row r="118" ht="14.25" customHeight="1">
      <c r="A118" s="4" t="s">
        <v>7459</v>
      </c>
      <c r="B118" s="37">
        <v>0.06</v>
      </c>
      <c r="C118" s="37">
        <v>140.530114</v>
      </c>
      <c r="D118" s="37">
        <v>140.470114</v>
      </c>
    </row>
    <row r="119" ht="14.25" customHeight="1">
      <c r="A119" s="4" t="s">
        <v>3121</v>
      </c>
      <c r="B119" s="37">
        <v>33.0</v>
      </c>
      <c r="C119" s="37">
        <v>173.381405</v>
      </c>
      <c r="D119" s="37">
        <v>140.381405</v>
      </c>
    </row>
    <row r="120" ht="14.25" customHeight="1">
      <c r="A120" s="4" t="s">
        <v>330</v>
      </c>
      <c r="B120" s="37">
        <v>150.0</v>
      </c>
      <c r="C120" s="37">
        <v>289.994397</v>
      </c>
      <c r="D120" s="37">
        <v>139.994397</v>
      </c>
    </row>
    <row r="121" ht="14.25" customHeight="1">
      <c r="A121" s="4" t="s">
        <v>2393</v>
      </c>
      <c r="B121" s="37">
        <v>44.0</v>
      </c>
      <c r="C121" s="37">
        <v>183.87576</v>
      </c>
      <c r="D121" s="37">
        <v>139.87576</v>
      </c>
    </row>
    <row r="122" ht="14.25" customHeight="1">
      <c r="A122" s="4" t="s">
        <v>6780</v>
      </c>
      <c r="B122" s="37">
        <v>3.0</v>
      </c>
      <c r="C122" s="37">
        <v>141.6</v>
      </c>
      <c r="D122" s="37">
        <v>138.6</v>
      </c>
    </row>
    <row r="123" ht="14.25" customHeight="1">
      <c r="A123" s="4" t="s">
        <v>5484</v>
      </c>
      <c r="B123" s="37">
        <v>11.0</v>
      </c>
      <c r="C123" s="37">
        <v>148.17</v>
      </c>
      <c r="D123" s="37">
        <v>137.17</v>
      </c>
    </row>
    <row r="124" ht="14.25" customHeight="1">
      <c r="A124" s="4" t="s">
        <v>557</v>
      </c>
      <c r="B124" s="37">
        <v>123.0</v>
      </c>
      <c r="C124" s="37">
        <v>260.031035</v>
      </c>
      <c r="D124" s="37">
        <v>137.031035</v>
      </c>
    </row>
    <row r="125" ht="14.25" customHeight="1">
      <c r="A125" s="4" t="s">
        <v>3133</v>
      </c>
      <c r="B125" s="37">
        <v>32.5</v>
      </c>
      <c r="C125" s="37">
        <v>169.076745</v>
      </c>
      <c r="D125" s="37">
        <v>136.576745</v>
      </c>
    </row>
    <row r="126" ht="14.25" customHeight="1">
      <c r="A126" s="4" t="s">
        <v>2263</v>
      </c>
      <c r="B126" s="37">
        <v>45.0</v>
      </c>
      <c r="C126" s="37">
        <v>181.39538</v>
      </c>
      <c r="D126" s="37">
        <v>136.39538</v>
      </c>
    </row>
    <row r="127" ht="14.25" customHeight="1">
      <c r="A127" s="4" t="s">
        <v>885</v>
      </c>
      <c r="B127" s="37">
        <v>90.0</v>
      </c>
      <c r="C127" s="37">
        <v>226.138454</v>
      </c>
      <c r="D127" s="37">
        <v>136.138454</v>
      </c>
    </row>
    <row r="128" ht="14.25" customHeight="1">
      <c r="A128" s="4" t="s">
        <v>6071</v>
      </c>
      <c r="B128" s="37">
        <v>7.5</v>
      </c>
      <c r="C128" s="37">
        <v>143.49284</v>
      </c>
      <c r="D128" s="37">
        <v>135.99284</v>
      </c>
    </row>
    <row r="129" ht="14.25" customHeight="1">
      <c r="A129" s="4" t="s">
        <v>6071</v>
      </c>
      <c r="B129" s="37">
        <v>7.5</v>
      </c>
      <c r="C129" s="37">
        <v>143.49284</v>
      </c>
      <c r="D129" s="37">
        <v>135.99284</v>
      </c>
    </row>
    <row r="130" ht="14.25" customHeight="1">
      <c r="A130" s="4" t="s">
        <v>112</v>
      </c>
      <c r="B130" s="37">
        <v>200.0</v>
      </c>
      <c r="C130" s="37">
        <v>334.185206</v>
      </c>
      <c r="D130" s="37">
        <v>134.185206</v>
      </c>
    </row>
    <row r="131" ht="14.25" customHeight="1">
      <c r="A131" s="4" t="s">
        <v>112</v>
      </c>
      <c r="B131" s="37">
        <v>200.0</v>
      </c>
      <c r="C131" s="37">
        <v>334.185206</v>
      </c>
      <c r="D131" s="37">
        <v>134.185206</v>
      </c>
    </row>
    <row r="132" ht="14.25" customHeight="1">
      <c r="A132" s="4" t="s">
        <v>2895</v>
      </c>
      <c r="B132" s="37">
        <v>38.0</v>
      </c>
      <c r="C132" s="37">
        <v>171.031347</v>
      </c>
      <c r="D132" s="37">
        <v>133.031347</v>
      </c>
    </row>
    <row r="133" ht="14.25" customHeight="1">
      <c r="A133" s="4" t="s">
        <v>3467</v>
      </c>
      <c r="B133" s="37">
        <v>28.0</v>
      </c>
      <c r="C133" s="37">
        <v>161.02927</v>
      </c>
      <c r="D133" s="37">
        <v>133.02927</v>
      </c>
    </row>
    <row r="134" ht="14.25" customHeight="1">
      <c r="A134" s="4" t="s">
        <v>287</v>
      </c>
      <c r="B134" s="37">
        <v>160.0</v>
      </c>
      <c r="C134" s="37">
        <v>292.568851</v>
      </c>
      <c r="D134" s="37">
        <v>132.568851</v>
      </c>
    </row>
    <row r="135" ht="14.25" customHeight="1">
      <c r="A135" s="4" t="s">
        <v>4503</v>
      </c>
      <c r="B135" s="37">
        <v>18.0</v>
      </c>
      <c r="C135" s="37">
        <v>150.056505</v>
      </c>
      <c r="D135" s="37">
        <v>132.056505</v>
      </c>
    </row>
    <row r="136" ht="14.25" customHeight="1">
      <c r="A136" s="4" t="s">
        <v>170</v>
      </c>
      <c r="B136" s="37">
        <v>185.0</v>
      </c>
      <c r="C136" s="37">
        <v>317.011114</v>
      </c>
      <c r="D136" s="37">
        <v>132.011114</v>
      </c>
    </row>
    <row r="137" ht="14.25" customHeight="1">
      <c r="A137" s="4" t="s">
        <v>6229</v>
      </c>
      <c r="B137" s="37">
        <v>6.0</v>
      </c>
      <c r="C137" s="37">
        <v>137.963328</v>
      </c>
      <c r="D137" s="37">
        <v>131.963328</v>
      </c>
    </row>
    <row r="138" ht="14.25" customHeight="1">
      <c r="A138" s="4" t="s">
        <v>357</v>
      </c>
      <c r="B138" s="37">
        <v>150.0</v>
      </c>
      <c r="C138" s="37">
        <v>281.492479</v>
      </c>
      <c r="D138" s="37">
        <v>131.492479</v>
      </c>
    </row>
    <row r="139" ht="14.25" customHeight="1">
      <c r="A139" s="4" t="s">
        <v>3203</v>
      </c>
      <c r="B139" s="37">
        <v>34.2</v>
      </c>
      <c r="C139" s="37">
        <v>163.479795</v>
      </c>
      <c r="D139" s="37">
        <v>129.279795</v>
      </c>
    </row>
    <row r="140" ht="14.25" customHeight="1">
      <c r="A140" s="4" t="s">
        <v>6074</v>
      </c>
      <c r="B140" s="37">
        <v>6.0</v>
      </c>
      <c r="C140" s="37">
        <v>134.821952</v>
      </c>
      <c r="D140" s="37">
        <v>128.821952</v>
      </c>
    </row>
    <row r="141" ht="14.25" customHeight="1">
      <c r="A141" s="4" t="s">
        <v>5574</v>
      </c>
      <c r="B141" s="37">
        <v>10.0</v>
      </c>
      <c r="C141" s="37">
        <v>138.339411</v>
      </c>
      <c r="D141" s="37">
        <v>128.339411</v>
      </c>
    </row>
    <row r="142" ht="14.25" customHeight="1">
      <c r="A142" s="4" t="s">
        <v>5083</v>
      </c>
      <c r="B142" s="37">
        <v>15.0</v>
      </c>
      <c r="C142" s="37">
        <v>141.319195</v>
      </c>
      <c r="D142" s="37">
        <v>126.319195</v>
      </c>
    </row>
    <row r="143" ht="14.25" customHeight="1">
      <c r="A143" s="4" t="s">
        <v>2492</v>
      </c>
      <c r="B143" s="37">
        <v>40.0</v>
      </c>
      <c r="C143" s="37">
        <v>166.147885</v>
      </c>
      <c r="D143" s="37">
        <v>126.147885</v>
      </c>
    </row>
    <row r="144" ht="14.25" customHeight="1">
      <c r="A144" s="4" t="s">
        <v>3202</v>
      </c>
      <c r="B144" s="37">
        <v>45.0</v>
      </c>
      <c r="C144" s="37">
        <v>170.684505</v>
      </c>
      <c r="D144" s="37">
        <v>125.684505</v>
      </c>
    </row>
    <row r="145" ht="14.25" customHeight="1">
      <c r="A145" s="4" t="s">
        <v>4121</v>
      </c>
      <c r="B145" s="37">
        <v>28.0</v>
      </c>
      <c r="C145" s="37">
        <v>153.665036</v>
      </c>
      <c r="D145" s="37">
        <v>125.665036</v>
      </c>
    </row>
    <row r="146" ht="14.25" customHeight="1">
      <c r="A146" s="4" t="s">
        <v>1348</v>
      </c>
      <c r="B146" s="37">
        <v>120.0</v>
      </c>
      <c r="C146" s="37">
        <v>244.052771</v>
      </c>
      <c r="D146" s="37">
        <v>124.052771</v>
      </c>
    </row>
    <row r="147" ht="14.25" customHeight="1">
      <c r="A147" s="4" t="s">
        <v>2485</v>
      </c>
      <c r="B147" s="37">
        <v>40.0</v>
      </c>
      <c r="C147" s="37">
        <v>163.947053</v>
      </c>
      <c r="D147" s="37">
        <v>123.947053</v>
      </c>
    </row>
    <row r="148" ht="14.25" customHeight="1">
      <c r="A148" s="4" t="s">
        <v>4841</v>
      </c>
      <c r="B148" s="37">
        <v>15.0</v>
      </c>
      <c r="C148" s="37">
        <v>138.795342</v>
      </c>
      <c r="D148" s="37">
        <v>123.795342</v>
      </c>
    </row>
    <row r="149" ht="14.25" customHeight="1">
      <c r="A149" s="4" t="s">
        <v>288</v>
      </c>
      <c r="B149" s="37">
        <v>180.0</v>
      </c>
      <c r="C149" s="37">
        <v>303.001229</v>
      </c>
      <c r="D149" s="37">
        <v>123.001229</v>
      </c>
    </row>
    <row r="150" ht="14.25" customHeight="1">
      <c r="A150" s="4" t="s">
        <v>4010</v>
      </c>
      <c r="B150" s="37">
        <v>22.0</v>
      </c>
      <c r="C150" s="37">
        <v>144.833357</v>
      </c>
      <c r="D150" s="37">
        <v>122.833357</v>
      </c>
    </row>
    <row r="151" ht="14.25" customHeight="1">
      <c r="A151" s="4" t="s">
        <v>299</v>
      </c>
      <c r="B151" s="37">
        <v>160.0</v>
      </c>
      <c r="C151" s="37">
        <v>281.666058</v>
      </c>
      <c r="D151" s="37">
        <v>121.666058</v>
      </c>
    </row>
    <row r="152" ht="14.25" customHeight="1">
      <c r="A152" s="4" t="s">
        <v>695</v>
      </c>
      <c r="B152" s="37">
        <v>108.0</v>
      </c>
      <c r="C152" s="37">
        <v>228.430993</v>
      </c>
      <c r="D152" s="37">
        <v>120.430993</v>
      </c>
    </row>
    <row r="153" ht="14.25" customHeight="1">
      <c r="A153" s="4" t="s">
        <v>3665</v>
      </c>
      <c r="B153" s="37">
        <v>25.0</v>
      </c>
      <c r="C153" s="37">
        <v>145.000989</v>
      </c>
      <c r="D153" s="37">
        <v>120.000989</v>
      </c>
    </row>
    <row r="154" ht="14.25" customHeight="1">
      <c r="A154" s="4" t="s">
        <v>512</v>
      </c>
      <c r="B154" s="37">
        <v>130.0</v>
      </c>
      <c r="C154" s="37">
        <v>249.358727</v>
      </c>
      <c r="D154" s="37">
        <v>119.358727</v>
      </c>
    </row>
    <row r="155" ht="14.25" customHeight="1">
      <c r="A155" s="4" t="s">
        <v>912</v>
      </c>
      <c r="B155" s="37">
        <v>90.0</v>
      </c>
      <c r="C155" s="37">
        <v>209.019489</v>
      </c>
      <c r="D155" s="37">
        <v>119.019489</v>
      </c>
    </row>
    <row r="156" ht="14.25" customHeight="1">
      <c r="A156" s="4" t="s">
        <v>3548</v>
      </c>
      <c r="B156" s="37">
        <v>30.0</v>
      </c>
      <c r="C156" s="37">
        <v>148.734225</v>
      </c>
      <c r="D156" s="37">
        <v>118.734225</v>
      </c>
    </row>
    <row r="157" ht="14.25" customHeight="1">
      <c r="A157" s="4" t="s">
        <v>1227</v>
      </c>
      <c r="B157" s="37">
        <v>75.0</v>
      </c>
      <c r="C157" s="37">
        <v>193.136719</v>
      </c>
      <c r="D157" s="37">
        <v>118.136719</v>
      </c>
    </row>
    <row r="158" ht="14.25" customHeight="1">
      <c r="A158" s="4" t="s">
        <v>201</v>
      </c>
      <c r="B158" s="37">
        <v>175.0</v>
      </c>
      <c r="C158" s="37">
        <v>292.979556</v>
      </c>
      <c r="D158" s="37">
        <v>117.979556</v>
      </c>
    </row>
    <row r="159" ht="14.25" customHeight="1">
      <c r="A159" s="4" t="s">
        <v>2023</v>
      </c>
      <c r="B159" s="37">
        <v>48.0</v>
      </c>
      <c r="C159" s="37">
        <v>165.5</v>
      </c>
      <c r="D159" s="37">
        <v>117.5</v>
      </c>
    </row>
    <row r="160" ht="14.25" customHeight="1">
      <c r="A160" s="4" t="s">
        <v>1484</v>
      </c>
      <c r="B160" s="37">
        <v>59.0</v>
      </c>
      <c r="C160" s="37">
        <v>176.387405</v>
      </c>
      <c r="D160" s="37">
        <v>117.387405</v>
      </c>
    </row>
    <row r="161" ht="14.25" customHeight="1">
      <c r="A161" s="4" t="s">
        <v>4137</v>
      </c>
      <c r="B161" s="37">
        <v>20.0</v>
      </c>
      <c r="C161" s="37">
        <v>137.387272</v>
      </c>
      <c r="D161" s="37">
        <v>117.387272</v>
      </c>
    </row>
    <row r="162" ht="14.25" customHeight="1">
      <c r="A162" s="4" t="s">
        <v>1488</v>
      </c>
      <c r="B162" s="37">
        <v>65.0</v>
      </c>
      <c r="C162" s="37">
        <v>182.20444</v>
      </c>
      <c r="D162" s="37">
        <v>117.20444</v>
      </c>
    </row>
    <row r="163" ht="14.25" customHeight="1">
      <c r="A163" s="4" t="s">
        <v>487</v>
      </c>
      <c r="B163" s="37">
        <v>110.0</v>
      </c>
      <c r="C163" s="37">
        <v>227.13709</v>
      </c>
      <c r="D163" s="37">
        <v>117.13709</v>
      </c>
    </row>
    <row r="164" ht="14.25" customHeight="1">
      <c r="A164" s="4" t="s">
        <v>6905</v>
      </c>
      <c r="B164" s="37">
        <v>2.6</v>
      </c>
      <c r="C164" s="37">
        <v>119.5</v>
      </c>
      <c r="D164" s="37">
        <v>116.9</v>
      </c>
    </row>
    <row r="165" ht="14.25" customHeight="1">
      <c r="A165" s="4" t="s">
        <v>2430</v>
      </c>
      <c r="B165" s="37">
        <v>43.0</v>
      </c>
      <c r="C165" s="37">
        <v>159.578352</v>
      </c>
      <c r="D165" s="37">
        <v>116.578352</v>
      </c>
    </row>
    <row r="166" ht="14.25" customHeight="1">
      <c r="A166" s="4" t="s">
        <v>2416</v>
      </c>
      <c r="B166" s="37">
        <v>42.0</v>
      </c>
      <c r="C166" s="37">
        <v>158.3484</v>
      </c>
      <c r="D166" s="37">
        <v>116.3484</v>
      </c>
    </row>
    <row r="167" ht="14.25" customHeight="1">
      <c r="A167" s="4" t="s">
        <v>7277</v>
      </c>
      <c r="B167" s="37">
        <v>0.96</v>
      </c>
      <c r="C167" s="37">
        <v>117.235247</v>
      </c>
      <c r="D167" s="37">
        <v>116.275247</v>
      </c>
    </row>
    <row r="168" ht="14.25" customHeight="1">
      <c r="A168" s="4" t="s">
        <v>1234</v>
      </c>
      <c r="B168" s="37">
        <v>80.0</v>
      </c>
      <c r="C168" s="37">
        <v>195.329763</v>
      </c>
      <c r="D168" s="37">
        <v>115.329763</v>
      </c>
    </row>
    <row r="169" ht="14.25" customHeight="1">
      <c r="A169" s="4" t="s">
        <v>3205</v>
      </c>
      <c r="B169" s="37">
        <v>30.0</v>
      </c>
      <c r="C169" s="37">
        <v>145.09682</v>
      </c>
      <c r="D169" s="37">
        <v>115.09682</v>
      </c>
    </row>
    <row r="170" ht="14.25" customHeight="1">
      <c r="A170" s="4" t="s">
        <v>3663</v>
      </c>
      <c r="B170" s="37">
        <v>33.0</v>
      </c>
      <c r="C170" s="37">
        <v>148.085755</v>
      </c>
      <c r="D170" s="37">
        <v>115.085755</v>
      </c>
    </row>
    <row r="171" ht="14.25" customHeight="1">
      <c r="A171" s="4" t="s">
        <v>4840</v>
      </c>
      <c r="B171" s="37">
        <v>15.0</v>
      </c>
      <c r="C171" s="37">
        <v>130.058047</v>
      </c>
      <c r="D171" s="37">
        <v>115.058047</v>
      </c>
    </row>
    <row r="172" ht="14.25" customHeight="1">
      <c r="A172" s="4" t="s">
        <v>7429</v>
      </c>
      <c r="B172" s="37">
        <v>0.777</v>
      </c>
      <c r="C172" s="37">
        <v>115.0</v>
      </c>
      <c r="D172" s="37">
        <v>114.223</v>
      </c>
    </row>
    <row r="173" ht="14.25" customHeight="1">
      <c r="A173" s="4" t="s">
        <v>2850</v>
      </c>
      <c r="B173" s="37">
        <v>37.0</v>
      </c>
      <c r="C173" s="37">
        <v>150.368971</v>
      </c>
      <c r="D173" s="37">
        <v>113.368971</v>
      </c>
    </row>
    <row r="174" ht="14.25" customHeight="1">
      <c r="A174" s="4" t="s">
        <v>6232</v>
      </c>
      <c r="B174" s="37">
        <v>6.0</v>
      </c>
      <c r="C174" s="37">
        <v>119.078393</v>
      </c>
      <c r="D174" s="37">
        <v>113.078393</v>
      </c>
    </row>
    <row r="175" ht="14.25" customHeight="1">
      <c r="A175" s="4" t="s">
        <v>4839</v>
      </c>
      <c r="B175" s="37">
        <v>15.0</v>
      </c>
      <c r="C175" s="37">
        <v>128.067808</v>
      </c>
      <c r="D175" s="37">
        <v>113.067808</v>
      </c>
    </row>
    <row r="176" ht="14.25" customHeight="1">
      <c r="A176" s="4" t="s">
        <v>5375</v>
      </c>
      <c r="B176" s="37">
        <v>12.0</v>
      </c>
      <c r="C176" s="37">
        <v>124.868837</v>
      </c>
      <c r="D176" s="37">
        <v>112.868837</v>
      </c>
    </row>
    <row r="177" ht="14.25" customHeight="1">
      <c r="A177" s="4" t="s">
        <v>1482</v>
      </c>
      <c r="B177" s="37">
        <v>70.0</v>
      </c>
      <c r="C177" s="37">
        <v>182.805123</v>
      </c>
      <c r="D177" s="37">
        <v>112.805123</v>
      </c>
    </row>
    <row r="178" ht="14.25" customHeight="1">
      <c r="A178" s="4" t="s">
        <v>1195</v>
      </c>
      <c r="B178" s="37">
        <v>58.0</v>
      </c>
      <c r="C178" s="37">
        <v>170.708996</v>
      </c>
      <c r="D178" s="37">
        <v>112.708996</v>
      </c>
    </row>
    <row r="179" ht="14.25" customHeight="1">
      <c r="A179" s="4" t="s">
        <v>1988</v>
      </c>
      <c r="B179" s="37">
        <v>52.0</v>
      </c>
      <c r="C179" s="37">
        <v>164.435221</v>
      </c>
      <c r="D179" s="37">
        <v>112.435221</v>
      </c>
    </row>
    <row r="180" ht="14.25" customHeight="1">
      <c r="A180" s="4" t="s">
        <v>239</v>
      </c>
      <c r="B180" s="37">
        <v>200.0</v>
      </c>
      <c r="C180" s="37">
        <v>312.057433</v>
      </c>
      <c r="D180" s="37">
        <v>112.057433</v>
      </c>
    </row>
    <row r="181" ht="14.25" customHeight="1">
      <c r="A181" s="4" t="s">
        <v>4124</v>
      </c>
      <c r="B181" s="37">
        <v>19.0</v>
      </c>
      <c r="C181" s="37">
        <v>130.727</v>
      </c>
      <c r="D181" s="37">
        <v>111.727</v>
      </c>
    </row>
    <row r="182" ht="14.25" customHeight="1">
      <c r="A182" s="4" t="s">
        <v>195</v>
      </c>
      <c r="B182" s="37">
        <v>180.0</v>
      </c>
      <c r="C182" s="37">
        <v>291.709845</v>
      </c>
      <c r="D182" s="37">
        <v>111.709845</v>
      </c>
    </row>
    <row r="183" ht="14.25" customHeight="1">
      <c r="A183" s="4" t="s">
        <v>1852</v>
      </c>
      <c r="B183" s="37">
        <v>55.0</v>
      </c>
      <c r="C183" s="37">
        <v>166.22504</v>
      </c>
      <c r="D183" s="37">
        <v>111.22504</v>
      </c>
    </row>
    <row r="184" ht="14.25" customHeight="1">
      <c r="A184" s="4" t="s">
        <v>4737</v>
      </c>
      <c r="B184" s="37">
        <v>16.0</v>
      </c>
      <c r="C184" s="37">
        <v>127.175354</v>
      </c>
      <c r="D184" s="37">
        <v>111.175354</v>
      </c>
    </row>
    <row r="185" ht="14.25" customHeight="1">
      <c r="A185" s="4" t="s">
        <v>4092</v>
      </c>
      <c r="B185" s="37">
        <v>21.0</v>
      </c>
      <c r="C185" s="37">
        <v>132.08891</v>
      </c>
      <c r="D185" s="37">
        <v>111.08891</v>
      </c>
    </row>
    <row r="186" ht="14.25" customHeight="1">
      <c r="A186" s="4" t="s">
        <v>5172</v>
      </c>
      <c r="B186" s="37">
        <v>13.0</v>
      </c>
      <c r="C186" s="37">
        <v>123.92237</v>
      </c>
      <c r="D186" s="37">
        <v>110.92237</v>
      </c>
    </row>
    <row r="187" ht="14.25" customHeight="1">
      <c r="A187" s="4" t="s">
        <v>4507</v>
      </c>
      <c r="B187" s="37">
        <v>18.0</v>
      </c>
      <c r="C187" s="37">
        <v>128.505958</v>
      </c>
      <c r="D187" s="37">
        <v>110.505958</v>
      </c>
    </row>
    <row r="188" ht="14.25" customHeight="1">
      <c r="A188" s="4" t="s">
        <v>2483</v>
      </c>
      <c r="B188" s="37">
        <v>40.0</v>
      </c>
      <c r="C188" s="37">
        <v>150.117807</v>
      </c>
      <c r="D188" s="37">
        <v>110.117807</v>
      </c>
    </row>
    <row r="189" ht="14.25" customHeight="1">
      <c r="A189" s="4" t="s">
        <v>1491</v>
      </c>
      <c r="B189" s="37">
        <v>62.0</v>
      </c>
      <c r="C189" s="37">
        <v>172.071312</v>
      </c>
      <c r="D189" s="37">
        <v>110.071312</v>
      </c>
    </row>
    <row r="190" ht="14.25" customHeight="1">
      <c r="A190" s="4" t="s">
        <v>2890</v>
      </c>
      <c r="B190" s="37">
        <v>35.0</v>
      </c>
      <c r="C190" s="37">
        <v>144.731527</v>
      </c>
      <c r="D190" s="37">
        <v>109.731527</v>
      </c>
    </row>
    <row r="191" ht="14.25" customHeight="1">
      <c r="A191" s="4" t="s">
        <v>3687</v>
      </c>
      <c r="B191" s="37">
        <v>25.0</v>
      </c>
      <c r="C191" s="37">
        <v>134.14153</v>
      </c>
      <c r="D191" s="37">
        <v>109.14153</v>
      </c>
    </row>
    <row r="192" ht="14.25" customHeight="1">
      <c r="A192" s="4" t="s">
        <v>4116</v>
      </c>
      <c r="B192" s="37">
        <v>19.40087</v>
      </c>
      <c r="C192" s="37">
        <v>128.3</v>
      </c>
      <c r="D192" s="37">
        <v>108.89913</v>
      </c>
    </row>
    <row r="193" ht="14.25" customHeight="1">
      <c r="A193" s="4" t="s">
        <v>1489</v>
      </c>
      <c r="B193" s="37">
        <v>63.0</v>
      </c>
      <c r="C193" s="37">
        <v>171.383253</v>
      </c>
      <c r="D193" s="37">
        <v>108.383253</v>
      </c>
    </row>
    <row r="194" ht="14.25" customHeight="1">
      <c r="A194" s="4" t="s">
        <v>1330</v>
      </c>
      <c r="B194" s="37">
        <v>75.0</v>
      </c>
      <c r="C194" s="37">
        <v>183.13237</v>
      </c>
      <c r="D194" s="37">
        <v>108.13237</v>
      </c>
    </row>
    <row r="195" ht="14.25" customHeight="1">
      <c r="A195" s="4" t="s">
        <v>7563</v>
      </c>
      <c r="B195" s="37">
        <v>0.015</v>
      </c>
      <c r="C195" s="37">
        <v>107.917283</v>
      </c>
      <c r="D195" s="37">
        <v>107.902283</v>
      </c>
    </row>
    <row r="196" ht="14.25" customHeight="1">
      <c r="A196" s="4" t="s">
        <v>435</v>
      </c>
      <c r="B196" s="37">
        <v>150.0</v>
      </c>
      <c r="C196" s="37">
        <v>257.704099</v>
      </c>
      <c r="D196" s="37">
        <v>107.704099</v>
      </c>
    </row>
    <row r="197" ht="14.25" customHeight="1">
      <c r="A197" s="4" t="s">
        <v>6587</v>
      </c>
      <c r="B197" s="37">
        <v>4.4</v>
      </c>
      <c r="C197" s="37">
        <v>112.0</v>
      </c>
      <c r="D197" s="37">
        <v>107.6</v>
      </c>
    </row>
    <row r="198" ht="14.25" customHeight="1">
      <c r="A198" s="4" t="s">
        <v>1877</v>
      </c>
      <c r="B198" s="37">
        <v>55.0</v>
      </c>
      <c r="C198" s="37">
        <v>162.586036</v>
      </c>
      <c r="D198" s="37">
        <v>107.58603600000001</v>
      </c>
    </row>
    <row r="199" ht="14.25" customHeight="1">
      <c r="A199" s="4" t="s">
        <v>1860</v>
      </c>
      <c r="B199" s="37">
        <v>70.0</v>
      </c>
      <c r="C199" s="37">
        <v>177.575142</v>
      </c>
      <c r="D199" s="37">
        <v>107.575142</v>
      </c>
    </row>
    <row r="200" ht="14.25" customHeight="1">
      <c r="A200" s="4" t="s">
        <v>1606</v>
      </c>
      <c r="B200" s="37">
        <v>61.0</v>
      </c>
      <c r="C200" s="37">
        <v>167.735396</v>
      </c>
      <c r="D200" s="37">
        <v>106.735396</v>
      </c>
    </row>
    <row r="201" ht="14.25" customHeight="1">
      <c r="A201" s="4" t="s">
        <v>6079</v>
      </c>
      <c r="B201" s="37">
        <v>7.0</v>
      </c>
      <c r="C201" s="37">
        <v>113.709992</v>
      </c>
      <c r="D201" s="37">
        <v>106.709992</v>
      </c>
    </row>
    <row r="202" ht="14.25" customHeight="1">
      <c r="A202" s="4" t="s">
        <v>893</v>
      </c>
      <c r="B202" s="37">
        <v>90.0</v>
      </c>
      <c r="C202" s="37">
        <v>196.573705</v>
      </c>
      <c r="D202" s="37">
        <v>106.573705</v>
      </c>
    </row>
    <row r="203" ht="14.25" customHeight="1">
      <c r="A203" s="4" t="s">
        <v>290</v>
      </c>
      <c r="B203" s="37">
        <v>38.0</v>
      </c>
      <c r="C203" s="37">
        <v>144.51231</v>
      </c>
      <c r="D203" s="37">
        <v>106.51231</v>
      </c>
    </row>
    <row r="204" ht="14.25" customHeight="1">
      <c r="A204" s="4" t="s">
        <v>290</v>
      </c>
      <c r="B204" s="37">
        <v>38.0</v>
      </c>
      <c r="C204" s="37">
        <v>144.51231</v>
      </c>
      <c r="D204" s="37">
        <v>106.51231</v>
      </c>
    </row>
    <row r="205" ht="14.25" customHeight="1">
      <c r="A205" s="4" t="s">
        <v>2396</v>
      </c>
      <c r="B205" s="37">
        <v>44.0</v>
      </c>
      <c r="C205" s="37">
        <v>150.415432</v>
      </c>
      <c r="D205" s="37">
        <v>106.415432</v>
      </c>
    </row>
    <row r="206" ht="14.25" customHeight="1">
      <c r="A206" s="4" t="s">
        <v>334</v>
      </c>
      <c r="B206" s="37">
        <v>150.0</v>
      </c>
      <c r="C206" s="37">
        <v>256.386216</v>
      </c>
      <c r="D206" s="37">
        <v>106.386216</v>
      </c>
    </row>
    <row r="207" ht="14.25" customHeight="1">
      <c r="A207" s="4" t="s">
        <v>843</v>
      </c>
      <c r="B207" s="37">
        <v>95.0</v>
      </c>
      <c r="C207" s="37">
        <v>201.148159</v>
      </c>
      <c r="D207" s="37">
        <v>106.148159</v>
      </c>
    </row>
    <row r="208" ht="14.25" customHeight="1">
      <c r="A208" s="4" t="s">
        <v>843</v>
      </c>
      <c r="B208" s="37">
        <v>95.0</v>
      </c>
      <c r="C208" s="37">
        <v>201.148159</v>
      </c>
      <c r="D208" s="37">
        <v>106.148159</v>
      </c>
    </row>
    <row r="209" ht="14.25" customHeight="1">
      <c r="A209" s="4" t="s">
        <v>536</v>
      </c>
      <c r="B209" s="37">
        <v>110.0</v>
      </c>
      <c r="C209" s="37">
        <v>214.94878</v>
      </c>
      <c r="D209" s="37">
        <v>104.94878</v>
      </c>
    </row>
    <row r="210" ht="14.25" customHeight="1">
      <c r="A210" s="4" t="s">
        <v>106</v>
      </c>
      <c r="B210" s="37">
        <v>200.0</v>
      </c>
      <c r="C210" s="37">
        <v>304.360277</v>
      </c>
      <c r="D210" s="37">
        <v>104.360277</v>
      </c>
    </row>
    <row r="211" ht="14.25" customHeight="1">
      <c r="A211" s="4" t="s">
        <v>106</v>
      </c>
      <c r="B211" s="37">
        <v>200.0</v>
      </c>
      <c r="C211" s="37">
        <v>304.360277</v>
      </c>
      <c r="D211" s="37">
        <v>104.360277</v>
      </c>
    </row>
    <row r="212" ht="14.25" customHeight="1">
      <c r="A212" s="4" t="s">
        <v>810</v>
      </c>
      <c r="B212" s="37">
        <v>98.0</v>
      </c>
      <c r="C212" s="37">
        <v>202.00764</v>
      </c>
      <c r="D212" s="37">
        <v>104.00764</v>
      </c>
    </row>
    <row r="213" ht="14.25" customHeight="1">
      <c r="A213" s="4" t="s">
        <v>2024</v>
      </c>
      <c r="B213" s="37">
        <v>50.0</v>
      </c>
      <c r="C213" s="37">
        <v>153.620822</v>
      </c>
      <c r="D213" s="37">
        <v>103.620822</v>
      </c>
    </row>
    <row r="214" ht="14.25" customHeight="1">
      <c r="A214" s="4" t="s">
        <v>713</v>
      </c>
      <c r="B214" s="37">
        <v>102.0</v>
      </c>
      <c r="C214" s="37">
        <v>204.84335</v>
      </c>
      <c r="D214" s="37">
        <v>102.84335</v>
      </c>
    </row>
    <row r="215" ht="14.25" customHeight="1">
      <c r="A215" s="4" t="s">
        <v>498</v>
      </c>
      <c r="B215" s="37">
        <v>132.0</v>
      </c>
      <c r="C215" s="37">
        <v>234.277056</v>
      </c>
      <c r="D215" s="37">
        <v>102.277056</v>
      </c>
    </row>
    <row r="216" ht="14.25" customHeight="1">
      <c r="A216" s="4" t="s">
        <v>4504</v>
      </c>
      <c r="B216" s="37">
        <v>18.0</v>
      </c>
      <c r="C216" s="37">
        <v>119.93873</v>
      </c>
      <c r="D216" s="37">
        <v>101.93873</v>
      </c>
    </row>
    <row r="217" ht="14.25" customHeight="1">
      <c r="A217" s="4" t="s">
        <v>4126</v>
      </c>
      <c r="B217" s="37">
        <v>20.0</v>
      </c>
      <c r="C217" s="37">
        <v>121.69735</v>
      </c>
      <c r="D217" s="37">
        <v>101.69735</v>
      </c>
    </row>
    <row r="218" ht="14.25" customHeight="1">
      <c r="A218" s="4" t="s">
        <v>6602</v>
      </c>
      <c r="B218" s="37">
        <v>4.0</v>
      </c>
      <c r="C218" s="37">
        <v>105.5</v>
      </c>
      <c r="D218" s="37">
        <v>101.5</v>
      </c>
    </row>
    <row r="219" ht="14.25" customHeight="1">
      <c r="A219" s="4" t="s">
        <v>4632</v>
      </c>
      <c r="B219" s="37">
        <v>20.0</v>
      </c>
      <c r="C219" s="37">
        <v>121.463226</v>
      </c>
      <c r="D219" s="37">
        <v>101.463226</v>
      </c>
    </row>
    <row r="220" ht="14.25" customHeight="1">
      <c r="A220" s="4" t="s">
        <v>3088</v>
      </c>
      <c r="B220" s="37">
        <v>40.0</v>
      </c>
      <c r="C220" s="37">
        <v>141.340178</v>
      </c>
      <c r="D220" s="37">
        <v>101.340178</v>
      </c>
    </row>
    <row r="221" ht="14.25" customHeight="1">
      <c r="A221" s="4" t="s">
        <v>980</v>
      </c>
      <c r="B221" s="37">
        <v>75.0</v>
      </c>
      <c r="C221" s="37">
        <v>176.04913</v>
      </c>
      <c r="D221" s="37">
        <v>101.04913</v>
      </c>
    </row>
    <row r="222" ht="14.25" customHeight="1">
      <c r="A222" s="4" t="s">
        <v>1063</v>
      </c>
      <c r="B222" s="37">
        <v>80.0</v>
      </c>
      <c r="C222" s="37">
        <v>180.965237</v>
      </c>
      <c r="D222" s="37">
        <v>100.965237</v>
      </c>
    </row>
    <row r="223" ht="14.25" customHeight="1">
      <c r="A223" s="4" t="s">
        <v>5488</v>
      </c>
      <c r="B223" s="37">
        <v>11.0</v>
      </c>
      <c r="C223" s="37">
        <v>111.722</v>
      </c>
      <c r="D223" s="37">
        <v>100.722</v>
      </c>
    </row>
    <row r="224" ht="14.25" customHeight="1">
      <c r="A224" s="4" t="s">
        <v>2045</v>
      </c>
      <c r="B224" s="37">
        <v>50.0</v>
      </c>
      <c r="C224" s="37">
        <v>150.315155</v>
      </c>
      <c r="D224" s="37">
        <v>100.315155</v>
      </c>
    </row>
    <row r="225" ht="14.25" customHeight="1">
      <c r="A225" s="4" t="s">
        <v>5590</v>
      </c>
      <c r="B225" s="37">
        <v>10.0</v>
      </c>
      <c r="C225" s="37">
        <v>110.175871</v>
      </c>
      <c r="D225" s="37">
        <v>100.175871</v>
      </c>
    </row>
    <row r="226" ht="14.25" customHeight="1">
      <c r="A226" s="4" t="s">
        <v>5922</v>
      </c>
      <c r="B226" s="37">
        <v>8.0</v>
      </c>
      <c r="C226" s="37">
        <v>107.93</v>
      </c>
      <c r="D226" s="37">
        <v>99.93</v>
      </c>
    </row>
    <row r="227" ht="14.25" customHeight="1">
      <c r="A227" s="4" t="s">
        <v>4123</v>
      </c>
      <c r="B227" s="37">
        <v>33.0</v>
      </c>
      <c r="C227" s="37">
        <v>132.541238</v>
      </c>
      <c r="D227" s="37">
        <v>99.541238</v>
      </c>
    </row>
    <row r="228" ht="14.25" customHeight="1">
      <c r="A228" s="4" t="s">
        <v>2899</v>
      </c>
      <c r="B228" s="37">
        <v>35.0</v>
      </c>
      <c r="C228" s="37">
        <v>134.455175</v>
      </c>
      <c r="D228" s="37">
        <v>99.455175</v>
      </c>
    </row>
    <row r="229" ht="14.25" customHeight="1">
      <c r="A229" s="4" t="s">
        <v>6029</v>
      </c>
      <c r="B229" s="37">
        <v>7.5</v>
      </c>
      <c r="C229" s="37">
        <v>106.593296</v>
      </c>
      <c r="D229" s="37">
        <v>99.093296</v>
      </c>
    </row>
    <row r="230" ht="14.25" customHeight="1">
      <c r="A230" s="4" t="s">
        <v>6389</v>
      </c>
      <c r="B230" s="37">
        <v>5.0</v>
      </c>
      <c r="C230" s="37">
        <v>104.007828</v>
      </c>
      <c r="D230" s="37">
        <v>99.007828</v>
      </c>
    </row>
    <row r="231" ht="14.25" customHeight="1">
      <c r="A231" s="4" t="s">
        <v>2496</v>
      </c>
      <c r="B231" s="37">
        <v>40.0</v>
      </c>
      <c r="C231" s="37">
        <v>138.614544</v>
      </c>
      <c r="D231" s="37">
        <v>98.614544</v>
      </c>
    </row>
    <row r="232" ht="14.25" customHeight="1">
      <c r="A232" s="4" t="s">
        <v>982</v>
      </c>
      <c r="B232" s="37">
        <v>85.0</v>
      </c>
      <c r="C232" s="37">
        <v>183.405771</v>
      </c>
      <c r="D232" s="37">
        <v>98.405771</v>
      </c>
    </row>
    <row r="233" ht="14.25" customHeight="1">
      <c r="A233" s="4" t="s">
        <v>979</v>
      </c>
      <c r="B233" s="37">
        <v>100.0</v>
      </c>
      <c r="C233" s="37">
        <v>197.992827</v>
      </c>
      <c r="D233" s="37">
        <v>97.992827</v>
      </c>
    </row>
    <row r="234" ht="14.25" customHeight="1">
      <c r="A234" s="4" t="s">
        <v>2027</v>
      </c>
      <c r="B234" s="37">
        <v>50.0</v>
      </c>
      <c r="C234" s="37">
        <v>147.637474</v>
      </c>
      <c r="D234" s="37">
        <v>97.637474</v>
      </c>
    </row>
    <row r="235" ht="14.25" customHeight="1">
      <c r="A235" s="4" t="s">
        <v>4130</v>
      </c>
      <c r="B235" s="37">
        <v>20.0</v>
      </c>
      <c r="C235" s="37">
        <v>117.224271</v>
      </c>
      <c r="D235" s="37">
        <v>97.224271</v>
      </c>
    </row>
    <row r="236" ht="14.25" customHeight="1">
      <c r="A236" s="4" t="s">
        <v>4505</v>
      </c>
      <c r="B236" s="37">
        <v>18.0</v>
      </c>
      <c r="C236" s="37">
        <v>114.968774</v>
      </c>
      <c r="D236" s="37">
        <v>96.968774</v>
      </c>
    </row>
    <row r="237" ht="14.25" customHeight="1">
      <c r="A237" s="4" t="s">
        <v>3670</v>
      </c>
      <c r="B237" s="37">
        <v>25.0</v>
      </c>
      <c r="C237" s="37">
        <v>121.94572</v>
      </c>
      <c r="D237" s="37">
        <v>96.94572</v>
      </c>
    </row>
    <row r="238" ht="14.25" customHeight="1">
      <c r="A238" s="4" t="s">
        <v>4842</v>
      </c>
      <c r="B238" s="37">
        <v>15.0</v>
      </c>
      <c r="C238" s="37">
        <v>111.9364</v>
      </c>
      <c r="D238" s="37">
        <v>96.9364</v>
      </c>
    </row>
    <row r="239" ht="14.25" customHeight="1">
      <c r="A239" s="4" t="s">
        <v>2421</v>
      </c>
      <c r="B239" s="37">
        <v>42.0</v>
      </c>
      <c r="C239" s="37">
        <v>138.447667</v>
      </c>
      <c r="D239" s="37">
        <v>96.447667</v>
      </c>
    </row>
    <row r="240" ht="14.25" customHeight="1">
      <c r="A240" s="4" t="s">
        <v>6236</v>
      </c>
      <c r="B240" s="37">
        <v>6.0</v>
      </c>
      <c r="C240" s="37">
        <v>102.3089</v>
      </c>
      <c r="D240" s="37">
        <v>96.3089</v>
      </c>
    </row>
    <row r="241" ht="14.25" customHeight="1">
      <c r="A241" s="4" t="s">
        <v>6240</v>
      </c>
      <c r="B241" s="37">
        <v>6.0</v>
      </c>
      <c r="C241" s="37">
        <v>102.3</v>
      </c>
      <c r="D241" s="37">
        <v>96.3</v>
      </c>
    </row>
    <row r="242" ht="14.25" customHeight="1">
      <c r="A242" s="4" t="s">
        <v>3207</v>
      </c>
      <c r="B242" s="37">
        <v>25.0</v>
      </c>
      <c r="C242" s="37">
        <v>121.248145</v>
      </c>
      <c r="D242" s="37">
        <v>96.248145</v>
      </c>
    </row>
    <row r="243" ht="14.25" customHeight="1">
      <c r="A243" s="4" t="s">
        <v>3209</v>
      </c>
      <c r="B243" s="37">
        <v>30.0</v>
      </c>
      <c r="C243" s="37">
        <v>125.01403</v>
      </c>
      <c r="D243" s="37">
        <v>95.01403</v>
      </c>
    </row>
    <row r="244" ht="14.25" customHeight="1">
      <c r="A244" s="4" t="s">
        <v>2270</v>
      </c>
      <c r="B244" s="37">
        <v>45.0</v>
      </c>
      <c r="C244" s="37">
        <v>139.852971</v>
      </c>
      <c r="D244" s="37">
        <v>94.852971</v>
      </c>
    </row>
    <row r="245" ht="14.25" customHeight="1">
      <c r="A245" s="4" t="s">
        <v>3215</v>
      </c>
      <c r="B245" s="37">
        <v>20.0</v>
      </c>
      <c r="C245" s="37">
        <v>114.324072</v>
      </c>
      <c r="D245" s="37">
        <v>94.324072</v>
      </c>
    </row>
    <row r="246" ht="14.25" customHeight="1">
      <c r="A246" s="4" t="s">
        <v>3215</v>
      </c>
      <c r="B246" s="37">
        <v>20.0</v>
      </c>
      <c r="C246" s="37">
        <v>114.324072</v>
      </c>
      <c r="D246" s="37">
        <v>94.324072</v>
      </c>
    </row>
    <row r="247" ht="14.25" customHeight="1">
      <c r="A247" s="4" t="s">
        <v>5177</v>
      </c>
      <c r="B247" s="37">
        <v>13.0</v>
      </c>
      <c r="C247" s="37">
        <v>106.952327</v>
      </c>
      <c r="D247" s="37">
        <v>93.952327</v>
      </c>
    </row>
    <row r="248" ht="14.25" customHeight="1">
      <c r="A248" s="4" t="s">
        <v>5088</v>
      </c>
      <c r="B248" s="37">
        <v>15.8</v>
      </c>
      <c r="C248" s="37">
        <v>109.30621</v>
      </c>
      <c r="D248" s="37">
        <v>93.50621</v>
      </c>
    </row>
    <row r="249" ht="14.25" customHeight="1">
      <c r="A249" s="4" t="s">
        <v>531</v>
      </c>
      <c r="B249" s="37">
        <v>125.0</v>
      </c>
      <c r="C249" s="37">
        <v>217.536138</v>
      </c>
      <c r="D249" s="37">
        <v>92.536138</v>
      </c>
    </row>
    <row r="250" ht="14.25" customHeight="1">
      <c r="A250" s="4" t="s">
        <v>3213</v>
      </c>
      <c r="B250" s="37">
        <v>30.0</v>
      </c>
      <c r="C250" s="37">
        <v>122.012643</v>
      </c>
      <c r="D250" s="37">
        <v>92.012643</v>
      </c>
    </row>
    <row r="251" ht="14.25" customHeight="1">
      <c r="A251" s="4" t="s">
        <v>1994</v>
      </c>
      <c r="B251" s="37">
        <v>52.0</v>
      </c>
      <c r="C251" s="37">
        <v>143.70421</v>
      </c>
      <c r="D251" s="37">
        <v>91.70421</v>
      </c>
    </row>
    <row r="252" ht="14.25" customHeight="1">
      <c r="A252" s="4" t="s">
        <v>2391</v>
      </c>
      <c r="B252" s="37">
        <v>44.5</v>
      </c>
      <c r="C252" s="37">
        <v>136.019448</v>
      </c>
      <c r="D252" s="37">
        <v>91.519448</v>
      </c>
    </row>
    <row r="253" ht="14.25" customHeight="1">
      <c r="A253" s="4" t="s">
        <v>3448</v>
      </c>
      <c r="B253" s="37">
        <v>28.0</v>
      </c>
      <c r="C253" s="37">
        <v>119.518352</v>
      </c>
      <c r="D253" s="37">
        <v>91.518352</v>
      </c>
    </row>
    <row r="254" ht="14.25" customHeight="1">
      <c r="A254" s="4" t="s">
        <v>6076</v>
      </c>
      <c r="B254" s="37">
        <v>4.0</v>
      </c>
      <c r="C254" s="37">
        <v>94.9</v>
      </c>
      <c r="D254" s="37">
        <v>90.9</v>
      </c>
    </row>
    <row r="255" ht="14.25" customHeight="1">
      <c r="A255" s="4" t="s">
        <v>5322</v>
      </c>
      <c r="B255" s="37">
        <v>11.0</v>
      </c>
      <c r="C255" s="37">
        <v>101.736215</v>
      </c>
      <c r="D255" s="37">
        <v>90.736215</v>
      </c>
    </row>
    <row r="256" ht="14.25" customHeight="1">
      <c r="A256" s="4" t="s">
        <v>560</v>
      </c>
      <c r="B256" s="37">
        <v>125.0</v>
      </c>
      <c r="C256" s="37">
        <v>215.397307</v>
      </c>
      <c r="D256" s="37">
        <v>90.397307</v>
      </c>
    </row>
    <row r="257" ht="14.25" customHeight="1">
      <c r="A257" s="4" t="s">
        <v>254</v>
      </c>
      <c r="B257" s="37">
        <v>170.0</v>
      </c>
      <c r="C257" s="37">
        <v>259.746958</v>
      </c>
      <c r="D257" s="37">
        <v>89.746958</v>
      </c>
    </row>
    <row r="258" ht="14.25" customHeight="1">
      <c r="A258" s="4" t="s">
        <v>2896</v>
      </c>
      <c r="B258" s="37">
        <v>35.0</v>
      </c>
      <c r="C258" s="37">
        <v>124.732962</v>
      </c>
      <c r="D258" s="37">
        <v>89.732962</v>
      </c>
    </row>
    <row r="259" ht="14.25" customHeight="1">
      <c r="A259" s="4" t="s">
        <v>1132</v>
      </c>
      <c r="B259" s="37">
        <v>80.0</v>
      </c>
      <c r="C259" s="37">
        <v>169.692572</v>
      </c>
      <c r="D259" s="37">
        <v>89.692572</v>
      </c>
    </row>
    <row r="260" ht="14.25" customHeight="1">
      <c r="A260" s="4" t="s">
        <v>2773</v>
      </c>
      <c r="B260" s="37">
        <v>38.0</v>
      </c>
      <c r="C260" s="37">
        <v>127.214072</v>
      </c>
      <c r="D260" s="37">
        <v>89.214072</v>
      </c>
    </row>
    <row r="261" ht="14.25" customHeight="1">
      <c r="A261" s="4" t="s">
        <v>1354</v>
      </c>
      <c r="B261" s="37">
        <v>74.0</v>
      </c>
      <c r="C261" s="37">
        <v>162.495848</v>
      </c>
      <c r="D261" s="37">
        <v>88.495848</v>
      </c>
    </row>
    <row r="262" ht="14.25" customHeight="1">
      <c r="A262" s="4" t="s">
        <v>859</v>
      </c>
      <c r="B262" s="37">
        <v>93.0</v>
      </c>
      <c r="C262" s="37">
        <v>181.166115</v>
      </c>
      <c r="D262" s="37">
        <v>88.166115</v>
      </c>
    </row>
    <row r="263" ht="14.25" customHeight="1">
      <c r="A263" s="4" t="s">
        <v>4458</v>
      </c>
      <c r="B263" s="37">
        <v>15.0</v>
      </c>
      <c r="C263" s="37">
        <v>103.001286</v>
      </c>
      <c r="D263" s="37">
        <v>88.001286</v>
      </c>
    </row>
    <row r="264" ht="14.25" customHeight="1">
      <c r="A264" s="4" t="s">
        <v>1496</v>
      </c>
      <c r="B264" s="37">
        <v>61.0</v>
      </c>
      <c r="C264" s="37">
        <v>148.77546</v>
      </c>
      <c r="D264" s="37">
        <v>87.77546</v>
      </c>
    </row>
    <row r="265" ht="14.25" customHeight="1">
      <c r="A265" s="4" t="s">
        <v>981</v>
      </c>
      <c r="B265" s="37">
        <v>85.0</v>
      </c>
      <c r="C265" s="37">
        <v>172.620724</v>
      </c>
      <c r="D265" s="37">
        <v>87.620724</v>
      </c>
    </row>
    <row r="266" ht="14.25" customHeight="1">
      <c r="A266" s="4" t="s">
        <v>3091</v>
      </c>
      <c r="B266" s="37">
        <v>30.0</v>
      </c>
      <c r="C266" s="37">
        <v>117.559438</v>
      </c>
      <c r="D266" s="37">
        <v>87.559438</v>
      </c>
    </row>
    <row r="267" ht="14.25" customHeight="1">
      <c r="A267" s="4" t="s">
        <v>4855</v>
      </c>
      <c r="B267" s="37">
        <v>15.0</v>
      </c>
      <c r="C267" s="37">
        <v>101.97884</v>
      </c>
      <c r="D267" s="37">
        <v>86.97884</v>
      </c>
    </row>
    <row r="268" ht="14.25" customHeight="1">
      <c r="A268" s="4" t="s">
        <v>5079</v>
      </c>
      <c r="B268" s="37">
        <v>14.4</v>
      </c>
      <c r="C268" s="37">
        <v>101.157447</v>
      </c>
      <c r="D268" s="37">
        <v>86.757447</v>
      </c>
    </row>
    <row r="269" ht="14.25" customHeight="1">
      <c r="A269" s="4" t="s">
        <v>3214</v>
      </c>
      <c r="B269" s="37">
        <v>30.0</v>
      </c>
      <c r="C269" s="37">
        <v>116.63131</v>
      </c>
      <c r="D269" s="37">
        <v>86.63131</v>
      </c>
    </row>
    <row r="270" ht="14.25" customHeight="1">
      <c r="A270" s="4" t="s">
        <v>1855</v>
      </c>
      <c r="B270" s="37">
        <v>55.0</v>
      </c>
      <c r="C270" s="37">
        <v>141.6</v>
      </c>
      <c r="D270" s="37">
        <v>86.6</v>
      </c>
    </row>
    <row r="271" ht="14.25" customHeight="1">
      <c r="A271" s="4" t="s">
        <v>2490</v>
      </c>
      <c r="B271" s="37">
        <v>40.0</v>
      </c>
      <c r="C271" s="37">
        <v>126.546825</v>
      </c>
      <c r="D271" s="37">
        <v>86.546825</v>
      </c>
    </row>
    <row r="272" ht="14.25" customHeight="1">
      <c r="A272" s="4" t="s">
        <v>1254</v>
      </c>
      <c r="B272" s="37">
        <v>75.0</v>
      </c>
      <c r="C272" s="37">
        <v>160.762022</v>
      </c>
      <c r="D272" s="37">
        <v>85.762022</v>
      </c>
    </row>
    <row r="273" ht="14.25" customHeight="1">
      <c r="A273" s="4" t="s">
        <v>3212</v>
      </c>
      <c r="B273" s="37">
        <v>30.0</v>
      </c>
      <c r="C273" s="37">
        <v>115.648585</v>
      </c>
      <c r="D273" s="37">
        <v>85.648585</v>
      </c>
    </row>
    <row r="274" ht="14.25" customHeight="1">
      <c r="A274" s="4" t="s">
        <v>3222</v>
      </c>
      <c r="B274" s="37">
        <v>30.0</v>
      </c>
      <c r="C274" s="37">
        <v>115.646235</v>
      </c>
      <c r="D274" s="37">
        <v>85.646235</v>
      </c>
    </row>
    <row r="275" ht="14.25" customHeight="1">
      <c r="A275" s="4" t="s">
        <v>2269</v>
      </c>
      <c r="B275" s="37">
        <v>45.0</v>
      </c>
      <c r="C275" s="37">
        <v>130.512915</v>
      </c>
      <c r="D275" s="37">
        <v>85.512915</v>
      </c>
    </row>
    <row r="276" ht="14.25" customHeight="1">
      <c r="A276" s="4" t="s">
        <v>489</v>
      </c>
      <c r="B276" s="37">
        <v>130.0</v>
      </c>
      <c r="C276" s="37">
        <v>215.395021</v>
      </c>
      <c r="D276" s="37">
        <v>85.395021</v>
      </c>
    </row>
    <row r="277" ht="14.25" customHeight="1">
      <c r="A277" s="4" t="s">
        <v>2499</v>
      </c>
      <c r="B277" s="37">
        <v>40.0</v>
      </c>
      <c r="C277" s="37">
        <v>125.069696</v>
      </c>
      <c r="D277" s="37">
        <v>85.069696</v>
      </c>
    </row>
    <row r="278" ht="14.25" customHeight="1">
      <c r="A278" s="4" t="s">
        <v>2029</v>
      </c>
      <c r="B278" s="37">
        <v>50.0</v>
      </c>
      <c r="C278" s="37">
        <v>135.014968</v>
      </c>
      <c r="D278" s="37">
        <v>85.014968</v>
      </c>
    </row>
    <row r="279" ht="14.25" customHeight="1">
      <c r="A279" s="4" t="s">
        <v>537</v>
      </c>
      <c r="B279" s="37">
        <v>125.0</v>
      </c>
      <c r="C279" s="37">
        <v>209.805005</v>
      </c>
      <c r="D279" s="37">
        <v>84.805005</v>
      </c>
    </row>
    <row r="280" ht="14.25" customHeight="1">
      <c r="A280" s="4" t="s">
        <v>3909</v>
      </c>
      <c r="B280" s="37">
        <v>25.0</v>
      </c>
      <c r="C280" s="37">
        <v>109.713132</v>
      </c>
      <c r="D280" s="37">
        <v>84.713132</v>
      </c>
    </row>
    <row r="281" ht="14.25" customHeight="1">
      <c r="A281" s="4" t="s">
        <v>706</v>
      </c>
      <c r="B281" s="37">
        <v>103.0</v>
      </c>
      <c r="C281" s="37">
        <v>187.670866</v>
      </c>
      <c r="D281" s="37">
        <v>84.670866</v>
      </c>
    </row>
    <row r="282" ht="14.25" customHeight="1">
      <c r="A282" s="4" t="s">
        <v>3604</v>
      </c>
      <c r="B282" s="37">
        <v>26.0</v>
      </c>
      <c r="C282" s="37">
        <v>110.222438</v>
      </c>
      <c r="D282" s="37">
        <v>84.222438</v>
      </c>
    </row>
    <row r="283" ht="14.25" customHeight="1">
      <c r="A283" s="4" t="s">
        <v>765</v>
      </c>
      <c r="B283" s="37">
        <v>100.0</v>
      </c>
      <c r="C283" s="37">
        <v>184.031112</v>
      </c>
      <c r="D283" s="37">
        <v>84.031112</v>
      </c>
    </row>
    <row r="284" ht="14.25" customHeight="1">
      <c r="A284" s="4" t="s">
        <v>862</v>
      </c>
      <c r="B284" s="37">
        <v>93.0</v>
      </c>
      <c r="C284" s="37">
        <v>176.74065</v>
      </c>
      <c r="D284" s="37">
        <v>83.74065</v>
      </c>
    </row>
    <row r="285" ht="14.25" customHeight="1">
      <c r="A285" s="4" t="s">
        <v>6900</v>
      </c>
      <c r="B285" s="37">
        <v>2.8</v>
      </c>
      <c r="C285" s="37">
        <v>86.3</v>
      </c>
      <c r="D285" s="37">
        <v>83.5</v>
      </c>
    </row>
    <row r="286" ht="14.25" customHeight="1">
      <c r="A286" s="4" t="s">
        <v>3605</v>
      </c>
      <c r="B286" s="37">
        <v>26.0</v>
      </c>
      <c r="C286" s="37">
        <v>109.243478</v>
      </c>
      <c r="D286" s="37">
        <v>83.243478</v>
      </c>
    </row>
    <row r="287" ht="14.25" customHeight="1">
      <c r="A287" s="4" t="s">
        <v>1601</v>
      </c>
      <c r="B287" s="37">
        <v>60.0</v>
      </c>
      <c r="C287" s="37">
        <v>143.151473</v>
      </c>
      <c r="D287" s="37">
        <v>83.151473</v>
      </c>
    </row>
    <row r="288" ht="14.25" customHeight="1">
      <c r="A288" s="4" t="s">
        <v>6380</v>
      </c>
      <c r="B288" s="37">
        <v>4.0</v>
      </c>
      <c r="C288" s="37">
        <v>87.025093</v>
      </c>
      <c r="D288" s="37">
        <v>83.025093</v>
      </c>
    </row>
    <row r="289" ht="14.25" customHeight="1">
      <c r="A289" s="4" t="s">
        <v>4133</v>
      </c>
      <c r="B289" s="37">
        <v>20.0</v>
      </c>
      <c r="C289" s="37">
        <v>102.922376</v>
      </c>
      <c r="D289" s="37">
        <v>82.922376</v>
      </c>
    </row>
    <row r="290" ht="14.25" customHeight="1">
      <c r="A290" s="4" t="s">
        <v>1067</v>
      </c>
      <c r="B290" s="37">
        <v>80.0</v>
      </c>
      <c r="C290" s="37">
        <v>162.831698</v>
      </c>
      <c r="D290" s="37">
        <v>82.831698</v>
      </c>
    </row>
    <row r="291" ht="14.25" customHeight="1">
      <c r="A291" s="4" t="s">
        <v>2482</v>
      </c>
      <c r="B291" s="37">
        <v>8.0</v>
      </c>
      <c r="C291" s="37">
        <v>90.8</v>
      </c>
      <c r="D291" s="37">
        <v>82.8</v>
      </c>
    </row>
    <row r="292" ht="14.25" customHeight="1">
      <c r="A292" s="4" t="s">
        <v>2482</v>
      </c>
      <c r="B292" s="37">
        <v>8.0</v>
      </c>
      <c r="C292" s="37">
        <v>90.8</v>
      </c>
      <c r="D292" s="37">
        <v>82.8</v>
      </c>
    </row>
    <row r="293" ht="14.25" customHeight="1">
      <c r="A293" s="4" t="s">
        <v>2894</v>
      </c>
      <c r="B293" s="37">
        <v>35.0</v>
      </c>
      <c r="C293" s="37">
        <v>117.528646</v>
      </c>
      <c r="D293" s="37">
        <v>82.528646</v>
      </c>
    </row>
    <row r="294" ht="14.25" customHeight="1">
      <c r="A294" s="4" t="s">
        <v>1229</v>
      </c>
      <c r="B294" s="37">
        <v>75.0</v>
      </c>
      <c r="C294" s="37">
        <v>157.299717</v>
      </c>
      <c r="D294" s="37">
        <v>82.299717</v>
      </c>
    </row>
    <row r="295" ht="14.25" customHeight="1">
      <c r="A295" s="4" t="s">
        <v>1350</v>
      </c>
      <c r="B295" s="37">
        <v>70.0</v>
      </c>
      <c r="C295" s="37">
        <v>152.14959</v>
      </c>
      <c r="D295" s="37">
        <v>82.14959</v>
      </c>
    </row>
    <row r="296" ht="14.25" customHeight="1">
      <c r="A296" s="4" t="s">
        <v>1245</v>
      </c>
      <c r="B296" s="37">
        <v>80.0</v>
      </c>
      <c r="C296" s="37">
        <v>162.001186</v>
      </c>
      <c r="D296" s="37">
        <v>82.001186</v>
      </c>
    </row>
    <row r="297" ht="14.25" customHeight="1">
      <c r="A297" s="4" t="s">
        <v>6787</v>
      </c>
      <c r="B297" s="37">
        <v>3.0</v>
      </c>
      <c r="C297" s="37">
        <v>84.749884</v>
      </c>
      <c r="D297" s="37">
        <v>81.749884</v>
      </c>
    </row>
    <row r="298" ht="14.25" customHeight="1">
      <c r="A298" s="4" t="s">
        <v>2402</v>
      </c>
      <c r="B298" s="37">
        <v>2.6</v>
      </c>
      <c r="C298" s="37">
        <v>84.3</v>
      </c>
      <c r="D298" s="37">
        <v>81.7</v>
      </c>
    </row>
    <row r="299" ht="14.25" customHeight="1">
      <c r="A299" s="4" t="s">
        <v>2254</v>
      </c>
      <c r="B299" s="37">
        <v>46.0</v>
      </c>
      <c r="C299" s="37">
        <v>126.805112</v>
      </c>
      <c r="D299" s="37">
        <v>80.805112</v>
      </c>
    </row>
    <row r="300" ht="14.25" customHeight="1">
      <c r="A300" s="4" t="s">
        <v>4452</v>
      </c>
      <c r="B300" s="37">
        <v>20.0</v>
      </c>
      <c r="C300" s="37">
        <v>100.292856</v>
      </c>
      <c r="D300" s="37">
        <v>80.292856</v>
      </c>
    </row>
    <row r="301" ht="14.25" customHeight="1">
      <c r="A301" s="4" t="s">
        <v>50</v>
      </c>
      <c r="B301" s="37">
        <v>250.0</v>
      </c>
      <c r="C301" s="37">
        <v>330.249062</v>
      </c>
      <c r="D301" s="37">
        <v>80.249062</v>
      </c>
    </row>
    <row r="302" ht="14.25" customHeight="1">
      <c r="A302" s="4" t="s">
        <v>711</v>
      </c>
      <c r="B302" s="37">
        <v>100.0</v>
      </c>
      <c r="C302" s="37">
        <v>180.01174</v>
      </c>
      <c r="D302" s="37">
        <v>80.01174</v>
      </c>
    </row>
    <row r="303" ht="14.25" customHeight="1">
      <c r="A303" s="4" t="s">
        <v>711</v>
      </c>
      <c r="B303" s="37">
        <v>100.0</v>
      </c>
      <c r="C303" s="37">
        <v>180.01174</v>
      </c>
      <c r="D303" s="37">
        <v>80.01174</v>
      </c>
    </row>
    <row r="304" ht="14.25" customHeight="1">
      <c r="A304" s="4" t="s">
        <v>6718</v>
      </c>
      <c r="B304" s="37">
        <v>3.5</v>
      </c>
      <c r="C304" s="37">
        <v>83.4</v>
      </c>
      <c r="D304" s="37">
        <v>79.9</v>
      </c>
    </row>
    <row r="305" ht="14.25" customHeight="1">
      <c r="A305" s="4" t="s">
        <v>5490</v>
      </c>
      <c r="B305" s="37">
        <v>11.0</v>
      </c>
      <c r="C305" s="37">
        <v>90.556401</v>
      </c>
      <c r="D305" s="37">
        <v>79.556401</v>
      </c>
    </row>
    <row r="306" ht="14.25" customHeight="1">
      <c r="A306" s="4" t="s">
        <v>5328</v>
      </c>
      <c r="B306" s="37">
        <v>12.0</v>
      </c>
      <c r="C306" s="37">
        <v>91.547205</v>
      </c>
      <c r="D306" s="37">
        <v>79.547205</v>
      </c>
    </row>
    <row r="307" ht="14.25" customHeight="1">
      <c r="A307" s="4" t="s">
        <v>4651</v>
      </c>
      <c r="B307" s="37">
        <v>17.0</v>
      </c>
      <c r="C307" s="37">
        <v>96.471845</v>
      </c>
      <c r="D307" s="37">
        <v>79.471845</v>
      </c>
    </row>
    <row r="308" ht="14.25" customHeight="1">
      <c r="A308" s="4" t="s">
        <v>4735</v>
      </c>
      <c r="B308" s="37">
        <v>16.4</v>
      </c>
      <c r="C308" s="37">
        <v>95.860116</v>
      </c>
      <c r="D308" s="37">
        <v>79.460116</v>
      </c>
    </row>
    <row r="309" ht="14.25" customHeight="1">
      <c r="A309" s="4" t="s">
        <v>3219</v>
      </c>
      <c r="B309" s="37">
        <v>26.0</v>
      </c>
      <c r="C309" s="37">
        <v>105.444419</v>
      </c>
      <c r="D309" s="37">
        <v>79.444419</v>
      </c>
    </row>
    <row r="310" ht="14.25" customHeight="1">
      <c r="A310" s="4" t="s">
        <v>5476</v>
      </c>
      <c r="B310" s="37">
        <v>12.0</v>
      </c>
      <c r="C310" s="37">
        <v>91.443253</v>
      </c>
      <c r="D310" s="37">
        <v>79.443253</v>
      </c>
    </row>
    <row r="311" ht="14.25" customHeight="1">
      <c r="A311" s="4" t="s">
        <v>1494</v>
      </c>
      <c r="B311" s="37">
        <v>60.0</v>
      </c>
      <c r="C311" s="37">
        <v>139.225854</v>
      </c>
      <c r="D311" s="37">
        <v>79.225854</v>
      </c>
    </row>
    <row r="312" ht="14.25" customHeight="1">
      <c r="A312" s="4" t="s">
        <v>1858</v>
      </c>
      <c r="B312" s="37">
        <v>55.0</v>
      </c>
      <c r="C312" s="37">
        <v>134.218018</v>
      </c>
      <c r="D312" s="37">
        <v>79.218018</v>
      </c>
    </row>
    <row r="313" ht="14.25" customHeight="1">
      <c r="A313" s="4" t="s">
        <v>4845</v>
      </c>
      <c r="B313" s="37">
        <v>15.0</v>
      </c>
      <c r="C313" s="37">
        <v>94.175854</v>
      </c>
      <c r="D313" s="37">
        <v>79.175854</v>
      </c>
    </row>
    <row r="314" ht="14.25" customHeight="1">
      <c r="A314" s="4" t="s">
        <v>6379</v>
      </c>
      <c r="B314" s="37">
        <v>5.0</v>
      </c>
      <c r="C314" s="37">
        <v>83.574831</v>
      </c>
      <c r="D314" s="37">
        <v>78.574831</v>
      </c>
    </row>
    <row r="315" ht="14.25" customHeight="1">
      <c r="A315" s="4" t="s">
        <v>36</v>
      </c>
      <c r="B315" s="37">
        <v>258.0</v>
      </c>
      <c r="C315" s="37">
        <v>336.530303</v>
      </c>
      <c r="D315" s="37">
        <v>78.530303</v>
      </c>
    </row>
    <row r="316" ht="14.25" customHeight="1">
      <c r="A316" s="4" t="s">
        <v>36</v>
      </c>
      <c r="B316" s="37">
        <v>258.0</v>
      </c>
      <c r="C316" s="37">
        <v>336.530303</v>
      </c>
      <c r="D316" s="37">
        <v>78.530303</v>
      </c>
    </row>
    <row r="317" ht="14.25" customHeight="1">
      <c r="A317" s="4" t="s">
        <v>2489</v>
      </c>
      <c r="B317" s="37">
        <v>40.0</v>
      </c>
      <c r="C317" s="37">
        <v>118.5</v>
      </c>
      <c r="D317" s="37">
        <v>78.5</v>
      </c>
    </row>
    <row r="318" ht="14.25" customHeight="1">
      <c r="A318" s="4" t="s">
        <v>3217</v>
      </c>
      <c r="B318" s="37">
        <v>30.0</v>
      </c>
      <c r="C318" s="37">
        <v>108.36</v>
      </c>
      <c r="D318" s="37">
        <v>78.36</v>
      </c>
    </row>
    <row r="319" ht="14.25" customHeight="1">
      <c r="A319" s="4" t="s">
        <v>5180</v>
      </c>
      <c r="B319" s="37">
        <v>13.0</v>
      </c>
      <c r="C319" s="37">
        <v>91.038276</v>
      </c>
      <c r="D319" s="37">
        <v>78.038276</v>
      </c>
    </row>
    <row r="320" ht="14.25" customHeight="1">
      <c r="A320" s="4" t="s">
        <v>2047</v>
      </c>
      <c r="B320" s="37">
        <v>50.0</v>
      </c>
      <c r="C320" s="37">
        <v>127.997349</v>
      </c>
      <c r="D320" s="37">
        <v>77.997349</v>
      </c>
    </row>
    <row r="321" ht="14.25" customHeight="1">
      <c r="A321" s="4" t="s">
        <v>332</v>
      </c>
      <c r="B321" s="37">
        <v>150.0</v>
      </c>
      <c r="C321" s="37">
        <v>227.946274</v>
      </c>
      <c r="D321" s="37">
        <v>77.946274</v>
      </c>
    </row>
    <row r="322" ht="14.25" customHeight="1">
      <c r="A322" s="4" t="s">
        <v>6183</v>
      </c>
      <c r="B322" s="37">
        <v>6.5</v>
      </c>
      <c r="C322" s="37">
        <v>84.263837</v>
      </c>
      <c r="D322" s="37">
        <v>77.763837</v>
      </c>
    </row>
    <row r="323" ht="14.25" customHeight="1">
      <c r="A323" s="4" t="s">
        <v>2893</v>
      </c>
      <c r="B323" s="37">
        <v>35.0</v>
      </c>
      <c r="C323" s="37">
        <v>112.692062</v>
      </c>
      <c r="D323" s="37">
        <v>77.692062</v>
      </c>
    </row>
    <row r="324" ht="14.25" customHeight="1">
      <c r="A324" s="4" t="s">
        <v>3911</v>
      </c>
      <c r="B324" s="37">
        <v>24.0</v>
      </c>
      <c r="C324" s="37">
        <v>101.334374</v>
      </c>
      <c r="D324" s="37">
        <v>77.334374</v>
      </c>
    </row>
    <row r="325" ht="14.25" customHeight="1">
      <c r="A325" s="4" t="s">
        <v>4847</v>
      </c>
      <c r="B325" s="37">
        <v>14.0</v>
      </c>
      <c r="C325" s="37">
        <v>91.121452</v>
      </c>
      <c r="D325" s="37">
        <v>77.121452</v>
      </c>
    </row>
    <row r="326" ht="14.25" customHeight="1">
      <c r="A326" s="4" t="s">
        <v>4509</v>
      </c>
      <c r="B326" s="37">
        <v>18.0</v>
      </c>
      <c r="C326" s="37">
        <v>95.001351</v>
      </c>
      <c r="D326" s="37">
        <v>77.001351</v>
      </c>
    </row>
    <row r="327" ht="14.25" customHeight="1">
      <c r="A327" s="4" t="s">
        <v>2034</v>
      </c>
      <c r="B327" s="37">
        <v>50.0</v>
      </c>
      <c r="C327" s="37">
        <v>126.975169</v>
      </c>
      <c r="D327" s="37">
        <v>76.975169</v>
      </c>
    </row>
    <row r="328" ht="14.25" customHeight="1">
      <c r="A328" s="4" t="s">
        <v>4739</v>
      </c>
      <c r="B328" s="37">
        <v>16.0</v>
      </c>
      <c r="C328" s="37">
        <v>92.8236</v>
      </c>
      <c r="D328" s="37">
        <v>76.8236</v>
      </c>
    </row>
    <row r="329" ht="14.25" customHeight="1">
      <c r="A329" s="4" t="s">
        <v>1603</v>
      </c>
      <c r="B329" s="37">
        <v>60.0</v>
      </c>
      <c r="C329" s="37">
        <v>136.801374</v>
      </c>
      <c r="D329" s="37">
        <v>76.801374</v>
      </c>
    </row>
    <row r="330" ht="14.25" customHeight="1">
      <c r="A330" s="4" t="s">
        <v>6559</v>
      </c>
      <c r="B330" s="37">
        <v>4.5</v>
      </c>
      <c r="C330" s="37">
        <v>81.2</v>
      </c>
      <c r="D330" s="37">
        <v>76.7</v>
      </c>
    </row>
    <row r="331" ht="14.25" customHeight="1">
      <c r="A331" s="4" t="s">
        <v>3228</v>
      </c>
      <c r="B331" s="37">
        <v>30.0</v>
      </c>
      <c r="C331" s="37">
        <v>106.694016</v>
      </c>
      <c r="D331" s="37">
        <v>76.694016</v>
      </c>
    </row>
    <row r="332" ht="14.25" customHeight="1">
      <c r="A332" s="4" t="s">
        <v>3471</v>
      </c>
      <c r="B332" s="37">
        <v>24.0</v>
      </c>
      <c r="C332" s="37">
        <v>100.491683</v>
      </c>
      <c r="D332" s="37">
        <v>76.491683</v>
      </c>
    </row>
    <row r="333" ht="14.25" customHeight="1">
      <c r="A333" s="4" t="s">
        <v>2031</v>
      </c>
      <c r="B333" s="37">
        <v>50.0</v>
      </c>
      <c r="C333" s="37">
        <v>126.20332</v>
      </c>
      <c r="D333" s="37">
        <v>76.20332</v>
      </c>
    </row>
    <row r="334" ht="14.25" customHeight="1">
      <c r="A334" s="4" t="s">
        <v>1077</v>
      </c>
      <c r="B334" s="37">
        <v>82.0</v>
      </c>
      <c r="C334" s="37">
        <v>158.115031</v>
      </c>
      <c r="D334" s="37">
        <v>76.115031</v>
      </c>
    </row>
    <row r="335" ht="14.25" customHeight="1">
      <c r="A335" s="4" t="s">
        <v>2215</v>
      </c>
      <c r="B335" s="37">
        <v>48.0</v>
      </c>
      <c r="C335" s="37">
        <v>124.107476</v>
      </c>
      <c r="D335" s="37">
        <v>76.107476</v>
      </c>
    </row>
    <row r="336" ht="14.25" customHeight="1">
      <c r="A336" s="4" t="s">
        <v>2043</v>
      </c>
      <c r="B336" s="37">
        <v>50.0</v>
      </c>
      <c r="C336" s="37">
        <v>126.088877</v>
      </c>
      <c r="D336" s="37">
        <v>76.088877</v>
      </c>
    </row>
    <row r="337" ht="14.25" customHeight="1">
      <c r="A337" s="4" t="s">
        <v>3181</v>
      </c>
      <c r="B337" s="37">
        <v>6.5</v>
      </c>
      <c r="C337" s="37">
        <v>82.528097</v>
      </c>
      <c r="D337" s="37">
        <v>76.028097</v>
      </c>
    </row>
    <row r="338" ht="14.25" customHeight="1">
      <c r="A338" s="4" t="s">
        <v>2468</v>
      </c>
      <c r="B338" s="37">
        <v>41.0</v>
      </c>
      <c r="C338" s="37">
        <v>116.724075</v>
      </c>
      <c r="D338" s="37">
        <v>75.724075</v>
      </c>
    </row>
    <row r="339" ht="14.25" customHeight="1">
      <c r="A339" s="4" t="s">
        <v>3216</v>
      </c>
      <c r="B339" s="37">
        <v>38.0</v>
      </c>
      <c r="C339" s="37">
        <v>113.502246</v>
      </c>
      <c r="D339" s="37">
        <v>75.502246</v>
      </c>
    </row>
    <row r="340" ht="14.25" customHeight="1">
      <c r="A340" s="4" t="s">
        <v>5578</v>
      </c>
      <c r="B340" s="37">
        <v>10.0</v>
      </c>
      <c r="C340" s="37">
        <v>85.3</v>
      </c>
      <c r="D340" s="37">
        <v>75.3</v>
      </c>
    </row>
    <row r="341" ht="14.25" customHeight="1">
      <c r="A341" s="4" t="s">
        <v>3606</v>
      </c>
      <c r="B341" s="37">
        <v>25.0</v>
      </c>
      <c r="C341" s="37">
        <v>100.241322</v>
      </c>
      <c r="D341" s="37">
        <v>75.241322</v>
      </c>
    </row>
    <row r="342" ht="14.25" customHeight="1">
      <c r="A342" s="4" t="s">
        <v>1318</v>
      </c>
      <c r="B342" s="37">
        <v>73.0</v>
      </c>
      <c r="C342" s="37">
        <v>148.213377</v>
      </c>
      <c r="D342" s="37">
        <v>75.213377</v>
      </c>
    </row>
    <row r="343" ht="14.25" customHeight="1">
      <c r="A343" s="4" t="s">
        <v>1068</v>
      </c>
      <c r="B343" s="37">
        <v>80.0</v>
      </c>
      <c r="C343" s="37">
        <v>155.01934</v>
      </c>
      <c r="D343" s="37">
        <v>75.01934</v>
      </c>
    </row>
    <row r="344" ht="14.25" customHeight="1">
      <c r="A344" s="4" t="s">
        <v>2903</v>
      </c>
      <c r="B344" s="37">
        <v>35.0</v>
      </c>
      <c r="C344" s="37">
        <v>110.00826</v>
      </c>
      <c r="D344" s="37">
        <v>75.00826</v>
      </c>
    </row>
    <row r="345" ht="14.25" customHeight="1">
      <c r="A345" s="4" t="s">
        <v>1859</v>
      </c>
      <c r="B345" s="37">
        <v>54.0</v>
      </c>
      <c r="C345" s="37">
        <v>128.769345</v>
      </c>
      <c r="D345" s="37">
        <v>74.769345</v>
      </c>
    </row>
    <row r="346" ht="14.25" customHeight="1">
      <c r="A346" s="4" t="s">
        <v>2827</v>
      </c>
      <c r="B346" s="37">
        <v>35.0</v>
      </c>
      <c r="C346" s="37">
        <v>109.712885</v>
      </c>
      <c r="D346" s="37">
        <v>74.712885</v>
      </c>
    </row>
    <row r="347" ht="14.25" customHeight="1">
      <c r="A347" s="4" t="s">
        <v>4135</v>
      </c>
      <c r="B347" s="37">
        <v>20.0</v>
      </c>
      <c r="C347" s="37">
        <v>94.497271</v>
      </c>
      <c r="D347" s="37">
        <v>74.497271</v>
      </c>
    </row>
    <row r="348" ht="14.25" customHeight="1">
      <c r="A348" s="4" t="s">
        <v>6971</v>
      </c>
      <c r="B348" s="37">
        <v>2.28</v>
      </c>
      <c r="C348" s="37">
        <v>76.4</v>
      </c>
      <c r="D348" s="37">
        <v>74.12</v>
      </c>
    </row>
    <row r="349" ht="14.25" customHeight="1">
      <c r="A349" s="4" t="s">
        <v>3671</v>
      </c>
      <c r="B349" s="37">
        <v>22.0</v>
      </c>
      <c r="C349" s="37">
        <v>96.067179</v>
      </c>
      <c r="D349" s="37">
        <v>74.067179</v>
      </c>
    </row>
    <row r="350" ht="14.25" customHeight="1">
      <c r="A350" s="4" t="s">
        <v>2422</v>
      </c>
      <c r="B350" s="37">
        <v>42.0</v>
      </c>
      <c r="C350" s="37">
        <v>116.00608</v>
      </c>
      <c r="D350" s="37">
        <v>74.00608</v>
      </c>
    </row>
    <row r="351" ht="14.25" customHeight="1">
      <c r="A351" s="4" t="s">
        <v>2493</v>
      </c>
      <c r="B351" s="37">
        <v>38.0</v>
      </c>
      <c r="C351" s="37">
        <v>111.760631</v>
      </c>
      <c r="D351" s="37">
        <v>73.760631</v>
      </c>
    </row>
    <row r="352" ht="14.25" customHeight="1">
      <c r="A352" s="4" t="s">
        <v>2035</v>
      </c>
      <c r="B352" s="37">
        <v>52.0</v>
      </c>
      <c r="C352" s="37">
        <v>125.548685</v>
      </c>
      <c r="D352" s="37">
        <v>73.548685</v>
      </c>
    </row>
    <row r="353" ht="14.25" customHeight="1">
      <c r="A353" s="4" t="s">
        <v>257</v>
      </c>
      <c r="B353" s="37">
        <v>165.0</v>
      </c>
      <c r="C353" s="37">
        <v>238.371987</v>
      </c>
      <c r="D353" s="37">
        <v>73.371987</v>
      </c>
    </row>
    <row r="354" ht="14.25" customHeight="1">
      <c r="A354" s="4" t="s">
        <v>746</v>
      </c>
      <c r="B354" s="37">
        <v>100.0</v>
      </c>
      <c r="C354" s="37">
        <v>173.005002</v>
      </c>
      <c r="D354" s="37">
        <v>73.005002</v>
      </c>
    </row>
    <row r="355" ht="14.25" customHeight="1">
      <c r="A355" s="4" t="s">
        <v>1342</v>
      </c>
      <c r="B355" s="37">
        <v>71.5</v>
      </c>
      <c r="C355" s="37">
        <v>144.156464</v>
      </c>
      <c r="D355" s="37">
        <v>72.656464</v>
      </c>
    </row>
    <row r="356" ht="14.25" customHeight="1">
      <c r="A356" s="4" t="s">
        <v>3122</v>
      </c>
      <c r="B356" s="37">
        <v>32.0</v>
      </c>
      <c r="C356" s="37">
        <v>104.632573</v>
      </c>
      <c r="D356" s="37">
        <v>72.632573</v>
      </c>
    </row>
    <row r="357" ht="14.25" customHeight="1">
      <c r="A357" s="4" t="s">
        <v>3917</v>
      </c>
      <c r="B357" s="37">
        <v>8.2</v>
      </c>
      <c r="C357" s="37">
        <v>80.0</v>
      </c>
      <c r="D357" s="37">
        <v>71.8</v>
      </c>
    </row>
    <row r="358" ht="14.25" customHeight="1">
      <c r="A358" s="4" t="s">
        <v>407</v>
      </c>
      <c r="B358" s="37">
        <v>145.0</v>
      </c>
      <c r="C358" s="37">
        <v>216.366733</v>
      </c>
      <c r="D358" s="37">
        <v>71.366733</v>
      </c>
    </row>
    <row r="359" ht="14.25" customHeight="1">
      <c r="A359" s="4" t="s">
        <v>3218</v>
      </c>
      <c r="B359" s="37">
        <v>37.0</v>
      </c>
      <c r="C359" s="37">
        <v>108.244774</v>
      </c>
      <c r="D359" s="37">
        <v>71.244774</v>
      </c>
    </row>
    <row r="360" ht="14.25" customHeight="1">
      <c r="A360" s="4" t="s">
        <v>1351</v>
      </c>
      <c r="B360" s="37">
        <v>70.0</v>
      </c>
      <c r="C360" s="37">
        <v>141.204016</v>
      </c>
      <c r="D360" s="37">
        <v>71.204016</v>
      </c>
    </row>
    <row r="361" ht="14.25" customHeight="1">
      <c r="A361" s="4" t="s">
        <v>3227</v>
      </c>
      <c r="B361" s="37">
        <v>30.0</v>
      </c>
      <c r="C361" s="37">
        <v>100.422786</v>
      </c>
      <c r="D361" s="37">
        <v>70.422786</v>
      </c>
    </row>
    <row r="362" ht="14.25" customHeight="1">
      <c r="A362" s="4" t="s">
        <v>5576</v>
      </c>
      <c r="B362" s="37">
        <v>10.0</v>
      </c>
      <c r="C362" s="37">
        <v>80.150343</v>
      </c>
      <c r="D362" s="37">
        <v>70.150343</v>
      </c>
    </row>
    <row r="363" ht="14.25" customHeight="1">
      <c r="A363" s="4" t="s">
        <v>3134</v>
      </c>
      <c r="B363" s="37">
        <v>32.0</v>
      </c>
      <c r="C363" s="37">
        <v>101.470202</v>
      </c>
      <c r="D363" s="37">
        <v>69.470202</v>
      </c>
    </row>
    <row r="364" ht="14.25" customHeight="1">
      <c r="A364" s="4" t="s">
        <v>6761</v>
      </c>
      <c r="B364" s="37">
        <v>8.0</v>
      </c>
      <c r="C364" s="37">
        <v>77.413017</v>
      </c>
      <c r="D364" s="37">
        <v>69.413017</v>
      </c>
    </row>
    <row r="365" ht="14.25" customHeight="1">
      <c r="A365" s="4" t="s">
        <v>1042</v>
      </c>
      <c r="B365" s="37">
        <v>84.0</v>
      </c>
      <c r="C365" s="37">
        <v>153.288182</v>
      </c>
      <c r="D365" s="37">
        <v>69.288182</v>
      </c>
    </row>
    <row r="366" ht="14.25" customHeight="1">
      <c r="A366" s="4" t="s">
        <v>4531</v>
      </c>
      <c r="B366" s="37">
        <v>17.0</v>
      </c>
      <c r="C366" s="37">
        <v>86.049418</v>
      </c>
      <c r="D366" s="37">
        <v>69.049418</v>
      </c>
    </row>
    <row r="367" ht="14.25" customHeight="1">
      <c r="A367" s="4" t="s">
        <v>5162</v>
      </c>
      <c r="B367" s="37">
        <v>14.0</v>
      </c>
      <c r="C367" s="37">
        <v>83.025853</v>
      </c>
      <c r="D367" s="37">
        <v>69.025853</v>
      </c>
    </row>
    <row r="368" ht="14.25" customHeight="1">
      <c r="A368" s="4" t="s">
        <v>5581</v>
      </c>
      <c r="B368" s="37">
        <v>10.0</v>
      </c>
      <c r="C368" s="37">
        <v>78.84513</v>
      </c>
      <c r="D368" s="37">
        <v>68.84513</v>
      </c>
    </row>
    <row r="369" ht="14.25" customHeight="1">
      <c r="A369" s="4" t="s">
        <v>2494</v>
      </c>
      <c r="B369" s="37">
        <v>40.0</v>
      </c>
      <c r="C369" s="37">
        <v>108.706165</v>
      </c>
      <c r="D369" s="37">
        <v>68.706165</v>
      </c>
    </row>
    <row r="370" ht="14.25" customHeight="1">
      <c r="A370" s="4" t="s">
        <v>4012</v>
      </c>
      <c r="B370" s="37">
        <v>22.0</v>
      </c>
      <c r="C370" s="37">
        <v>90.636983</v>
      </c>
      <c r="D370" s="37">
        <v>68.636983</v>
      </c>
    </row>
    <row r="371" ht="14.25" customHeight="1">
      <c r="A371" s="4" t="s">
        <v>5491</v>
      </c>
      <c r="B371" s="37">
        <v>25.0</v>
      </c>
      <c r="C371" s="37">
        <v>93.571803</v>
      </c>
      <c r="D371" s="37">
        <v>68.571803</v>
      </c>
    </row>
    <row r="372" ht="14.25" customHeight="1">
      <c r="A372" s="4" t="s">
        <v>120</v>
      </c>
      <c r="B372" s="37">
        <v>200.0</v>
      </c>
      <c r="C372" s="37">
        <v>268.488329</v>
      </c>
      <c r="D372" s="37">
        <v>68.488329</v>
      </c>
    </row>
    <row r="373" ht="14.25" customHeight="1">
      <c r="A373" s="4" t="s">
        <v>3062</v>
      </c>
      <c r="B373" s="37">
        <v>34.0</v>
      </c>
      <c r="C373" s="37">
        <v>102.413606</v>
      </c>
      <c r="D373" s="37">
        <v>68.413606</v>
      </c>
    </row>
    <row r="374" ht="14.25" customHeight="1">
      <c r="A374" s="4" t="s">
        <v>5330</v>
      </c>
      <c r="B374" s="37">
        <v>11.0</v>
      </c>
      <c r="C374" s="37">
        <v>78.9</v>
      </c>
      <c r="D374" s="37">
        <v>67.9</v>
      </c>
    </row>
    <row r="375" ht="14.25" customHeight="1">
      <c r="A375" s="4" t="s">
        <v>5843</v>
      </c>
      <c r="B375" s="37">
        <v>11.0</v>
      </c>
      <c r="C375" s="37">
        <v>78.9</v>
      </c>
      <c r="D375" s="37">
        <v>67.9</v>
      </c>
    </row>
    <row r="376" ht="14.25" customHeight="1">
      <c r="A376" s="4" t="s">
        <v>5334</v>
      </c>
      <c r="B376" s="37">
        <v>12.0</v>
      </c>
      <c r="C376" s="37">
        <v>79.568</v>
      </c>
      <c r="D376" s="37">
        <v>67.568</v>
      </c>
    </row>
    <row r="377" ht="14.25" customHeight="1">
      <c r="A377" s="4" t="s">
        <v>2501</v>
      </c>
      <c r="B377" s="37">
        <v>40.0</v>
      </c>
      <c r="C377" s="37">
        <v>107.458785</v>
      </c>
      <c r="D377" s="37">
        <v>67.458785</v>
      </c>
    </row>
    <row r="378" ht="14.25" customHeight="1">
      <c r="A378" s="4" t="s">
        <v>1047</v>
      </c>
      <c r="B378" s="37">
        <v>70.0</v>
      </c>
      <c r="C378" s="37">
        <v>137.340146</v>
      </c>
      <c r="D378" s="37">
        <v>67.340146</v>
      </c>
    </row>
    <row r="379" ht="14.25" customHeight="1">
      <c r="A379" s="4" t="s">
        <v>3220</v>
      </c>
      <c r="B379" s="37">
        <v>33.0</v>
      </c>
      <c r="C379" s="37">
        <v>100.12534</v>
      </c>
      <c r="D379" s="37">
        <v>67.12534</v>
      </c>
    </row>
    <row r="380" ht="14.25" customHeight="1">
      <c r="A380" s="4" t="s">
        <v>4652</v>
      </c>
      <c r="B380" s="37">
        <v>18.5</v>
      </c>
      <c r="C380" s="37">
        <v>85.2</v>
      </c>
      <c r="D380" s="37">
        <v>66.7</v>
      </c>
    </row>
    <row r="381" ht="14.25" customHeight="1">
      <c r="A381" s="4" t="s">
        <v>1991</v>
      </c>
      <c r="B381" s="37">
        <v>52.0</v>
      </c>
      <c r="C381" s="37">
        <v>118.683135</v>
      </c>
      <c r="D381" s="37">
        <v>66.683135</v>
      </c>
    </row>
    <row r="382" ht="14.25" customHeight="1">
      <c r="A382" s="4" t="s">
        <v>643</v>
      </c>
      <c r="B382" s="37">
        <v>120.0</v>
      </c>
      <c r="C382" s="37">
        <v>186.336103</v>
      </c>
      <c r="D382" s="37">
        <v>66.336103</v>
      </c>
    </row>
    <row r="383" ht="14.25" customHeight="1">
      <c r="A383" s="4" t="s">
        <v>840</v>
      </c>
      <c r="B383" s="37">
        <v>95.0</v>
      </c>
      <c r="C383" s="37">
        <v>161.317423</v>
      </c>
      <c r="D383" s="37">
        <v>66.317423</v>
      </c>
    </row>
    <row r="384" ht="14.25" customHeight="1">
      <c r="A384" s="4" t="s">
        <v>61</v>
      </c>
      <c r="B384" s="37">
        <v>225.0</v>
      </c>
      <c r="C384" s="37">
        <v>291.021565</v>
      </c>
      <c r="D384" s="37">
        <v>66.021565</v>
      </c>
    </row>
    <row r="385" ht="14.25" customHeight="1">
      <c r="A385" s="4" t="s">
        <v>2947</v>
      </c>
      <c r="B385" s="37">
        <v>10.7</v>
      </c>
      <c r="C385" s="37">
        <v>76.6</v>
      </c>
      <c r="D385" s="37">
        <v>65.9</v>
      </c>
    </row>
    <row r="386" ht="14.25" customHeight="1">
      <c r="A386" s="4" t="s">
        <v>2947</v>
      </c>
      <c r="B386" s="37">
        <v>10.7</v>
      </c>
      <c r="C386" s="37">
        <v>76.6</v>
      </c>
      <c r="D386" s="37">
        <v>65.9</v>
      </c>
    </row>
    <row r="387" ht="14.25" customHeight="1">
      <c r="A387" s="4" t="s">
        <v>616</v>
      </c>
      <c r="B387" s="37">
        <v>125.0</v>
      </c>
      <c r="C387" s="37">
        <v>190.87124</v>
      </c>
      <c r="D387" s="37">
        <v>65.87124</v>
      </c>
    </row>
    <row r="388" ht="14.25" customHeight="1">
      <c r="A388" s="4" t="s">
        <v>616</v>
      </c>
      <c r="B388" s="37">
        <v>125.0</v>
      </c>
      <c r="C388" s="37">
        <v>190.87124</v>
      </c>
      <c r="D388" s="37">
        <v>65.87124</v>
      </c>
    </row>
    <row r="389" ht="14.25" customHeight="1">
      <c r="A389" s="4" t="s">
        <v>1007</v>
      </c>
      <c r="B389" s="37">
        <v>85.0</v>
      </c>
      <c r="C389" s="37">
        <v>150.832203</v>
      </c>
      <c r="D389" s="37">
        <v>65.832203</v>
      </c>
    </row>
    <row r="390" ht="14.25" customHeight="1">
      <c r="A390" s="4" t="s">
        <v>1071</v>
      </c>
      <c r="B390" s="37">
        <v>80.0</v>
      </c>
      <c r="C390" s="37">
        <v>145.771527</v>
      </c>
      <c r="D390" s="37">
        <v>65.771527</v>
      </c>
    </row>
    <row r="391" ht="14.25" customHeight="1">
      <c r="A391" s="4" t="s">
        <v>1613</v>
      </c>
      <c r="B391" s="37">
        <v>60.0</v>
      </c>
      <c r="C391" s="37">
        <v>125.60336</v>
      </c>
      <c r="D391" s="37">
        <v>65.60336</v>
      </c>
    </row>
    <row r="392" ht="14.25" customHeight="1">
      <c r="A392" s="4" t="s">
        <v>1074</v>
      </c>
      <c r="B392" s="37">
        <v>75.0</v>
      </c>
      <c r="C392" s="37">
        <v>140.459099</v>
      </c>
      <c r="D392" s="37">
        <v>65.459099</v>
      </c>
    </row>
    <row r="393" ht="14.25" customHeight="1">
      <c r="A393" s="4" t="s">
        <v>3609</v>
      </c>
      <c r="B393" s="37">
        <v>26.0</v>
      </c>
      <c r="C393" s="37">
        <v>91.457688</v>
      </c>
      <c r="D393" s="37">
        <v>65.457688</v>
      </c>
    </row>
    <row r="394" ht="14.25" customHeight="1">
      <c r="A394" s="4" t="s">
        <v>4659</v>
      </c>
      <c r="B394" s="37">
        <v>17.0</v>
      </c>
      <c r="C394" s="37">
        <v>82.38956</v>
      </c>
      <c r="D394" s="37">
        <v>65.38956</v>
      </c>
    </row>
    <row r="395" ht="14.25" customHeight="1">
      <c r="A395" s="4" t="s">
        <v>3706</v>
      </c>
      <c r="B395" s="37">
        <v>17.0</v>
      </c>
      <c r="C395" s="37">
        <v>82.234139</v>
      </c>
      <c r="D395" s="37">
        <v>65.234139</v>
      </c>
    </row>
    <row r="396" ht="14.25" customHeight="1">
      <c r="A396" s="4" t="s">
        <v>3226</v>
      </c>
      <c r="B396" s="37">
        <v>25.0</v>
      </c>
      <c r="C396" s="37">
        <v>90.135191</v>
      </c>
      <c r="D396" s="37">
        <v>65.135191</v>
      </c>
    </row>
    <row r="397" ht="14.25" customHeight="1">
      <c r="A397" s="4" t="s">
        <v>4139</v>
      </c>
      <c r="B397" s="37">
        <v>20.0</v>
      </c>
      <c r="C397" s="37">
        <v>84.518155</v>
      </c>
      <c r="D397" s="37">
        <v>64.518155</v>
      </c>
    </row>
    <row r="398" ht="14.25" customHeight="1">
      <c r="A398" s="4" t="s">
        <v>423</v>
      </c>
      <c r="B398" s="37">
        <v>145.0</v>
      </c>
      <c r="C398" s="37">
        <v>209.364921</v>
      </c>
      <c r="D398" s="37">
        <v>64.364921</v>
      </c>
    </row>
    <row r="399" ht="14.25" customHeight="1">
      <c r="A399" s="4" t="s">
        <v>3963</v>
      </c>
      <c r="B399" s="37">
        <v>23.0</v>
      </c>
      <c r="C399" s="37">
        <v>86.930411</v>
      </c>
      <c r="D399" s="37">
        <v>63.930411</v>
      </c>
    </row>
    <row r="400" ht="14.25" customHeight="1">
      <c r="A400" s="4" t="s">
        <v>986</v>
      </c>
      <c r="B400" s="37">
        <v>85.0</v>
      </c>
      <c r="C400" s="37">
        <v>148.313048</v>
      </c>
      <c r="D400" s="37">
        <v>63.313048</v>
      </c>
    </row>
    <row r="401" ht="14.25" customHeight="1">
      <c r="A401" s="4" t="s">
        <v>5329</v>
      </c>
      <c r="B401" s="37">
        <v>12.0</v>
      </c>
      <c r="C401" s="37">
        <v>75.07495</v>
      </c>
      <c r="D401" s="37">
        <v>63.07495</v>
      </c>
    </row>
    <row r="402" ht="14.25" customHeight="1">
      <c r="A402" s="4" t="s">
        <v>736</v>
      </c>
      <c r="B402" s="37">
        <v>100.0</v>
      </c>
      <c r="C402" s="37">
        <v>162.804648</v>
      </c>
      <c r="D402" s="37">
        <v>62.804648</v>
      </c>
    </row>
    <row r="403" ht="14.25" customHeight="1">
      <c r="A403" s="4" t="s">
        <v>3186</v>
      </c>
      <c r="B403" s="37">
        <v>31.0</v>
      </c>
      <c r="C403" s="37">
        <v>93.749203</v>
      </c>
      <c r="D403" s="37">
        <v>62.749203</v>
      </c>
    </row>
    <row r="404" ht="14.25" customHeight="1">
      <c r="A404" s="4" t="s">
        <v>4145</v>
      </c>
      <c r="B404" s="37">
        <v>20.0</v>
      </c>
      <c r="C404" s="37">
        <v>82.624961</v>
      </c>
      <c r="D404" s="37">
        <v>62.624961</v>
      </c>
    </row>
    <row r="405" ht="14.25" customHeight="1">
      <c r="A405" s="4" t="s">
        <v>5858</v>
      </c>
      <c r="B405" s="37">
        <v>9.0</v>
      </c>
      <c r="C405" s="37">
        <v>71.51923</v>
      </c>
      <c r="D405" s="37">
        <v>62.51923</v>
      </c>
    </row>
    <row r="406" ht="14.25" customHeight="1">
      <c r="A406" s="4" t="s">
        <v>2503</v>
      </c>
      <c r="B406" s="37">
        <v>40.0</v>
      </c>
      <c r="C406" s="37">
        <v>102.310175</v>
      </c>
      <c r="D406" s="37">
        <v>62.310175</v>
      </c>
    </row>
    <row r="407" ht="14.25" customHeight="1">
      <c r="A407" s="4" t="s">
        <v>2273</v>
      </c>
      <c r="B407" s="37">
        <v>48.0</v>
      </c>
      <c r="C407" s="37">
        <v>110.000082</v>
      </c>
      <c r="D407" s="37">
        <v>62.000082</v>
      </c>
    </row>
    <row r="408" ht="14.25" customHeight="1">
      <c r="A408" s="4" t="s">
        <v>540</v>
      </c>
      <c r="B408" s="37">
        <v>125.0</v>
      </c>
      <c r="C408" s="37">
        <v>186.830669</v>
      </c>
      <c r="D408" s="37">
        <v>61.830669</v>
      </c>
    </row>
    <row r="409" ht="14.25" customHeight="1">
      <c r="A409" s="4" t="s">
        <v>2276</v>
      </c>
      <c r="B409" s="37">
        <v>45.0</v>
      </c>
      <c r="C409" s="37">
        <v>106.807667</v>
      </c>
      <c r="D409" s="37">
        <v>61.807667</v>
      </c>
    </row>
    <row r="410" ht="14.25" customHeight="1">
      <c r="A410" s="4" t="s">
        <v>5929</v>
      </c>
      <c r="B410" s="37">
        <v>8.0</v>
      </c>
      <c r="C410" s="37">
        <v>69.8</v>
      </c>
      <c r="D410" s="37">
        <v>61.8</v>
      </c>
    </row>
    <row r="411" ht="14.25" customHeight="1">
      <c r="A411" s="4" t="s">
        <v>2424</v>
      </c>
      <c r="B411" s="37">
        <v>45.0</v>
      </c>
      <c r="C411" s="37">
        <v>106.793915</v>
      </c>
      <c r="D411" s="37">
        <v>61.793915</v>
      </c>
    </row>
    <row r="412" ht="14.25" customHeight="1">
      <c r="A412" s="4" t="s">
        <v>558</v>
      </c>
      <c r="B412" s="37">
        <v>125.0</v>
      </c>
      <c r="C412" s="37">
        <v>186.739919</v>
      </c>
      <c r="D412" s="37">
        <v>61.739919</v>
      </c>
    </row>
    <row r="413" ht="14.25" customHeight="1">
      <c r="A413" s="4" t="s">
        <v>416</v>
      </c>
      <c r="B413" s="37">
        <v>140.0</v>
      </c>
      <c r="C413" s="37">
        <v>201.573391</v>
      </c>
      <c r="D413" s="37">
        <v>61.573391</v>
      </c>
    </row>
    <row r="414" ht="14.25" customHeight="1">
      <c r="A414" s="4" t="s">
        <v>1607</v>
      </c>
      <c r="B414" s="37">
        <v>60.0</v>
      </c>
      <c r="C414" s="37">
        <v>121.46896</v>
      </c>
      <c r="D414" s="37">
        <v>61.46896</v>
      </c>
    </row>
    <row r="415" ht="14.25" customHeight="1">
      <c r="A415" s="4" t="s">
        <v>6796</v>
      </c>
      <c r="B415" s="37">
        <v>3.0</v>
      </c>
      <c r="C415" s="37">
        <v>64.42365</v>
      </c>
      <c r="D415" s="37">
        <v>61.42365</v>
      </c>
    </row>
    <row r="416" ht="14.25" customHeight="1">
      <c r="A416" s="4" t="s">
        <v>246</v>
      </c>
      <c r="B416" s="37">
        <v>180.0</v>
      </c>
      <c r="C416" s="37">
        <v>241.407328</v>
      </c>
      <c r="D416" s="37">
        <v>61.407328</v>
      </c>
    </row>
    <row r="417" ht="14.25" customHeight="1">
      <c r="A417" s="4" t="s">
        <v>3610</v>
      </c>
      <c r="B417" s="37">
        <v>27.0</v>
      </c>
      <c r="C417" s="37">
        <v>87.34138</v>
      </c>
      <c r="D417" s="37">
        <v>60.34138</v>
      </c>
    </row>
    <row r="418" ht="14.25" customHeight="1">
      <c r="A418" s="4" t="s">
        <v>6600</v>
      </c>
      <c r="B418" s="37">
        <v>2.3</v>
      </c>
      <c r="C418" s="37">
        <v>62.549</v>
      </c>
      <c r="D418" s="37">
        <v>60.249</v>
      </c>
    </row>
    <row r="419" ht="14.25" customHeight="1">
      <c r="A419" s="4" t="s">
        <v>5332</v>
      </c>
      <c r="B419" s="37">
        <v>12.0</v>
      </c>
      <c r="C419" s="37">
        <v>72.217</v>
      </c>
      <c r="D419" s="37">
        <v>60.217</v>
      </c>
    </row>
    <row r="420" ht="14.25" customHeight="1">
      <c r="A420" s="4" t="s">
        <v>6527</v>
      </c>
      <c r="B420" s="37">
        <v>5.0</v>
      </c>
      <c r="C420" s="37">
        <v>65.06914</v>
      </c>
      <c r="D420" s="37">
        <v>60.06914</v>
      </c>
    </row>
    <row r="421" ht="14.25" customHeight="1">
      <c r="A421" s="4" t="s">
        <v>2737</v>
      </c>
      <c r="B421" s="37">
        <v>20.0</v>
      </c>
      <c r="C421" s="37">
        <v>80.050171</v>
      </c>
      <c r="D421" s="37">
        <v>60.050171</v>
      </c>
    </row>
    <row r="422" ht="14.25" customHeight="1">
      <c r="A422" s="4" t="s">
        <v>2737</v>
      </c>
      <c r="B422" s="37">
        <v>20.0</v>
      </c>
      <c r="C422" s="37">
        <v>80.050171</v>
      </c>
      <c r="D422" s="37">
        <v>60.050171</v>
      </c>
    </row>
    <row r="423" ht="14.25" customHeight="1">
      <c r="A423" s="4" t="s">
        <v>1572</v>
      </c>
      <c r="B423" s="37">
        <v>62.0</v>
      </c>
      <c r="C423" s="37">
        <v>122.01271</v>
      </c>
      <c r="D423" s="37">
        <v>60.01271</v>
      </c>
    </row>
    <row r="424" ht="14.25" customHeight="1">
      <c r="A424" s="4" t="s">
        <v>5176</v>
      </c>
      <c r="B424" s="37">
        <v>13.0</v>
      </c>
      <c r="C424" s="37">
        <v>73.000942</v>
      </c>
      <c r="D424" s="37">
        <v>60.000942</v>
      </c>
    </row>
    <row r="425" ht="14.25" customHeight="1">
      <c r="A425" s="4" t="s">
        <v>4848</v>
      </c>
      <c r="B425" s="37">
        <v>10.0</v>
      </c>
      <c r="C425" s="37">
        <v>69.8</v>
      </c>
      <c r="D425" s="37">
        <v>59.8</v>
      </c>
    </row>
    <row r="426" ht="14.25" customHeight="1">
      <c r="A426" s="4" t="s">
        <v>1232</v>
      </c>
      <c r="B426" s="37">
        <v>75.0</v>
      </c>
      <c r="C426" s="37">
        <v>134.568845</v>
      </c>
      <c r="D426" s="37">
        <v>59.568845</v>
      </c>
    </row>
    <row r="427" ht="14.25" customHeight="1">
      <c r="A427" s="4" t="s">
        <v>4660</v>
      </c>
      <c r="B427" s="37">
        <v>12.0</v>
      </c>
      <c r="C427" s="37">
        <v>71.502303</v>
      </c>
      <c r="D427" s="37">
        <v>59.502303</v>
      </c>
    </row>
    <row r="428" ht="14.25" customHeight="1">
      <c r="A428" s="4" t="s">
        <v>4510</v>
      </c>
      <c r="B428" s="37">
        <v>17.0</v>
      </c>
      <c r="C428" s="37">
        <v>76.4</v>
      </c>
      <c r="D428" s="37">
        <v>59.4</v>
      </c>
    </row>
    <row r="429" ht="14.25" customHeight="1">
      <c r="A429" s="4" t="s">
        <v>6385</v>
      </c>
      <c r="B429" s="37">
        <v>5.0</v>
      </c>
      <c r="C429" s="37">
        <v>64.267897</v>
      </c>
      <c r="D429" s="37">
        <v>59.267897</v>
      </c>
    </row>
    <row r="430" ht="14.25" customHeight="1">
      <c r="A430" s="4" t="s">
        <v>1233</v>
      </c>
      <c r="B430" s="37">
        <v>75.0</v>
      </c>
      <c r="C430" s="37">
        <v>134.006721</v>
      </c>
      <c r="D430" s="37">
        <v>59.006721</v>
      </c>
    </row>
    <row r="431" ht="14.25" customHeight="1">
      <c r="A431" s="4" t="s">
        <v>3241</v>
      </c>
      <c r="B431" s="37">
        <v>25.0</v>
      </c>
      <c r="C431" s="37">
        <v>83.81346</v>
      </c>
      <c r="D431" s="37">
        <v>58.81346</v>
      </c>
    </row>
    <row r="432" ht="14.25" customHeight="1">
      <c r="A432" s="4" t="s">
        <v>321</v>
      </c>
      <c r="B432" s="37">
        <v>140.0</v>
      </c>
      <c r="C432" s="37">
        <v>198.539855</v>
      </c>
      <c r="D432" s="37">
        <v>58.539855</v>
      </c>
    </row>
    <row r="433" ht="14.25" customHeight="1">
      <c r="A433" s="4" t="s">
        <v>1995</v>
      </c>
      <c r="B433" s="37">
        <v>52.0</v>
      </c>
      <c r="C433" s="37">
        <v>110.476776</v>
      </c>
      <c r="D433" s="37">
        <v>58.476776</v>
      </c>
    </row>
    <row r="434" ht="14.25" customHeight="1">
      <c r="A434" s="4" t="s">
        <v>5579</v>
      </c>
      <c r="B434" s="37">
        <v>10.0</v>
      </c>
      <c r="C434" s="37">
        <v>68.35355</v>
      </c>
      <c r="D434" s="37">
        <v>58.35355</v>
      </c>
    </row>
    <row r="435" ht="14.25" customHeight="1">
      <c r="A435" s="4" t="s">
        <v>4858</v>
      </c>
      <c r="B435" s="37">
        <v>15.0</v>
      </c>
      <c r="C435" s="37">
        <v>73.326666</v>
      </c>
      <c r="D435" s="37">
        <v>58.326666</v>
      </c>
    </row>
    <row r="436" ht="14.25" customHeight="1">
      <c r="A436" s="4" t="s">
        <v>1039</v>
      </c>
      <c r="B436" s="37">
        <v>65.0</v>
      </c>
      <c r="C436" s="37">
        <v>123.307945</v>
      </c>
      <c r="D436" s="37">
        <v>58.307945</v>
      </c>
    </row>
    <row r="437" ht="14.25" customHeight="1">
      <c r="A437" s="4" t="s">
        <v>3716</v>
      </c>
      <c r="B437" s="37">
        <v>26.0</v>
      </c>
      <c r="C437" s="37">
        <v>84.136909</v>
      </c>
      <c r="D437" s="37">
        <v>58.136909</v>
      </c>
    </row>
    <row r="438" ht="14.25" customHeight="1">
      <c r="A438" s="4" t="s">
        <v>1078</v>
      </c>
      <c r="B438" s="37">
        <v>75.0</v>
      </c>
      <c r="C438" s="37">
        <v>133.103929</v>
      </c>
      <c r="D438" s="37">
        <v>58.103929</v>
      </c>
    </row>
    <row r="439" ht="14.25" customHeight="1">
      <c r="A439" s="4" t="s">
        <v>5339</v>
      </c>
      <c r="B439" s="37">
        <v>12.0</v>
      </c>
      <c r="C439" s="37">
        <v>70.011073</v>
      </c>
      <c r="D439" s="37">
        <v>58.011073</v>
      </c>
    </row>
    <row r="440" ht="14.25" customHeight="1">
      <c r="A440" s="4" t="s">
        <v>265</v>
      </c>
      <c r="B440" s="37">
        <v>165.0</v>
      </c>
      <c r="C440" s="37">
        <v>222.487711</v>
      </c>
      <c r="D440" s="37">
        <v>57.487711</v>
      </c>
    </row>
    <row r="441" ht="14.25" customHeight="1">
      <c r="A441" s="4" t="s">
        <v>5586</v>
      </c>
      <c r="B441" s="37">
        <v>6.0</v>
      </c>
      <c r="C441" s="37">
        <v>63.231524</v>
      </c>
      <c r="D441" s="37">
        <v>57.231524</v>
      </c>
    </row>
    <row r="442" ht="14.25" customHeight="1">
      <c r="A442" s="4" t="s">
        <v>1593</v>
      </c>
      <c r="B442" s="37">
        <v>61.0</v>
      </c>
      <c r="C442" s="37">
        <v>118.153533</v>
      </c>
      <c r="D442" s="37">
        <v>57.153533</v>
      </c>
    </row>
    <row r="443" ht="14.25" customHeight="1">
      <c r="A443" s="4" t="s">
        <v>1845</v>
      </c>
      <c r="B443" s="37">
        <v>56.0</v>
      </c>
      <c r="C443" s="37">
        <v>113.00688</v>
      </c>
      <c r="D443" s="37">
        <v>57.00688</v>
      </c>
    </row>
    <row r="444" ht="14.25" customHeight="1">
      <c r="A444" s="4" t="s">
        <v>2505</v>
      </c>
      <c r="B444" s="37">
        <v>40.0</v>
      </c>
      <c r="C444" s="37">
        <v>96.917897</v>
      </c>
      <c r="D444" s="37">
        <v>56.917897</v>
      </c>
    </row>
    <row r="445" ht="14.25" customHeight="1">
      <c r="A445" s="4" t="s">
        <v>6383</v>
      </c>
      <c r="B445" s="37">
        <v>15.0</v>
      </c>
      <c r="C445" s="37">
        <v>71.897215</v>
      </c>
      <c r="D445" s="37">
        <v>56.897215</v>
      </c>
    </row>
    <row r="446" ht="14.25" customHeight="1">
      <c r="A446" s="4" t="s">
        <v>2278</v>
      </c>
      <c r="B446" s="37">
        <v>45.0</v>
      </c>
      <c r="C446" s="37">
        <v>101.70206</v>
      </c>
      <c r="D446" s="37">
        <v>56.70206</v>
      </c>
    </row>
    <row r="447" ht="14.25" customHeight="1">
      <c r="A447" s="4" t="s">
        <v>336</v>
      </c>
      <c r="B447" s="37">
        <v>150.0</v>
      </c>
      <c r="C447" s="37">
        <v>206.456431</v>
      </c>
      <c r="D447" s="37">
        <v>56.456431</v>
      </c>
    </row>
    <row r="448" ht="14.25" customHeight="1">
      <c r="A448" s="4" t="s">
        <v>1356</v>
      </c>
      <c r="B448" s="37">
        <v>80.0</v>
      </c>
      <c r="C448" s="37">
        <v>136.448821</v>
      </c>
      <c r="D448" s="37">
        <v>56.448821</v>
      </c>
    </row>
    <row r="449" ht="14.25" customHeight="1">
      <c r="A449" s="4" t="s">
        <v>339</v>
      </c>
      <c r="B449" s="37">
        <v>150.0</v>
      </c>
      <c r="C449" s="37">
        <v>206.435493</v>
      </c>
      <c r="D449" s="37">
        <v>56.435493</v>
      </c>
    </row>
    <row r="450" ht="14.25" customHeight="1">
      <c r="A450" s="4" t="s">
        <v>5073</v>
      </c>
      <c r="B450" s="37">
        <v>14.6</v>
      </c>
      <c r="C450" s="37">
        <v>70.906973</v>
      </c>
      <c r="D450" s="37">
        <v>56.306973</v>
      </c>
    </row>
    <row r="451" ht="14.25" customHeight="1">
      <c r="A451" s="4" t="s">
        <v>3185</v>
      </c>
      <c r="B451" s="37">
        <v>31.0</v>
      </c>
      <c r="C451" s="37">
        <v>87.1</v>
      </c>
      <c r="D451" s="37">
        <v>56.1</v>
      </c>
    </row>
    <row r="452" ht="14.25" customHeight="1">
      <c r="A452" s="4" t="s">
        <v>5089</v>
      </c>
      <c r="B452" s="37">
        <v>14.0</v>
      </c>
      <c r="C452" s="37">
        <v>70.001698</v>
      </c>
      <c r="D452" s="37">
        <v>56.001698</v>
      </c>
    </row>
    <row r="453" ht="14.25" customHeight="1">
      <c r="A453" s="4" t="s">
        <v>2036</v>
      </c>
      <c r="B453" s="37">
        <v>50.0</v>
      </c>
      <c r="C453" s="37">
        <v>105.80752</v>
      </c>
      <c r="D453" s="37">
        <v>55.80752</v>
      </c>
    </row>
    <row r="454" ht="14.25" customHeight="1">
      <c r="A454" s="4" t="s">
        <v>2280</v>
      </c>
      <c r="B454" s="37">
        <v>45.0</v>
      </c>
      <c r="C454" s="37">
        <v>100.768056</v>
      </c>
      <c r="D454" s="37">
        <v>55.768056</v>
      </c>
    </row>
    <row r="455" ht="14.25" customHeight="1">
      <c r="A455" s="4" t="s">
        <v>1990</v>
      </c>
      <c r="B455" s="37">
        <v>40.0</v>
      </c>
      <c r="C455" s="37">
        <v>95.720716</v>
      </c>
      <c r="D455" s="37">
        <v>55.720716</v>
      </c>
    </row>
    <row r="456" ht="14.25" customHeight="1">
      <c r="A456" s="4" t="s">
        <v>4011</v>
      </c>
      <c r="B456" s="37">
        <v>20.0</v>
      </c>
      <c r="C456" s="37">
        <v>75.597042</v>
      </c>
      <c r="D456" s="37">
        <v>55.597042</v>
      </c>
    </row>
    <row r="457" ht="14.25" customHeight="1">
      <c r="A457" s="4" t="s">
        <v>3224</v>
      </c>
      <c r="B457" s="37">
        <v>30.0</v>
      </c>
      <c r="C457" s="37">
        <v>85.416609</v>
      </c>
      <c r="D457" s="37">
        <v>55.416609</v>
      </c>
    </row>
    <row r="458" ht="14.25" customHeight="1">
      <c r="A458" s="4" t="s">
        <v>887</v>
      </c>
      <c r="B458" s="37">
        <v>100.0</v>
      </c>
      <c r="C458" s="37">
        <v>155.370362</v>
      </c>
      <c r="D458" s="37">
        <v>55.370362</v>
      </c>
    </row>
    <row r="459" ht="14.25" customHeight="1">
      <c r="A459" s="4" t="s">
        <v>340</v>
      </c>
      <c r="B459" s="37">
        <v>150.0</v>
      </c>
      <c r="C459" s="37">
        <v>205.343774</v>
      </c>
      <c r="D459" s="37">
        <v>55.343774</v>
      </c>
    </row>
    <row r="460" ht="14.25" customHeight="1">
      <c r="A460" s="4" t="s">
        <v>4658</v>
      </c>
      <c r="B460" s="37">
        <v>17.0</v>
      </c>
      <c r="C460" s="37">
        <v>72.219395</v>
      </c>
      <c r="D460" s="37">
        <v>55.219395</v>
      </c>
    </row>
    <row r="461" ht="14.25" customHeight="1">
      <c r="A461" s="4" t="s">
        <v>2828</v>
      </c>
      <c r="B461" s="37">
        <v>37.0</v>
      </c>
      <c r="C461" s="37">
        <v>92.173235</v>
      </c>
      <c r="D461" s="37">
        <v>55.173235</v>
      </c>
    </row>
    <row r="462" ht="14.25" customHeight="1">
      <c r="A462" s="4" t="s">
        <v>2279</v>
      </c>
      <c r="B462" s="37">
        <v>40.0</v>
      </c>
      <c r="C462" s="37">
        <v>95.149435</v>
      </c>
      <c r="D462" s="37">
        <v>55.149435</v>
      </c>
    </row>
    <row r="463" ht="14.25" customHeight="1">
      <c r="A463" s="4" t="s">
        <v>4511</v>
      </c>
      <c r="B463" s="37">
        <v>20.0</v>
      </c>
      <c r="C463" s="37">
        <v>75.072454</v>
      </c>
      <c r="D463" s="37">
        <v>55.072454</v>
      </c>
    </row>
    <row r="464" ht="14.25" customHeight="1">
      <c r="A464" s="4" t="s">
        <v>3680</v>
      </c>
      <c r="B464" s="37">
        <v>25.0</v>
      </c>
      <c r="C464" s="37">
        <v>80.034302</v>
      </c>
      <c r="D464" s="37">
        <v>55.034302</v>
      </c>
    </row>
    <row r="465" ht="14.25" customHeight="1">
      <c r="A465" s="4" t="s">
        <v>3794</v>
      </c>
      <c r="B465" s="37">
        <v>25.0</v>
      </c>
      <c r="C465" s="37">
        <v>80.014842</v>
      </c>
      <c r="D465" s="37">
        <v>55.014842</v>
      </c>
    </row>
    <row r="466" ht="14.25" customHeight="1">
      <c r="A466" s="4" t="s">
        <v>2523</v>
      </c>
      <c r="B466" s="37">
        <v>40.0</v>
      </c>
      <c r="C466" s="37">
        <v>95.001343</v>
      </c>
      <c r="D466" s="37">
        <v>55.001343</v>
      </c>
    </row>
    <row r="467" ht="14.25" customHeight="1">
      <c r="A467" s="4" t="s">
        <v>4656</v>
      </c>
      <c r="B467" s="37">
        <v>17.0</v>
      </c>
      <c r="C467" s="37">
        <v>72.0</v>
      </c>
      <c r="D467" s="37">
        <v>55.0</v>
      </c>
    </row>
    <row r="468" ht="14.25" customHeight="1">
      <c r="A468" s="4" t="s">
        <v>5327</v>
      </c>
      <c r="B468" s="37">
        <v>25.0</v>
      </c>
      <c r="C468" s="37">
        <v>79.817937</v>
      </c>
      <c r="D468" s="37">
        <v>54.817937</v>
      </c>
    </row>
    <row r="469" ht="14.25" customHeight="1">
      <c r="A469" s="4" t="s">
        <v>5850</v>
      </c>
      <c r="B469" s="37">
        <v>9.0</v>
      </c>
      <c r="C469" s="37">
        <v>63.6</v>
      </c>
      <c r="D469" s="37">
        <v>54.6</v>
      </c>
    </row>
    <row r="470" ht="14.25" customHeight="1">
      <c r="A470" s="4" t="s">
        <v>544</v>
      </c>
      <c r="B470" s="37">
        <v>65.0</v>
      </c>
      <c r="C470" s="37">
        <v>119.412921</v>
      </c>
      <c r="D470" s="37">
        <v>54.412921</v>
      </c>
    </row>
    <row r="471" ht="14.25" customHeight="1">
      <c r="A471" s="4" t="s">
        <v>1965</v>
      </c>
      <c r="B471" s="37">
        <v>54.0</v>
      </c>
      <c r="C471" s="37">
        <v>108.2</v>
      </c>
      <c r="D471" s="37">
        <v>54.2</v>
      </c>
    </row>
    <row r="472" ht="14.25" customHeight="1">
      <c r="A472" s="4" t="s">
        <v>1340</v>
      </c>
      <c r="B472" s="37">
        <v>60.0</v>
      </c>
      <c r="C472" s="37">
        <v>114.195633</v>
      </c>
      <c r="D472" s="37">
        <v>54.195633</v>
      </c>
    </row>
    <row r="473" ht="14.25" customHeight="1">
      <c r="A473" s="4" t="s">
        <v>2522</v>
      </c>
      <c r="B473" s="37">
        <v>40.0</v>
      </c>
      <c r="C473" s="37">
        <v>94.125426</v>
      </c>
      <c r="D473" s="37">
        <v>54.125426</v>
      </c>
    </row>
    <row r="474" ht="14.25" customHeight="1">
      <c r="A474" s="4" t="s">
        <v>7227</v>
      </c>
      <c r="B474" s="37">
        <v>1.2</v>
      </c>
      <c r="C474" s="37">
        <v>55.153403</v>
      </c>
      <c r="D474" s="37">
        <v>53.953403</v>
      </c>
    </row>
    <row r="475" ht="14.25" customHeight="1">
      <c r="A475" s="4" t="s">
        <v>2508</v>
      </c>
      <c r="B475" s="37">
        <v>40.0</v>
      </c>
      <c r="C475" s="37">
        <v>93.952276</v>
      </c>
      <c r="D475" s="37">
        <v>53.952276</v>
      </c>
    </row>
    <row r="476" ht="14.25" customHeight="1">
      <c r="A476" s="4" t="s">
        <v>5091</v>
      </c>
      <c r="B476" s="37">
        <v>15.0</v>
      </c>
      <c r="C476" s="37">
        <v>68.856263</v>
      </c>
      <c r="D476" s="37">
        <v>53.856263</v>
      </c>
    </row>
    <row r="477" ht="14.25" customHeight="1">
      <c r="A477" s="4" t="s">
        <v>1079</v>
      </c>
      <c r="B477" s="37">
        <v>80.0</v>
      </c>
      <c r="C477" s="37">
        <v>133.668525</v>
      </c>
      <c r="D477" s="37">
        <v>53.668525</v>
      </c>
    </row>
    <row r="478" ht="14.25" customHeight="1">
      <c r="A478" s="4" t="s">
        <v>3683</v>
      </c>
      <c r="B478" s="37">
        <v>25.0</v>
      </c>
      <c r="C478" s="37">
        <v>78.656813</v>
      </c>
      <c r="D478" s="37">
        <v>53.656813</v>
      </c>
    </row>
    <row r="479" ht="14.25" customHeight="1">
      <c r="A479" s="4" t="s">
        <v>954</v>
      </c>
      <c r="B479" s="37">
        <v>90.0</v>
      </c>
      <c r="C479" s="37">
        <v>143.618384</v>
      </c>
      <c r="D479" s="37">
        <v>53.618384</v>
      </c>
    </row>
    <row r="480" ht="14.25" customHeight="1">
      <c r="A480" s="4" t="s">
        <v>5335</v>
      </c>
      <c r="B480" s="37">
        <v>12.0</v>
      </c>
      <c r="C480" s="37">
        <v>65.5</v>
      </c>
      <c r="D480" s="37">
        <v>53.5</v>
      </c>
    </row>
    <row r="481" ht="14.25" customHeight="1">
      <c r="A481" s="4" t="s">
        <v>4667</v>
      </c>
      <c r="B481" s="37">
        <v>17.0</v>
      </c>
      <c r="C481" s="37">
        <v>70.492685</v>
      </c>
      <c r="D481" s="37">
        <v>53.492685</v>
      </c>
    </row>
    <row r="482" ht="14.25" customHeight="1">
      <c r="A482" s="4" t="s">
        <v>3474</v>
      </c>
      <c r="B482" s="37">
        <v>28.0</v>
      </c>
      <c r="C482" s="37">
        <v>81.350242</v>
      </c>
      <c r="D482" s="37">
        <v>53.350242</v>
      </c>
    </row>
    <row r="483" ht="14.25" customHeight="1">
      <c r="A483" s="4" t="s">
        <v>5582</v>
      </c>
      <c r="B483" s="37">
        <v>10.0</v>
      </c>
      <c r="C483" s="37">
        <v>63.319509</v>
      </c>
      <c r="D483" s="37">
        <v>53.319509</v>
      </c>
    </row>
    <row r="484" ht="14.25" customHeight="1">
      <c r="A484" s="4" t="s">
        <v>6343</v>
      </c>
      <c r="B484" s="37">
        <v>5.5</v>
      </c>
      <c r="C484" s="37">
        <v>58.8</v>
      </c>
      <c r="D484" s="37">
        <v>53.3</v>
      </c>
    </row>
    <row r="485" ht="14.25" customHeight="1">
      <c r="A485" s="4" t="s">
        <v>5583</v>
      </c>
      <c r="B485" s="37">
        <v>10.0</v>
      </c>
      <c r="C485" s="37">
        <v>63.270259</v>
      </c>
      <c r="D485" s="37">
        <v>53.270259</v>
      </c>
    </row>
    <row r="486" ht="14.25" customHeight="1">
      <c r="A486" s="4" t="s">
        <v>5341</v>
      </c>
      <c r="B486" s="37">
        <v>12.0</v>
      </c>
      <c r="C486" s="37">
        <v>65.26901</v>
      </c>
      <c r="D486" s="37">
        <v>53.26901</v>
      </c>
    </row>
    <row r="487" ht="14.25" customHeight="1">
      <c r="A487" s="4" t="s">
        <v>1085</v>
      </c>
      <c r="B487" s="37">
        <v>75.0</v>
      </c>
      <c r="C487" s="37">
        <v>128.200012</v>
      </c>
      <c r="D487" s="37">
        <v>53.200012</v>
      </c>
    </row>
    <row r="488" ht="14.25" customHeight="1">
      <c r="A488" s="4" t="s">
        <v>4742</v>
      </c>
      <c r="B488" s="37">
        <v>15.6</v>
      </c>
      <c r="C488" s="37">
        <v>68.525609</v>
      </c>
      <c r="D488" s="37">
        <v>52.925609</v>
      </c>
    </row>
    <row r="489" ht="14.25" customHeight="1">
      <c r="A489" s="4" t="s">
        <v>5347</v>
      </c>
      <c r="B489" s="37">
        <v>12.0</v>
      </c>
      <c r="C489" s="37">
        <v>64.572496</v>
      </c>
      <c r="D489" s="37">
        <v>52.572496</v>
      </c>
    </row>
    <row r="490" ht="14.25" customHeight="1">
      <c r="A490" s="4" t="s">
        <v>7160</v>
      </c>
      <c r="B490" s="37">
        <v>1.5</v>
      </c>
      <c r="C490" s="37">
        <v>53.991137</v>
      </c>
      <c r="D490" s="37">
        <v>52.491137</v>
      </c>
    </row>
    <row r="491" ht="14.25" customHeight="1">
      <c r="A491" s="4" t="s">
        <v>276</v>
      </c>
      <c r="B491" s="37">
        <v>165.0</v>
      </c>
      <c r="C491" s="37">
        <v>217.387997</v>
      </c>
      <c r="D491" s="37">
        <v>52.387997</v>
      </c>
    </row>
    <row r="492" ht="14.25" customHeight="1">
      <c r="A492" s="4" t="s">
        <v>4142</v>
      </c>
      <c r="B492" s="37">
        <v>18.0</v>
      </c>
      <c r="C492" s="37">
        <v>70.360285</v>
      </c>
      <c r="D492" s="37">
        <v>52.360285</v>
      </c>
    </row>
    <row r="493" ht="14.25" customHeight="1">
      <c r="A493" s="4" t="s">
        <v>173</v>
      </c>
      <c r="B493" s="37">
        <v>185.0</v>
      </c>
      <c r="C493" s="37">
        <v>237.282182</v>
      </c>
      <c r="D493" s="37">
        <v>52.282182</v>
      </c>
    </row>
    <row r="494" ht="14.25" customHeight="1">
      <c r="A494" s="4" t="s">
        <v>3696</v>
      </c>
      <c r="B494" s="37">
        <v>25.0</v>
      </c>
      <c r="C494" s="37">
        <v>77.264926</v>
      </c>
      <c r="D494" s="37">
        <v>52.264926</v>
      </c>
    </row>
    <row r="495" ht="14.25" customHeight="1">
      <c r="A495" s="4" t="s">
        <v>7300</v>
      </c>
      <c r="B495" s="37">
        <v>1.0</v>
      </c>
      <c r="C495" s="37">
        <v>53.245055</v>
      </c>
      <c r="D495" s="37">
        <v>52.245055</v>
      </c>
    </row>
    <row r="496" ht="14.25" customHeight="1">
      <c r="A496" s="4" t="s">
        <v>610</v>
      </c>
      <c r="B496" s="37">
        <v>135.0</v>
      </c>
      <c r="C496" s="37">
        <v>187.165546</v>
      </c>
      <c r="D496" s="37">
        <v>52.165546</v>
      </c>
    </row>
    <row r="497" ht="14.25" customHeight="1">
      <c r="A497" s="4" t="s">
        <v>3677</v>
      </c>
      <c r="B497" s="37">
        <v>30.0</v>
      </c>
      <c r="C497" s="37">
        <v>82.163317</v>
      </c>
      <c r="D497" s="37">
        <v>52.163317</v>
      </c>
    </row>
    <row r="498" ht="14.25" customHeight="1">
      <c r="A498" s="4" t="s">
        <v>1867</v>
      </c>
      <c r="B498" s="37">
        <v>55.0</v>
      </c>
      <c r="C498" s="37">
        <v>107.100855</v>
      </c>
      <c r="D498" s="37">
        <v>52.100855</v>
      </c>
    </row>
    <row r="499" ht="14.25" customHeight="1">
      <c r="A499" s="4" t="s">
        <v>3959</v>
      </c>
      <c r="B499" s="37">
        <v>23.6</v>
      </c>
      <c r="C499" s="37">
        <v>75.590286</v>
      </c>
      <c r="D499" s="37">
        <v>51.990286</v>
      </c>
    </row>
    <row r="500" ht="14.25" customHeight="1">
      <c r="A500" s="4" t="s">
        <v>47</v>
      </c>
      <c r="B500" s="37">
        <v>250.0</v>
      </c>
      <c r="C500" s="37">
        <v>301.95698</v>
      </c>
      <c r="D500" s="37">
        <v>51.95698</v>
      </c>
    </row>
    <row r="501" ht="14.25" customHeight="1">
      <c r="A501" s="4" t="s">
        <v>5931</v>
      </c>
      <c r="B501" s="37">
        <v>8.0</v>
      </c>
      <c r="C501" s="37">
        <v>59.889948</v>
      </c>
      <c r="D501" s="37">
        <v>51.889948</v>
      </c>
    </row>
    <row r="502" ht="14.25" customHeight="1">
      <c r="A502" s="4" t="s">
        <v>2907</v>
      </c>
      <c r="B502" s="37">
        <v>27.0</v>
      </c>
      <c r="C502" s="37">
        <v>78.65143</v>
      </c>
      <c r="D502" s="37">
        <v>51.65143</v>
      </c>
    </row>
    <row r="503" ht="14.25" customHeight="1">
      <c r="A503" s="4" t="s">
        <v>6387</v>
      </c>
      <c r="B503" s="37">
        <v>4.9</v>
      </c>
      <c r="C503" s="37">
        <v>56.536016</v>
      </c>
      <c r="D503" s="37">
        <v>51.636016</v>
      </c>
    </row>
    <row r="504" ht="14.25" customHeight="1">
      <c r="A504" s="4" t="s">
        <v>4851</v>
      </c>
      <c r="B504" s="37">
        <v>20.0</v>
      </c>
      <c r="C504" s="37">
        <v>71.58822</v>
      </c>
      <c r="D504" s="37">
        <v>51.58822</v>
      </c>
    </row>
    <row r="505" ht="14.25" customHeight="1">
      <c r="A505" s="4" t="s">
        <v>6189</v>
      </c>
      <c r="B505" s="37">
        <v>6.0</v>
      </c>
      <c r="C505" s="37">
        <v>57.504069</v>
      </c>
      <c r="D505" s="37">
        <v>51.504069</v>
      </c>
    </row>
    <row r="506" ht="14.25" customHeight="1">
      <c r="A506" s="4" t="s">
        <v>4790</v>
      </c>
      <c r="B506" s="37">
        <v>26.0</v>
      </c>
      <c r="C506" s="37">
        <v>77.324422</v>
      </c>
      <c r="D506" s="37">
        <v>51.324422</v>
      </c>
    </row>
    <row r="507" ht="14.25" customHeight="1">
      <c r="A507" s="4" t="s">
        <v>3684</v>
      </c>
      <c r="B507" s="37">
        <v>25.0</v>
      </c>
      <c r="C507" s="37">
        <v>76.270454</v>
      </c>
      <c r="D507" s="37">
        <v>51.270454</v>
      </c>
    </row>
    <row r="508" ht="14.25" customHeight="1">
      <c r="A508" s="4" t="s">
        <v>5075</v>
      </c>
      <c r="B508" s="37">
        <v>14.8</v>
      </c>
      <c r="C508" s="37">
        <v>66.009973</v>
      </c>
      <c r="D508" s="37">
        <v>51.209973</v>
      </c>
    </row>
    <row r="509" ht="14.25" customHeight="1">
      <c r="A509" s="4" t="s">
        <v>2525</v>
      </c>
      <c r="B509" s="37">
        <v>35.0</v>
      </c>
      <c r="C509" s="37">
        <v>86.20801</v>
      </c>
      <c r="D509" s="37">
        <v>51.20801</v>
      </c>
    </row>
    <row r="510" ht="14.25" customHeight="1">
      <c r="A510" s="4" t="s">
        <v>1206</v>
      </c>
      <c r="B510" s="37">
        <v>76.0</v>
      </c>
      <c r="C510" s="37">
        <v>127.083765</v>
      </c>
      <c r="D510" s="37">
        <v>51.083765</v>
      </c>
    </row>
    <row r="511" ht="14.25" customHeight="1">
      <c r="A511" s="4" t="s">
        <v>5344</v>
      </c>
      <c r="B511" s="37">
        <v>12.0</v>
      </c>
      <c r="C511" s="37">
        <v>63.071133</v>
      </c>
      <c r="D511" s="37">
        <v>51.071133</v>
      </c>
    </row>
    <row r="512" ht="14.25" customHeight="1">
      <c r="A512" s="4" t="s">
        <v>3678</v>
      </c>
      <c r="B512" s="37">
        <v>30.0</v>
      </c>
      <c r="C512" s="37">
        <v>80.920948</v>
      </c>
      <c r="D512" s="37">
        <v>50.920948</v>
      </c>
    </row>
    <row r="513" ht="14.25" customHeight="1">
      <c r="A513" s="4" t="s">
        <v>2774</v>
      </c>
      <c r="B513" s="37">
        <v>38.0</v>
      </c>
      <c r="C513" s="37">
        <v>88.915214</v>
      </c>
      <c r="D513" s="37">
        <v>50.915214</v>
      </c>
    </row>
    <row r="514" ht="14.25" customHeight="1">
      <c r="A514" s="4" t="s">
        <v>2529</v>
      </c>
      <c r="B514" s="37">
        <v>40.0</v>
      </c>
      <c r="C514" s="37">
        <v>90.83503</v>
      </c>
      <c r="D514" s="37">
        <v>50.83503</v>
      </c>
    </row>
    <row r="515" ht="14.25" customHeight="1">
      <c r="A515" s="4" t="s">
        <v>1498</v>
      </c>
      <c r="B515" s="37">
        <v>65.0</v>
      </c>
      <c r="C515" s="37">
        <v>115.731542</v>
      </c>
      <c r="D515" s="37">
        <v>50.731542</v>
      </c>
    </row>
    <row r="516" ht="14.25" customHeight="1">
      <c r="A516" s="4" t="s">
        <v>3918</v>
      </c>
      <c r="B516" s="37">
        <v>24.0</v>
      </c>
      <c r="C516" s="37">
        <v>74.608545</v>
      </c>
      <c r="D516" s="37">
        <v>50.608545</v>
      </c>
    </row>
    <row r="517" ht="14.25" customHeight="1">
      <c r="A517" s="4" t="s">
        <v>1505</v>
      </c>
      <c r="B517" s="37">
        <v>65.0</v>
      </c>
      <c r="C517" s="37">
        <v>115.60398</v>
      </c>
      <c r="D517" s="37">
        <v>50.60398</v>
      </c>
    </row>
    <row r="518" ht="14.25" customHeight="1">
      <c r="A518" s="4" t="s">
        <v>1446</v>
      </c>
      <c r="B518" s="37">
        <v>68.0</v>
      </c>
      <c r="C518" s="37">
        <v>118.47132</v>
      </c>
      <c r="D518" s="37">
        <v>50.47132</v>
      </c>
    </row>
    <row r="519" ht="14.25" customHeight="1">
      <c r="A519" s="4" t="s">
        <v>418</v>
      </c>
      <c r="B519" s="37">
        <v>140.0</v>
      </c>
      <c r="C519" s="37">
        <v>190.418803</v>
      </c>
      <c r="D519" s="37">
        <v>50.418803</v>
      </c>
    </row>
    <row r="520" ht="14.25" customHeight="1">
      <c r="A520" s="4" t="s">
        <v>5970</v>
      </c>
      <c r="B520" s="37">
        <v>8.0</v>
      </c>
      <c r="C520" s="37">
        <v>58.401464</v>
      </c>
      <c r="D520" s="37">
        <v>50.401464</v>
      </c>
    </row>
    <row r="521" ht="14.25" customHeight="1">
      <c r="A521" s="4" t="s">
        <v>2518</v>
      </c>
      <c r="B521" s="37">
        <v>40.0</v>
      </c>
      <c r="C521" s="37">
        <v>90.353764</v>
      </c>
      <c r="D521" s="37">
        <v>50.353764</v>
      </c>
    </row>
    <row r="522" ht="14.25" customHeight="1">
      <c r="A522" s="4" t="s">
        <v>1871</v>
      </c>
      <c r="B522" s="37">
        <v>50.0</v>
      </c>
      <c r="C522" s="37">
        <v>100.328194</v>
      </c>
      <c r="D522" s="37">
        <v>50.328194</v>
      </c>
    </row>
    <row r="523" ht="14.25" customHeight="1">
      <c r="A523" s="4" t="s">
        <v>1080</v>
      </c>
      <c r="B523" s="37">
        <v>80.0</v>
      </c>
      <c r="C523" s="37">
        <v>130.313314</v>
      </c>
      <c r="D523" s="37">
        <v>50.313314</v>
      </c>
    </row>
    <row r="524" ht="14.25" customHeight="1">
      <c r="A524" s="4" t="s">
        <v>4138</v>
      </c>
      <c r="B524" s="37">
        <v>32.0</v>
      </c>
      <c r="C524" s="37">
        <v>82.301521</v>
      </c>
      <c r="D524" s="37">
        <v>50.301521</v>
      </c>
    </row>
    <row r="525" ht="14.25" customHeight="1">
      <c r="A525" s="4" t="s">
        <v>1863</v>
      </c>
      <c r="B525" s="37">
        <v>55.0</v>
      </c>
      <c r="C525" s="37">
        <v>105.263257</v>
      </c>
      <c r="D525" s="37">
        <v>50.263257</v>
      </c>
    </row>
    <row r="526" ht="14.25" customHeight="1">
      <c r="A526" s="4" t="s">
        <v>491</v>
      </c>
      <c r="B526" s="37">
        <v>130.0</v>
      </c>
      <c r="C526" s="37">
        <v>180.191634</v>
      </c>
      <c r="D526" s="37">
        <v>50.191634</v>
      </c>
    </row>
    <row r="527" ht="14.25" customHeight="1">
      <c r="A527" s="4" t="s">
        <v>1359</v>
      </c>
      <c r="B527" s="37">
        <v>70.0</v>
      </c>
      <c r="C527" s="37">
        <v>119.6549</v>
      </c>
      <c r="D527" s="37">
        <v>49.6549</v>
      </c>
    </row>
    <row r="528" ht="14.25" customHeight="1">
      <c r="A528" s="4" t="s">
        <v>3233</v>
      </c>
      <c r="B528" s="37">
        <v>30.0</v>
      </c>
      <c r="C528" s="37">
        <v>79.566871</v>
      </c>
      <c r="D528" s="37">
        <v>49.566871</v>
      </c>
    </row>
    <row r="529" ht="14.25" customHeight="1">
      <c r="A529" s="4" t="s">
        <v>1866</v>
      </c>
      <c r="B529" s="37">
        <v>55.0</v>
      </c>
      <c r="C529" s="37">
        <v>104.354205</v>
      </c>
      <c r="D529" s="37">
        <v>49.354205</v>
      </c>
    </row>
    <row r="530" ht="14.25" customHeight="1">
      <c r="A530" s="4" t="s">
        <v>3685</v>
      </c>
      <c r="B530" s="37">
        <v>25.0</v>
      </c>
      <c r="C530" s="37">
        <v>74.273505</v>
      </c>
      <c r="D530" s="37">
        <v>49.273505</v>
      </c>
    </row>
    <row r="531" ht="14.25" customHeight="1">
      <c r="A531" s="4" t="s">
        <v>1628</v>
      </c>
      <c r="B531" s="37">
        <v>60.0</v>
      </c>
      <c r="C531" s="37">
        <v>109.176215</v>
      </c>
      <c r="D531" s="37">
        <v>49.176215</v>
      </c>
    </row>
    <row r="532" ht="14.25" customHeight="1">
      <c r="A532" s="4" t="s">
        <v>2514</v>
      </c>
      <c r="B532" s="37">
        <v>40.0</v>
      </c>
      <c r="C532" s="37">
        <v>89.138076</v>
      </c>
      <c r="D532" s="37">
        <v>49.138076</v>
      </c>
    </row>
    <row r="533" ht="14.25" customHeight="1">
      <c r="A533" s="4" t="s">
        <v>4849</v>
      </c>
      <c r="B533" s="37">
        <v>15.0</v>
      </c>
      <c r="C533" s="37">
        <v>64.001297</v>
      </c>
      <c r="D533" s="37">
        <v>49.001297</v>
      </c>
    </row>
    <row r="534" ht="14.25" customHeight="1">
      <c r="A534" s="4" t="s">
        <v>6397</v>
      </c>
      <c r="B534" s="37">
        <v>5.0</v>
      </c>
      <c r="C534" s="37">
        <v>53.884821</v>
      </c>
      <c r="D534" s="37">
        <v>48.884821</v>
      </c>
    </row>
    <row r="535" ht="14.25" customHeight="1">
      <c r="A535" s="4" t="s">
        <v>6241</v>
      </c>
      <c r="B535" s="37">
        <v>6.0</v>
      </c>
      <c r="C535" s="37">
        <v>54.8</v>
      </c>
      <c r="D535" s="37">
        <v>48.8</v>
      </c>
    </row>
    <row r="536" ht="14.25" customHeight="1">
      <c r="A536" s="4" t="s">
        <v>5183</v>
      </c>
      <c r="B536" s="37">
        <v>13.0</v>
      </c>
      <c r="C536" s="37">
        <v>61.693523</v>
      </c>
      <c r="D536" s="37">
        <v>48.693523</v>
      </c>
    </row>
    <row r="537" ht="14.25" customHeight="1">
      <c r="A537" s="4" t="s">
        <v>1609</v>
      </c>
      <c r="B537" s="37">
        <v>58.0</v>
      </c>
      <c r="C537" s="37">
        <v>106.635996</v>
      </c>
      <c r="D537" s="37">
        <v>48.635996</v>
      </c>
    </row>
    <row r="538" ht="14.25" customHeight="1">
      <c r="A538" s="4" t="s">
        <v>478</v>
      </c>
      <c r="B538" s="37">
        <v>135.0</v>
      </c>
      <c r="C538" s="37">
        <v>183.635922</v>
      </c>
      <c r="D538" s="37">
        <v>48.635922</v>
      </c>
    </row>
    <row r="539" ht="14.25" customHeight="1">
      <c r="A539" s="4" t="s">
        <v>4512</v>
      </c>
      <c r="B539" s="37">
        <v>17.0</v>
      </c>
      <c r="C539" s="37">
        <v>65.535067</v>
      </c>
      <c r="D539" s="37">
        <v>48.535067</v>
      </c>
    </row>
    <row r="540" ht="14.25" customHeight="1">
      <c r="A540" s="4" t="s">
        <v>2283</v>
      </c>
      <c r="B540" s="37">
        <v>45.0</v>
      </c>
      <c r="C540" s="37">
        <v>93.452056</v>
      </c>
      <c r="D540" s="37">
        <v>48.452056</v>
      </c>
    </row>
    <row r="541" ht="14.25" customHeight="1">
      <c r="A541" s="4" t="s">
        <v>726</v>
      </c>
      <c r="B541" s="37">
        <v>100.0</v>
      </c>
      <c r="C541" s="37">
        <v>148.38378</v>
      </c>
      <c r="D541" s="37">
        <v>48.38378</v>
      </c>
    </row>
    <row r="542" ht="14.25" customHeight="1">
      <c r="A542" s="4" t="s">
        <v>2930</v>
      </c>
      <c r="B542" s="37">
        <v>35.0</v>
      </c>
      <c r="C542" s="37">
        <v>83.299761</v>
      </c>
      <c r="D542" s="37">
        <v>48.299761</v>
      </c>
    </row>
    <row r="543" ht="14.25" customHeight="1">
      <c r="A543" s="4" t="s">
        <v>6560</v>
      </c>
      <c r="B543" s="37">
        <v>4.5</v>
      </c>
      <c r="C543" s="37">
        <v>52.700832</v>
      </c>
      <c r="D543" s="37">
        <v>48.200832</v>
      </c>
    </row>
    <row r="544" ht="14.25" customHeight="1">
      <c r="A544" s="4" t="s">
        <v>3131</v>
      </c>
      <c r="B544" s="37">
        <v>32.0</v>
      </c>
      <c r="C544" s="37">
        <v>80.197993</v>
      </c>
      <c r="D544" s="37">
        <v>48.197993</v>
      </c>
    </row>
    <row r="545" ht="14.25" customHeight="1">
      <c r="A545" s="4" t="s">
        <v>6782</v>
      </c>
      <c r="B545" s="37">
        <v>3.0</v>
      </c>
      <c r="C545" s="37">
        <v>51.1</v>
      </c>
      <c r="D545" s="37">
        <v>48.1</v>
      </c>
    </row>
    <row r="546" ht="14.25" customHeight="1">
      <c r="A546" s="4" t="s">
        <v>5736</v>
      </c>
      <c r="B546" s="37">
        <v>6.5</v>
      </c>
      <c r="C546" s="37">
        <v>54.557348</v>
      </c>
      <c r="D546" s="37">
        <v>48.057348</v>
      </c>
    </row>
    <row r="547" ht="14.25" customHeight="1">
      <c r="A547" s="4" t="s">
        <v>4684</v>
      </c>
      <c r="B547" s="37">
        <v>17.0</v>
      </c>
      <c r="C547" s="37">
        <v>64.998368</v>
      </c>
      <c r="D547" s="37">
        <v>47.998368</v>
      </c>
    </row>
    <row r="548" ht="14.25" customHeight="1">
      <c r="A548" s="4" t="s">
        <v>1082</v>
      </c>
      <c r="B548" s="37">
        <v>80.0</v>
      </c>
      <c r="C548" s="37">
        <v>127.968405</v>
      </c>
      <c r="D548" s="37">
        <v>47.968405</v>
      </c>
    </row>
    <row r="549" ht="14.25" customHeight="1">
      <c r="A549" s="4" t="s">
        <v>6191</v>
      </c>
      <c r="B549" s="37">
        <v>6.5</v>
      </c>
      <c r="C549" s="37">
        <v>54.215416</v>
      </c>
      <c r="D549" s="37">
        <v>47.715416</v>
      </c>
    </row>
    <row r="550" ht="14.25" customHeight="1">
      <c r="A550" s="4" t="s">
        <v>5828</v>
      </c>
      <c r="B550" s="37">
        <v>9.5</v>
      </c>
      <c r="C550" s="37">
        <v>57.176582</v>
      </c>
      <c r="D550" s="37">
        <v>47.676582</v>
      </c>
    </row>
    <row r="551" ht="14.25" customHeight="1">
      <c r="A551" s="4" t="s">
        <v>2516</v>
      </c>
      <c r="B551" s="37">
        <v>40.0</v>
      </c>
      <c r="C551" s="37">
        <v>87.666629</v>
      </c>
      <c r="D551" s="37">
        <v>47.666629</v>
      </c>
    </row>
    <row r="552" ht="14.25" customHeight="1">
      <c r="A552" s="4" t="s">
        <v>2778</v>
      </c>
      <c r="B552" s="37">
        <v>38.0</v>
      </c>
      <c r="C552" s="37">
        <v>85.570368</v>
      </c>
      <c r="D552" s="37">
        <v>47.570368</v>
      </c>
    </row>
    <row r="553" ht="14.25" customHeight="1">
      <c r="A553" s="4" t="s">
        <v>1360</v>
      </c>
      <c r="B553" s="37">
        <v>70.0</v>
      </c>
      <c r="C553" s="37">
        <v>117.541</v>
      </c>
      <c r="D553" s="37">
        <v>47.541</v>
      </c>
    </row>
    <row r="554" ht="14.25" customHeight="1">
      <c r="A554" s="4" t="s">
        <v>5094</v>
      </c>
      <c r="B554" s="37">
        <v>14.0</v>
      </c>
      <c r="C554" s="37">
        <v>61.356221</v>
      </c>
      <c r="D554" s="37">
        <v>47.356221</v>
      </c>
    </row>
    <row r="555" ht="14.25" customHeight="1">
      <c r="A555" s="4" t="s">
        <v>4147</v>
      </c>
      <c r="B555" s="37">
        <v>20.0</v>
      </c>
      <c r="C555" s="37">
        <v>67.325559</v>
      </c>
      <c r="D555" s="37">
        <v>47.325559</v>
      </c>
    </row>
    <row r="556" ht="14.25" customHeight="1">
      <c r="A556" s="4" t="s">
        <v>2220</v>
      </c>
      <c r="B556" s="37">
        <v>48.0</v>
      </c>
      <c r="C556" s="37">
        <v>95.308367</v>
      </c>
      <c r="D556" s="37">
        <v>47.308367</v>
      </c>
    </row>
    <row r="557" ht="14.25" customHeight="1">
      <c r="A557" s="4" t="s">
        <v>2898</v>
      </c>
      <c r="B557" s="37">
        <v>35.0</v>
      </c>
      <c r="C557" s="37">
        <v>82.3</v>
      </c>
      <c r="D557" s="37">
        <v>47.3</v>
      </c>
    </row>
    <row r="558" ht="14.25" customHeight="1">
      <c r="A558" s="4" t="s">
        <v>3176</v>
      </c>
      <c r="B558" s="37">
        <v>31.5</v>
      </c>
      <c r="C558" s="37">
        <v>78.8</v>
      </c>
      <c r="D558" s="37">
        <v>47.3</v>
      </c>
    </row>
    <row r="559" ht="14.25" customHeight="1">
      <c r="A559" s="4" t="s">
        <v>2282</v>
      </c>
      <c r="B559" s="37">
        <v>45.0</v>
      </c>
      <c r="C559" s="37">
        <v>92.115211</v>
      </c>
      <c r="D559" s="37">
        <v>47.115211</v>
      </c>
    </row>
    <row r="560" ht="14.25" customHeight="1">
      <c r="A560" s="4" t="s">
        <v>5202</v>
      </c>
      <c r="B560" s="37">
        <v>13.0</v>
      </c>
      <c r="C560" s="37">
        <v>60.008303</v>
      </c>
      <c r="D560" s="37">
        <v>47.008303</v>
      </c>
    </row>
    <row r="561" ht="14.25" customHeight="1">
      <c r="A561" s="4" t="s">
        <v>2258</v>
      </c>
      <c r="B561" s="37">
        <v>45.0</v>
      </c>
      <c r="C561" s="37">
        <v>92.001027</v>
      </c>
      <c r="D561" s="37">
        <v>47.001027</v>
      </c>
    </row>
    <row r="562" ht="14.25" customHeight="1">
      <c r="A562" s="4" t="s">
        <v>4000</v>
      </c>
      <c r="B562" s="37">
        <v>25.0</v>
      </c>
      <c r="C562" s="37">
        <v>71.975611</v>
      </c>
      <c r="D562" s="37">
        <v>46.975611</v>
      </c>
    </row>
    <row r="563" ht="14.25" customHeight="1">
      <c r="A563" s="4" t="s">
        <v>4518</v>
      </c>
      <c r="B563" s="37">
        <v>18.0</v>
      </c>
      <c r="C563" s="37">
        <v>64.955956</v>
      </c>
      <c r="D563" s="37">
        <v>46.955956</v>
      </c>
    </row>
    <row r="564" ht="14.25" customHeight="1">
      <c r="A564" s="4" t="s">
        <v>3962</v>
      </c>
      <c r="B564" s="37">
        <v>19.0</v>
      </c>
      <c r="C564" s="37">
        <v>65.807024</v>
      </c>
      <c r="D564" s="37">
        <v>46.807024</v>
      </c>
    </row>
    <row r="565" ht="14.25" customHeight="1">
      <c r="A565" s="4" t="s">
        <v>3230</v>
      </c>
      <c r="B565" s="37">
        <v>30.0</v>
      </c>
      <c r="C565" s="37">
        <v>76.806312</v>
      </c>
      <c r="D565" s="37">
        <v>46.806312</v>
      </c>
    </row>
    <row r="566" ht="14.25" customHeight="1">
      <c r="A566" s="4" t="s">
        <v>2487</v>
      </c>
      <c r="B566" s="37">
        <v>70.0</v>
      </c>
      <c r="C566" s="37">
        <v>116.735231</v>
      </c>
      <c r="D566" s="37">
        <v>46.735231</v>
      </c>
    </row>
    <row r="567" ht="14.25" customHeight="1">
      <c r="A567" s="4" t="s">
        <v>4663</v>
      </c>
      <c r="B567" s="37">
        <v>0.3</v>
      </c>
      <c r="C567" s="37">
        <v>47.0</v>
      </c>
      <c r="D567" s="37">
        <v>46.7</v>
      </c>
    </row>
    <row r="568" ht="14.25" customHeight="1">
      <c r="A568" s="4" t="s">
        <v>4663</v>
      </c>
      <c r="B568" s="37">
        <v>0.3</v>
      </c>
      <c r="C568" s="37">
        <v>47.0</v>
      </c>
      <c r="D568" s="37">
        <v>46.7</v>
      </c>
    </row>
    <row r="569" ht="14.25" customHeight="1">
      <c r="A569" s="4" t="s">
        <v>4857</v>
      </c>
      <c r="B569" s="37">
        <v>9.8</v>
      </c>
      <c r="C569" s="37">
        <v>56.437947</v>
      </c>
      <c r="D569" s="37">
        <v>46.637947</v>
      </c>
    </row>
    <row r="570" ht="14.25" customHeight="1">
      <c r="A570" s="4" t="s">
        <v>1872</v>
      </c>
      <c r="B570" s="37">
        <v>55.0</v>
      </c>
      <c r="C570" s="37">
        <v>101.530738</v>
      </c>
      <c r="D570" s="37">
        <v>46.530738</v>
      </c>
    </row>
    <row r="571" ht="14.25" customHeight="1">
      <c r="A571" s="4" t="s">
        <v>3236</v>
      </c>
      <c r="B571" s="37">
        <v>30.0</v>
      </c>
      <c r="C571" s="37">
        <v>76.501438</v>
      </c>
      <c r="D571" s="37">
        <v>46.501438</v>
      </c>
    </row>
    <row r="572" ht="14.25" customHeight="1">
      <c r="A572" s="4" t="s">
        <v>4853</v>
      </c>
      <c r="B572" s="37">
        <v>15.0</v>
      </c>
      <c r="C572" s="37">
        <v>61.4</v>
      </c>
      <c r="D572" s="37">
        <v>46.4</v>
      </c>
    </row>
    <row r="573" ht="14.25" customHeight="1">
      <c r="A573" s="4" t="s">
        <v>3691</v>
      </c>
      <c r="B573" s="37">
        <v>25.0</v>
      </c>
      <c r="C573" s="37">
        <v>71.30976</v>
      </c>
      <c r="D573" s="37">
        <v>46.30976</v>
      </c>
    </row>
    <row r="574" ht="14.25" customHeight="1">
      <c r="A574" s="4" t="s">
        <v>3910</v>
      </c>
      <c r="B574" s="37">
        <v>24.0</v>
      </c>
      <c r="C574" s="37">
        <v>70.269171</v>
      </c>
      <c r="D574" s="37">
        <v>46.269171</v>
      </c>
    </row>
    <row r="575" ht="14.25" customHeight="1">
      <c r="A575" s="4" t="s">
        <v>4141</v>
      </c>
      <c r="B575" s="37">
        <v>35.0</v>
      </c>
      <c r="C575" s="37">
        <v>81.257845</v>
      </c>
      <c r="D575" s="37">
        <v>46.257845</v>
      </c>
    </row>
    <row r="576" ht="14.25" customHeight="1">
      <c r="A576" s="4" t="s">
        <v>2901</v>
      </c>
      <c r="B576" s="37">
        <v>35.0</v>
      </c>
      <c r="C576" s="37">
        <v>81.159365</v>
      </c>
      <c r="D576" s="37">
        <v>46.159365</v>
      </c>
    </row>
    <row r="577" ht="14.25" customHeight="1">
      <c r="A577" s="4" t="s">
        <v>3125</v>
      </c>
      <c r="B577" s="37">
        <v>35.0</v>
      </c>
      <c r="C577" s="37">
        <v>81.150692</v>
      </c>
      <c r="D577" s="37">
        <v>46.150692</v>
      </c>
    </row>
    <row r="578" ht="14.25" customHeight="1">
      <c r="A578" s="4" t="s">
        <v>1622</v>
      </c>
      <c r="B578" s="37">
        <v>60.0</v>
      </c>
      <c r="C578" s="37">
        <v>106.126012</v>
      </c>
      <c r="D578" s="37">
        <v>46.126012</v>
      </c>
    </row>
    <row r="579" ht="14.25" customHeight="1">
      <c r="A579" s="4" t="s">
        <v>5479</v>
      </c>
      <c r="B579" s="37">
        <v>11.5</v>
      </c>
      <c r="C579" s="37">
        <v>57.469179</v>
      </c>
      <c r="D579" s="37">
        <v>45.969179</v>
      </c>
    </row>
    <row r="580" ht="14.25" customHeight="1">
      <c r="A580" s="4" t="s">
        <v>5548</v>
      </c>
      <c r="B580" s="37">
        <v>10.8</v>
      </c>
      <c r="C580" s="37">
        <v>56.729973</v>
      </c>
      <c r="D580" s="37">
        <v>45.929973</v>
      </c>
    </row>
    <row r="581" ht="14.25" customHeight="1">
      <c r="A581" s="4" t="s">
        <v>5584</v>
      </c>
      <c r="B581" s="37">
        <v>10.0</v>
      </c>
      <c r="C581" s="37">
        <v>55.865715</v>
      </c>
      <c r="D581" s="37">
        <v>45.865715</v>
      </c>
    </row>
    <row r="582" ht="14.25" customHeight="1">
      <c r="A582" s="4" t="s">
        <v>2426</v>
      </c>
      <c r="B582" s="37">
        <v>42.0</v>
      </c>
      <c r="C582" s="37">
        <v>87.856565</v>
      </c>
      <c r="D582" s="37">
        <v>45.856565</v>
      </c>
    </row>
    <row r="583" ht="14.25" customHeight="1">
      <c r="A583" s="4" t="s">
        <v>6391</v>
      </c>
      <c r="B583" s="37">
        <v>5.0</v>
      </c>
      <c r="C583" s="37">
        <v>50.82094</v>
      </c>
      <c r="D583" s="37">
        <v>45.82094</v>
      </c>
    </row>
    <row r="584" ht="14.25" customHeight="1">
      <c r="A584" s="4" t="s">
        <v>1235</v>
      </c>
      <c r="B584" s="37">
        <v>75.0</v>
      </c>
      <c r="C584" s="37">
        <v>120.776832</v>
      </c>
      <c r="D584" s="37">
        <v>45.776832</v>
      </c>
    </row>
    <row r="585" ht="14.25" customHeight="1">
      <c r="A585" s="4" t="s">
        <v>2510</v>
      </c>
      <c r="B585" s="37">
        <v>45.0</v>
      </c>
      <c r="C585" s="37">
        <v>90.703745</v>
      </c>
      <c r="D585" s="37">
        <v>45.703745</v>
      </c>
    </row>
    <row r="586" ht="14.25" customHeight="1">
      <c r="A586" s="4" t="s">
        <v>3697</v>
      </c>
      <c r="B586" s="37">
        <v>25.0</v>
      </c>
      <c r="C586" s="37">
        <v>70.625986</v>
      </c>
      <c r="D586" s="37">
        <v>45.625986</v>
      </c>
    </row>
    <row r="587" ht="14.25" customHeight="1">
      <c r="A587" s="4" t="s">
        <v>4161</v>
      </c>
      <c r="B587" s="37">
        <v>20.0</v>
      </c>
      <c r="C587" s="37">
        <v>65.623128</v>
      </c>
      <c r="D587" s="37">
        <v>45.623128</v>
      </c>
    </row>
    <row r="588" ht="14.25" customHeight="1">
      <c r="A588" s="4" t="s">
        <v>2255</v>
      </c>
      <c r="B588" s="37">
        <v>48.0</v>
      </c>
      <c r="C588" s="37">
        <v>93.607673</v>
      </c>
      <c r="D588" s="37">
        <v>45.607673</v>
      </c>
    </row>
    <row r="589" ht="14.25" customHeight="1">
      <c r="A589" s="4" t="s">
        <v>1358</v>
      </c>
      <c r="B589" s="37">
        <v>75.0</v>
      </c>
      <c r="C589" s="37">
        <v>120.523073</v>
      </c>
      <c r="D589" s="37">
        <v>45.523073</v>
      </c>
    </row>
    <row r="590" ht="14.25" customHeight="1">
      <c r="A590" s="4" t="s">
        <v>3689</v>
      </c>
      <c r="B590" s="37">
        <v>26.0</v>
      </c>
      <c r="C590" s="37">
        <v>71.500556</v>
      </c>
      <c r="D590" s="37">
        <v>45.500556</v>
      </c>
    </row>
    <row r="591" ht="14.25" customHeight="1">
      <c r="A591" s="4" t="s">
        <v>7582</v>
      </c>
      <c r="B591" s="37">
        <v>35.0</v>
      </c>
      <c r="C591" s="37">
        <v>80.276912</v>
      </c>
      <c r="D591" s="37">
        <v>45.276912</v>
      </c>
    </row>
    <row r="592" ht="14.25" customHeight="1">
      <c r="A592" s="4" t="s">
        <v>2040</v>
      </c>
      <c r="B592" s="37">
        <v>60.0</v>
      </c>
      <c r="C592" s="37">
        <v>105.264608</v>
      </c>
      <c r="D592" s="37">
        <v>45.264608</v>
      </c>
    </row>
    <row r="593" ht="14.25" customHeight="1">
      <c r="A593" s="4" t="s">
        <v>4494</v>
      </c>
      <c r="B593" s="37">
        <v>19.0</v>
      </c>
      <c r="C593" s="37">
        <v>64.255243</v>
      </c>
      <c r="D593" s="37">
        <v>45.255243</v>
      </c>
    </row>
    <row r="594" ht="14.25" customHeight="1">
      <c r="A594" s="4" t="s">
        <v>633</v>
      </c>
      <c r="B594" s="37">
        <v>110.0</v>
      </c>
      <c r="C594" s="37">
        <v>155.181732</v>
      </c>
      <c r="D594" s="37">
        <v>45.181732</v>
      </c>
    </row>
    <row r="595" ht="14.25" customHeight="1">
      <c r="A595" s="4" t="s">
        <v>6798</v>
      </c>
      <c r="B595" s="37">
        <v>3.0</v>
      </c>
      <c r="C595" s="37">
        <v>48.05694</v>
      </c>
      <c r="D595" s="37">
        <v>45.05694</v>
      </c>
    </row>
    <row r="596" ht="14.25" customHeight="1">
      <c r="A596" s="4" t="s">
        <v>1595</v>
      </c>
      <c r="B596" s="37">
        <v>63.0</v>
      </c>
      <c r="C596" s="37">
        <v>108.01217</v>
      </c>
      <c r="D596" s="37">
        <v>45.01217</v>
      </c>
    </row>
    <row r="597" ht="14.25" customHeight="1">
      <c r="A597" s="4" t="s">
        <v>378</v>
      </c>
      <c r="B597" s="37">
        <v>150.0</v>
      </c>
      <c r="C597" s="37">
        <v>195.000874</v>
      </c>
      <c r="D597" s="37">
        <v>45.000874</v>
      </c>
    </row>
    <row r="598" ht="14.25" customHeight="1">
      <c r="A598" s="4" t="s">
        <v>3560</v>
      </c>
      <c r="B598" s="37">
        <v>30.0</v>
      </c>
      <c r="C598" s="37">
        <v>74.888996</v>
      </c>
      <c r="D598" s="37">
        <v>44.888996</v>
      </c>
    </row>
    <row r="599" ht="14.25" customHeight="1">
      <c r="A599" s="4" t="s">
        <v>6345</v>
      </c>
      <c r="B599" s="37">
        <v>5.5</v>
      </c>
      <c r="C599" s="37">
        <v>50.382128</v>
      </c>
      <c r="D599" s="37">
        <v>44.882128</v>
      </c>
    </row>
    <row r="600" ht="14.25" customHeight="1">
      <c r="A600" s="4" t="s">
        <v>3694</v>
      </c>
      <c r="B600" s="37">
        <v>45.0</v>
      </c>
      <c r="C600" s="37">
        <v>89.808372</v>
      </c>
      <c r="D600" s="37">
        <v>44.808372</v>
      </c>
    </row>
    <row r="601" ht="14.25" customHeight="1">
      <c r="A601" s="4" t="s">
        <v>3238</v>
      </c>
      <c r="B601" s="37">
        <v>30.0</v>
      </c>
      <c r="C601" s="37">
        <v>74.787599</v>
      </c>
      <c r="D601" s="37">
        <v>44.787599</v>
      </c>
    </row>
    <row r="602" ht="14.25" customHeight="1">
      <c r="A602" s="4" t="s">
        <v>4525</v>
      </c>
      <c r="B602" s="37">
        <v>15.0</v>
      </c>
      <c r="C602" s="37">
        <v>59.735548</v>
      </c>
      <c r="D602" s="37">
        <v>44.735548</v>
      </c>
    </row>
    <row r="603" ht="14.25" customHeight="1">
      <c r="A603" s="4" t="s">
        <v>5562</v>
      </c>
      <c r="B603" s="37">
        <v>12.0</v>
      </c>
      <c r="C603" s="37">
        <v>56.715371</v>
      </c>
      <c r="D603" s="37">
        <v>44.715371</v>
      </c>
    </row>
    <row r="604" ht="14.25" customHeight="1">
      <c r="A604" s="4" t="s">
        <v>5163</v>
      </c>
      <c r="B604" s="37">
        <v>12.0</v>
      </c>
      <c r="C604" s="37">
        <v>56.631572</v>
      </c>
      <c r="D604" s="37">
        <v>44.631572</v>
      </c>
    </row>
    <row r="605" ht="14.25" customHeight="1">
      <c r="A605" s="4" t="s">
        <v>1081</v>
      </c>
      <c r="B605" s="37">
        <v>80.0</v>
      </c>
      <c r="C605" s="37">
        <v>124.59096</v>
      </c>
      <c r="D605" s="37">
        <v>44.59096</v>
      </c>
    </row>
    <row r="606" ht="14.25" customHeight="1">
      <c r="A606" s="4" t="s">
        <v>5178</v>
      </c>
      <c r="B606" s="37">
        <v>13.0</v>
      </c>
      <c r="C606" s="37">
        <v>57.3</v>
      </c>
      <c r="D606" s="37">
        <v>44.3</v>
      </c>
    </row>
    <row r="607" ht="14.25" customHeight="1">
      <c r="A607" s="4" t="s">
        <v>5933</v>
      </c>
      <c r="B607" s="37">
        <v>8.0</v>
      </c>
      <c r="C607" s="37">
        <v>52.287414</v>
      </c>
      <c r="D607" s="37">
        <v>44.287414</v>
      </c>
    </row>
    <row r="608" ht="14.25" customHeight="1">
      <c r="A608" s="4" t="s">
        <v>2548</v>
      </c>
      <c r="B608" s="37">
        <v>20.0</v>
      </c>
      <c r="C608" s="37">
        <v>64.149837</v>
      </c>
      <c r="D608" s="37">
        <v>44.149837</v>
      </c>
    </row>
    <row r="609" ht="14.25" customHeight="1">
      <c r="A609" s="4" t="s">
        <v>1618</v>
      </c>
      <c r="B609" s="37">
        <v>60.0</v>
      </c>
      <c r="C609" s="37">
        <v>104.148781</v>
      </c>
      <c r="D609" s="37">
        <v>44.148781</v>
      </c>
    </row>
    <row r="610" ht="14.25" customHeight="1">
      <c r="A610" s="4" t="s">
        <v>7559</v>
      </c>
      <c r="B610" s="37">
        <v>0.4</v>
      </c>
      <c r="C610" s="37">
        <v>44.540956</v>
      </c>
      <c r="D610" s="37">
        <v>44.140956</v>
      </c>
    </row>
    <row r="611" ht="14.25" customHeight="1">
      <c r="A611" s="4" t="s">
        <v>2900</v>
      </c>
      <c r="B611" s="37">
        <v>35.0</v>
      </c>
      <c r="C611" s="37">
        <v>79.1</v>
      </c>
      <c r="D611" s="37">
        <v>44.1</v>
      </c>
    </row>
    <row r="612" ht="14.25" customHeight="1">
      <c r="A612" s="4" t="s">
        <v>2550</v>
      </c>
      <c r="B612" s="37">
        <v>40.0</v>
      </c>
      <c r="C612" s="37">
        <v>83.906114</v>
      </c>
      <c r="D612" s="37">
        <v>43.906114</v>
      </c>
    </row>
    <row r="613" ht="14.25" customHeight="1">
      <c r="A613" s="4" t="s">
        <v>1238</v>
      </c>
      <c r="B613" s="37">
        <v>75.0</v>
      </c>
      <c r="C613" s="37">
        <v>118.823091</v>
      </c>
      <c r="D613" s="37">
        <v>43.823091</v>
      </c>
    </row>
    <row r="614" ht="14.25" customHeight="1">
      <c r="A614" s="4" t="s">
        <v>179</v>
      </c>
      <c r="B614" s="37">
        <v>180.0</v>
      </c>
      <c r="C614" s="37">
        <v>223.806889</v>
      </c>
      <c r="D614" s="37">
        <v>43.806889</v>
      </c>
    </row>
    <row r="615" ht="14.25" customHeight="1">
      <c r="A615" s="4" t="s">
        <v>1869</v>
      </c>
      <c r="B615" s="37">
        <v>55.0</v>
      </c>
      <c r="C615" s="37">
        <v>98.711404</v>
      </c>
      <c r="D615" s="37">
        <v>43.711404</v>
      </c>
    </row>
    <row r="616" ht="14.25" customHeight="1">
      <c r="A616" s="4" t="s">
        <v>2294</v>
      </c>
      <c r="B616" s="37">
        <v>45.0</v>
      </c>
      <c r="C616" s="37">
        <v>88.625922</v>
      </c>
      <c r="D616" s="37">
        <v>43.625922</v>
      </c>
    </row>
    <row r="617" ht="14.25" customHeight="1">
      <c r="A617" s="4" t="s">
        <v>2049</v>
      </c>
      <c r="B617" s="37">
        <v>45.0</v>
      </c>
      <c r="C617" s="37">
        <v>88.50464</v>
      </c>
      <c r="D617" s="37">
        <v>43.50464</v>
      </c>
    </row>
    <row r="618" ht="14.25" customHeight="1">
      <c r="A618" s="4" t="s">
        <v>4722</v>
      </c>
      <c r="B618" s="37">
        <v>16.5</v>
      </c>
      <c r="C618" s="37">
        <v>59.847242</v>
      </c>
      <c r="D618" s="37">
        <v>43.347242</v>
      </c>
    </row>
    <row r="619" ht="14.25" customHeight="1">
      <c r="A619" s="4" t="s">
        <v>3497</v>
      </c>
      <c r="B619" s="37">
        <v>28.0</v>
      </c>
      <c r="C619" s="37">
        <v>71.34693</v>
      </c>
      <c r="D619" s="37">
        <v>43.34693</v>
      </c>
    </row>
    <row r="620" ht="14.25" customHeight="1">
      <c r="A620" s="4" t="s">
        <v>4149</v>
      </c>
      <c r="B620" s="37">
        <v>20.0</v>
      </c>
      <c r="C620" s="37">
        <v>62.933793</v>
      </c>
      <c r="D620" s="37">
        <v>42.933793</v>
      </c>
    </row>
    <row r="621" ht="14.25" customHeight="1">
      <c r="A621" s="4" t="s">
        <v>2309</v>
      </c>
      <c r="B621" s="37">
        <v>120.0</v>
      </c>
      <c r="C621" s="37">
        <v>162.792677</v>
      </c>
      <c r="D621" s="37">
        <v>42.792677</v>
      </c>
    </row>
    <row r="622" ht="14.25" customHeight="1">
      <c r="A622" s="4" t="s">
        <v>5357</v>
      </c>
      <c r="B622" s="37">
        <v>12.0</v>
      </c>
      <c r="C622" s="37">
        <v>54.724272</v>
      </c>
      <c r="D622" s="37">
        <v>42.724272</v>
      </c>
    </row>
    <row r="623" ht="14.25" customHeight="1">
      <c r="A623" s="4" t="s">
        <v>990</v>
      </c>
      <c r="B623" s="37">
        <v>85.0</v>
      </c>
      <c r="C623" s="37">
        <v>127.706877</v>
      </c>
      <c r="D623" s="37">
        <v>42.706877</v>
      </c>
    </row>
    <row r="624" ht="14.25" customHeight="1">
      <c r="A624" s="4" t="s">
        <v>1244</v>
      </c>
      <c r="B624" s="37">
        <v>75.0</v>
      </c>
      <c r="C624" s="37">
        <v>117.698894</v>
      </c>
      <c r="D624" s="37">
        <v>42.698894</v>
      </c>
    </row>
    <row r="625" ht="14.25" customHeight="1">
      <c r="A625" s="4" t="s">
        <v>562</v>
      </c>
      <c r="B625" s="37">
        <v>140.0</v>
      </c>
      <c r="C625" s="37">
        <v>182.618434</v>
      </c>
      <c r="D625" s="37">
        <v>42.618434</v>
      </c>
    </row>
    <row r="626" ht="14.25" customHeight="1">
      <c r="A626" s="4" t="s">
        <v>3563</v>
      </c>
      <c r="B626" s="37">
        <v>27.0</v>
      </c>
      <c r="C626" s="37">
        <v>69.586544</v>
      </c>
      <c r="D626" s="37">
        <v>42.586544</v>
      </c>
    </row>
    <row r="627" ht="14.25" customHeight="1">
      <c r="A627" s="4" t="s">
        <v>2520</v>
      </c>
      <c r="B627" s="37">
        <v>40.0</v>
      </c>
      <c r="C627" s="37">
        <v>82.52279</v>
      </c>
      <c r="D627" s="37">
        <v>42.52279</v>
      </c>
    </row>
    <row r="628" ht="14.25" customHeight="1">
      <c r="A628" s="4" t="s">
        <v>6544</v>
      </c>
      <c r="B628" s="37">
        <v>4.8</v>
      </c>
      <c r="C628" s="37">
        <v>47.277326</v>
      </c>
      <c r="D628" s="37">
        <v>42.477326</v>
      </c>
    </row>
    <row r="629" ht="14.25" customHeight="1">
      <c r="A629" s="4" t="s">
        <v>902</v>
      </c>
      <c r="B629" s="37">
        <v>90.0</v>
      </c>
      <c r="C629" s="37">
        <v>132.373442</v>
      </c>
      <c r="D629" s="37">
        <v>42.373442</v>
      </c>
    </row>
    <row r="630" ht="14.25" customHeight="1">
      <c r="A630" s="4" t="s">
        <v>5182</v>
      </c>
      <c r="B630" s="37">
        <v>7.0</v>
      </c>
      <c r="C630" s="37">
        <v>49.3699</v>
      </c>
      <c r="D630" s="37">
        <v>42.3699</v>
      </c>
    </row>
    <row r="631" ht="14.25" customHeight="1">
      <c r="A631" s="4" t="s">
        <v>6715</v>
      </c>
      <c r="B631" s="37">
        <v>3.5</v>
      </c>
      <c r="C631" s="37">
        <v>45.857453</v>
      </c>
      <c r="D631" s="37">
        <v>42.357453</v>
      </c>
    </row>
    <row r="632" ht="14.25" customHeight="1">
      <c r="A632" s="4" t="s">
        <v>497</v>
      </c>
      <c r="B632" s="37">
        <v>135.0</v>
      </c>
      <c r="C632" s="37">
        <v>177.343675</v>
      </c>
      <c r="D632" s="37">
        <v>42.343675</v>
      </c>
    </row>
    <row r="633" ht="14.25" customHeight="1">
      <c r="A633" s="4" t="s">
        <v>497</v>
      </c>
      <c r="B633" s="37">
        <v>135.0</v>
      </c>
      <c r="C633" s="37">
        <v>177.343675</v>
      </c>
      <c r="D633" s="37">
        <v>42.343675</v>
      </c>
    </row>
    <row r="634" ht="14.25" customHeight="1">
      <c r="A634" s="4" t="s">
        <v>497</v>
      </c>
      <c r="B634" s="37">
        <v>135.0</v>
      </c>
      <c r="C634" s="37">
        <v>177.343675</v>
      </c>
      <c r="D634" s="37">
        <v>42.343675</v>
      </c>
    </row>
    <row r="635" ht="14.25" customHeight="1">
      <c r="A635" s="4" t="s">
        <v>3478</v>
      </c>
      <c r="B635" s="37">
        <v>28.0</v>
      </c>
      <c r="C635" s="37">
        <v>70.235322</v>
      </c>
      <c r="D635" s="37">
        <v>42.235322</v>
      </c>
    </row>
    <row r="636" ht="14.25" customHeight="1">
      <c r="A636" s="4" t="s">
        <v>5610</v>
      </c>
      <c r="B636" s="37">
        <v>10.0</v>
      </c>
      <c r="C636" s="37">
        <v>52.200504</v>
      </c>
      <c r="D636" s="37">
        <v>42.200504</v>
      </c>
    </row>
    <row r="637" ht="14.25" customHeight="1">
      <c r="A637" s="4" t="s">
        <v>4520</v>
      </c>
      <c r="B637" s="37">
        <v>18.0</v>
      </c>
      <c r="C637" s="37">
        <v>60.057639</v>
      </c>
      <c r="D637" s="37">
        <v>42.057639</v>
      </c>
    </row>
    <row r="638" ht="14.25" customHeight="1">
      <c r="A638" s="4" t="s">
        <v>5492</v>
      </c>
      <c r="B638" s="37">
        <v>11.0</v>
      </c>
      <c r="C638" s="37">
        <v>52.929168</v>
      </c>
      <c r="D638" s="37">
        <v>41.929168</v>
      </c>
    </row>
    <row r="639" ht="14.25" customHeight="1">
      <c r="A639" s="4" t="s">
        <v>3200</v>
      </c>
      <c r="B639" s="37">
        <v>30.25</v>
      </c>
      <c r="C639" s="37">
        <v>72.077</v>
      </c>
      <c r="D639" s="37">
        <v>41.827</v>
      </c>
    </row>
    <row r="640" ht="14.25" customHeight="1">
      <c r="A640" s="4" t="s">
        <v>1201</v>
      </c>
      <c r="B640" s="37">
        <v>78.0</v>
      </c>
      <c r="C640" s="37">
        <v>119.793567</v>
      </c>
      <c r="D640" s="37">
        <v>41.793567</v>
      </c>
    </row>
    <row r="641" ht="14.25" customHeight="1">
      <c r="A641" s="4" t="s">
        <v>2526</v>
      </c>
      <c r="B641" s="37">
        <v>40.0</v>
      </c>
      <c r="C641" s="37">
        <v>81.593527</v>
      </c>
      <c r="D641" s="37">
        <v>41.593527</v>
      </c>
    </row>
    <row r="642" ht="14.25" customHeight="1">
      <c r="A642" s="4" t="s">
        <v>4523</v>
      </c>
      <c r="B642" s="37">
        <v>18.0</v>
      </c>
      <c r="C642" s="37">
        <v>59.573085</v>
      </c>
      <c r="D642" s="37">
        <v>41.573085</v>
      </c>
    </row>
    <row r="643" ht="14.25" customHeight="1">
      <c r="A643" s="4" t="s">
        <v>3725</v>
      </c>
      <c r="B643" s="37">
        <v>25.0</v>
      </c>
      <c r="C643" s="37">
        <v>66.489425</v>
      </c>
      <c r="D643" s="37">
        <v>41.489425</v>
      </c>
    </row>
    <row r="644" ht="14.25" customHeight="1">
      <c r="A644" s="4" t="s">
        <v>2067</v>
      </c>
      <c r="B644" s="37">
        <v>50.0</v>
      </c>
      <c r="C644" s="37">
        <v>91.4394</v>
      </c>
      <c r="D644" s="37">
        <v>41.4394</v>
      </c>
    </row>
    <row r="645" ht="14.25" customHeight="1">
      <c r="A645" s="4" t="s">
        <v>2524</v>
      </c>
      <c r="B645" s="37">
        <v>40.0</v>
      </c>
      <c r="C645" s="37">
        <v>81.292135</v>
      </c>
      <c r="D645" s="37">
        <v>41.292135</v>
      </c>
    </row>
    <row r="646" ht="14.25" customHeight="1">
      <c r="A646" s="4" t="s">
        <v>2235</v>
      </c>
      <c r="B646" s="37">
        <v>48.0</v>
      </c>
      <c r="C646" s="37">
        <v>89.25334</v>
      </c>
      <c r="D646" s="37">
        <v>41.25334</v>
      </c>
    </row>
    <row r="647" ht="14.25" customHeight="1">
      <c r="A647" s="4" t="s">
        <v>3914</v>
      </c>
      <c r="B647" s="37">
        <v>24.0</v>
      </c>
      <c r="C647" s="37">
        <v>65.182182</v>
      </c>
      <c r="D647" s="37">
        <v>41.182182</v>
      </c>
    </row>
    <row r="648" ht="14.25" customHeight="1">
      <c r="A648" s="4" t="s">
        <v>992</v>
      </c>
      <c r="B648" s="37">
        <v>85.0</v>
      </c>
      <c r="C648" s="37">
        <v>126.149655</v>
      </c>
      <c r="D648" s="37">
        <v>41.149655</v>
      </c>
    </row>
    <row r="649" ht="14.25" customHeight="1">
      <c r="A649" s="4" t="s">
        <v>2793</v>
      </c>
      <c r="B649" s="37">
        <v>30.0</v>
      </c>
      <c r="C649" s="37">
        <v>71.03819</v>
      </c>
      <c r="D649" s="37">
        <v>41.03819</v>
      </c>
    </row>
    <row r="650" ht="14.25" customHeight="1">
      <c r="A650" s="4" t="s">
        <v>2044</v>
      </c>
      <c r="B650" s="37">
        <v>50.0</v>
      </c>
      <c r="C650" s="37">
        <v>91.030827</v>
      </c>
      <c r="D650" s="37">
        <v>41.030827</v>
      </c>
    </row>
    <row r="651" ht="14.25" customHeight="1">
      <c r="A651" s="4" t="s">
        <v>5848</v>
      </c>
      <c r="B651" s="37">
        <v>9.0</v>
      </c>
      <c r="C651" s="37">
        <v>50.0</v>
      </c>
      <c r="D651" s="37">
        <v>41.0</v>
      </c>
    </row>
    <row r="652" ht="14.25" customHeight="1">
      <c r="A652" s="4" t="s">
        <v>1321</v>
      </c>
      <c r="B652" s="37">
        <v>72.0</v>
      </c>
      <c r="C652" s="37">
        <v>112.950721</v>
      </c>
      <c r="D652" s="37">
        <v>40.950721</v>
      </c>
    </row>
    <row r="653" ht="14.25" customHeight="1">
      <c r="A653" s="4" t="s">
        <v>5589</v>
      </c>
      <c r="B653" s="37">
        <v>10.0</v>
      </c>
      <c r="C653" s="37">
        <v>50.752337</v>
      </c>
      <c r="D653" s="37">
        <v>40.752337</v>
      </c>
    </row>
    <row r="654" ht="14.25" customHeight="1">
      <c r="A654" s="4" t="s">
        <v>2780</v>
      </c>
      <c r="B654" s="37">
        <v>35.0</v>
      </c>
      <c r="C654" s="37">
        <v>75.668868</v>
      </c>
      <c r="D654" s="37">
        <v>40.668868</v>
      </c>
    </row>
    <row r="655" ht="14.25" customHeight="1">
      <c r="A655" s="4" t="s">
        <v>6605</v>
      </c>
      <c r="B655" s="37">
        <v>4.0</v>
      </c>
      <c r="C655" s="37">
        <v>44.566004</v>
      </c>
      <c r="D655" s="37">
        <v>40.566004</v>
      </c>
    </row>
    <row r="656" ht="14.25" customHeight="1">
      <c r="A656" s="4" t="s">
        <v>3547</v>
      </c>
      <c r="B656" s="37">
        <v>27.5</v>
      </c>
      <c r="C656" s="37">
        <v>67.9</v>
      </c>
      <c r="D656" s="37">
        <v>40.4</v>
      </c>
    </row>
    <row r="657" ht="14.25" customHeight="1">
      <c r="A657" s="4" t="s">
        <v>2060</v>
      </c>
      <c r="B657" s="37">
        <v>35.0</v>
      </c>
      <c r="C657" s="37">
        <v>75.367693</v>
      </c>
      <c r="D657" s="37">
        <v>40.367693</v>
      </c>
    </row>
    <row r="658" ht="14.25" customHeight="1">
      <c r="A658" s="4" t="s">
        <v>6393</v>
      </c>
      <c r="B658" s="37">
        <v>4.5</v>
      </c>
      <c r="C658" s="37">
        <v>44.7932</v>
      </c>
      <c r="D658" s="37">
        <v>40.2932</v>
      </c>
    </row>
    <row r="659" ht="14.25" customHeight="1">
      <c r="A659" s="4" t="s">
        <v>2527</v>
      </c>
      <c r="B659" s="37">
        <v>35.0</v>
      </c>
      <c r="C659" s="37">
        <v>75.274748</v>
      </c>
      <c r="D659" s="37">
        <v>40.274748</v>
      </c>
    </row>
    <row r="660" ht="14.25" customHeight="1">
      <c r="A660" s="4" t="s">
        <v>4859</v>
      </c>
      <c r="B660" s="37">
        <v>15.0</v>
      </c>
      <c r="C660" s="37">
        <v>55.184721</v>
      </c>
      <c r="D660" s="37">
        <v>40.184721</v>
      </c>
    </row>
    <row r="661" ht="14.25" customHeight="1">
      <c r="A661" s="4" t="s">
        <v>1084</v>
      </c>
      <c r="B661" s="37">
        <v>80.0</v>
      </c>
      <c r="C661" s="37">
        <v>120.136047</v>
      </c>
      <c r="D661" s="37">
        <v>40.136047</v>
      </c>
    </row>
    <row r="662" ht="14.25" customHeight="1">
      <c r="A662" s="4" t="s">
        <v>1883</v>
      </c>
      <c r="B662" s="37">
        <v>30.0</v>
      </c>
      <c r="C662" s="37">
        <v>70.098138</v>
      </c>
      <c r="D662" s="37">
        <v>40.098138</v>
      </c>
    </row>
    <row r="663" ht="14.25" customHeight="1">
      <c r="A663" s="4" t="s">
        <v>4154</v>
      </c>
      <c r="B663" s="37">
        <v>20.0</v>
      </c>
      <c r="C663" s="37">
        <v>60.072596</v>
      </c>
      <c r="D663" s="37">
        <v>40.072596</v>
      </c>
    </row>
    <row r="664" ht="14.25" customHeight="1">
      <c r="A664" s="4" t="s">
        <v>3270</v>
      </c>
      <c r="B664" s="37">
        <v>17.0</v>
      </c>
      <c r="C664" s="37">
        <v>56.816662</v>
      </c>
      <c r="D664" s="37">
        <v>39.816662</v>
      </c>
    </row>
    <row r="665" ht="14.25" customHeight="1">
      <c r="A665" s="4" t="s">
        <v>160</v>
      </c>
      <c r="B665" s="37">
        <v>105.0</v>
      </c>
      <c r="C665" s="37">
        <v>144.812796</v>
      </c>
      <c r="D665" s="37">
        <v>39.812796</v>
      </c>
    </row>
    <row r="666" ht="14.25" customHeight="1">
      <c r="A666" s="4" t="s">
        <v>160</v>
      </c>
      <c r="B666" s="37">
        <v>105.0</v>
      </c>
      <c r="C666" s="37">
        <v>144.812796</v>
      </c>
      <c r="D666" s="37">
        <v>39.812796</v>
      </c>
    </row>
    <row r="667" ht="14.25" customHeight="1">
      <c r="A667" s="4" t="s">
        <v>3611</v>
      </c>
      <c r="B667" s="37">
        <v>26.0</v>
      </c>
      <c r="C667" s="37">
        <v>65.703412</v>
      </c>
      <c r="D667" s="37">
        <v>39.703412</v>
      </c>
    </row>
    <row r="668" ht="14.25" customHeight="1">
      <c r="A668" s="4" t="s">
        <v>4453</v>
      </c>
      <c r="B668" s="37">
        <v>19.0</v>
      </c>
      <c r="C668" s="37">
        <v>58.571513</v>
      </c>
      <c r="D668" s="37">
        <v>39.571513</v>
      </c>
    </row>
    <row r="669" ht="14.25" customHeight="1">
      <c r="A669" s="4" t="s">
        <v>2013</v>
      </c>
      <c r="B669" s="37">
        <v>51.0</v>
      </c>
      <c r="C669" s="37">
        <v>90.567722</v>
      </c>
      <c r="D669" s="37">
        <v>39.567722</v>
      </c>
    </row>
    <row r="670" ht="14.25" customHeight="1">
      <c r="A670" s="4" t="s">
        <v>5495</v>
      </c>
      <c r="B670" s="37">
        <v>11.0</v>
      </c>
      <c r="C670" s="37">
        <v>50.461335</v>
      </c>
      <c r="D670" s="37">
        <v>39.461335</v>
      </c>
    </row>
    <row r="671" ht="14.25" customHeight="1">
      <c r="A671" s="4" t="s">
        <v>6395</v>
      </c>
      <c r="B671" s="37">
        <v>5.0</v>
      </c>
      <c r="C671" s="37">
        <v>44.456509</v>
      </c>
      <c r="D671" s="37">
        <v>39.456509</v>
      </c>
    </row>
    <row r="672" ht="14.25" customHeight="1">
      <c r="A672" s="4" t="s">
        <v>5216</v>
      </c>
      <c r="B672" s="37">
        <v>13.2</v>
      </c>
      <c r="C672" s="37">
        <v>52.543632</v>
      </c>
      <c r="D672" s="37">
        <v>39.343632</v>
      </c>
    </row>
    <row r="673" ht="14.25" customHeight="1">
      <c r="A673" s="4" t="s">
        <v>3477</v>
      </c>
      <c r="B673" s="37">
        <v>28.0</v>
      </c>
      <c r="C673" s="37">
        <v>67.2663</v>
      </c>
      <c r="D673" s="37">
        <v>39.2663</v>
      </c>
    </row>
    <row r="674" ht="14.25" customHeight="1">
      <c r="A674" s="4" t="s">
        <v>7104</v>
      </c>
      <c r="B674" s="37">
        <v>1.8</v>
      </c>
      <c r="C674" s="37">
        <v>40.990055</v>
      </c>
      <c r="D674" s="37">
        <v>39.190055</v>
      </c>
    </row>
    <row r="675" ht="14.25" customHeight="1">
      <c r="A675" s="4" t="s">
        <v>3266</v>
      </c>
      <c r="B675" s="37">
        <v>19.0</v>
      </c>
      <c r="C675" s="37">
        <v>58.156435</v>
      </c>
      <c r="D675" s="37">
        <v>39.156435</v>
      </c>
    </row>
    <row r="676" ht="14.25" customHeight="1">
      <c r="A676" s="4" t="s">
        <v>7475</v>
      </c>
      <c r="B676" s="37">
        <v>0.5</v>
      </c>
      <c r="C676" s="37">
        <v>39.5526</v>
      </c>
      <c r="D676" s="37">
        <v>39.0526</v>
      </c>
    </row>
    <row r="677" ht="14.25" customHeight="1">
      <c r="A677" s="4" t="s">
        <v>3509</v>
      </c>
      <c r="B677" s="37">
        <v>28.0</v>
      </c>
      <c r="C677" s="37">
        <v>66.950483</v>
      </c>
      <c r="D677" s="37">
        <v>38.950483</v>
      </c>
    </row>
    <row r="678" ht="14.25" customHeight="1">
      <c r="A678" s="4" t="s">
        <v>5277</v>
      </c>
      <c r="B678" s="37">
        <v>13.0</v>
      </c>
      <c r="C678" s="37">
        <v>51.872378</v>
      </c>
      <c r="D678" s="37">
        <v>38.872378</v>
      </c>
    </row>
    <row r="679" ht="14.25" customHeight="1">
      <c r="A679" s="4" t="s">
        <v>1874</v>
      </c>
      <c r="B679" s="37">
        <v>55.0</v>
      </c>
      <c r="C679" s="37">
        <v>93.815117</v>
      </c>
      <c r="D679" s="37">
        <v>38.815117</v>
      </c>
    </row>
    <row r="680" ht="14.25" customHeight="1">
      <c r="A680" s="4" t="s">
        <v>5498</v>
      </c>
      <c r="B680" s="37">
        <v>11.0</v>
      </c>
      <c r="C680" s="37">
        <v>49.797148</v>
      </c>
      <c r="D680" s="37">
        <v>38.797148</v>
      </c>
    </row>
    <row r="681" ht="14.25" customHeight="1">
      <c r="A681" s="4" t="s">
        <v>5676</v>
      </c>
      <c r="B681" s="37">
        <v>5.0</v>
      </c>
      <c r="C681" s="37">
        <v>43.771291</v>
      </c>
      <c r="D681" s="37">
        <v>38.771291</v>
      </c>
    </row>
    <row r="682" ht="14.25" customHeight="1">
      <c r="A682" s="4" t="s">
        <v>5676</v>
      </c>
      <c r="B682" s="37">
        <v>5.0</v>
      </c>
      <c r="C682" s="37">
        <v>43.771291</v>
      </c>
      <c r="D682" s="37">
        <v>38.771291</v>
      </c>
    </row>
    <row r="683" ht="14.25" customHeight="1">
      <c r="A683" s="4" t="s">
        <v>156</v>
      </c>
      <c r="B683" s="37">
        <v>190.0</v>
      </c>
      <c r="C683" s="37">
        <v>228.756232</v>
      </c>
      <c r="D683" s="37">
        <v>38.756232</v>
      </c>
    </row>
    <row r="684" ht="14.25" customHeight="1">
      <c r="A684" s="4" t="s">
        <v>4464</v>
      </c>
      <c r="B684" s="37">
        <v>13.0</v>
      </c>
      <c r="C684" s="37">
        <v>51.697449</v>
      </c>
      <c r="D684" s="37">
        <v>38.697449</v>
      </c>
    </row>
    <row r="685" ht="14.25" customHeight="1">
      <c r="A685" s="4" t="s">
        <v>2057</v>
      </c>
      <c r="B685" s="37">
        <v>50.0</v>
      </c>
      <c r="C685" s="37">
        <v>88.658172</v>
      </c>
      <c r="D685" s="37">
        <v>38.658172</v>
      </c>
    </row>
    <row r="686" ht="14.25" customHeight="1">
      <c r="A686" s="4" t="s">
        <v>250</v>
      </c>
      <c r="B686" s="37">
        <v>170.0</v>
      </c>
      <c r="C686" s="37">
        <v>208.543795</v>
      </c>
      <c r="D686" s="37">
        <v>38.543795</v>
      </c>
    </row>
    <row r="687" ht="14.25" customHeight="1">
      <c r="A687" s="4" t="s">
        <v>5587</v>
      </c>
      <c r="B687" s="37">
        <v>13.8</v>
      </c>
      <c r="C687" s="37">
        <v>52.293982</v>
      </c>
      <c r="D687" s="37">
        <v>38.493982</v>
      </c>
    </row>
    <row r="688" ht="14.25" customHeight="1">
      <c r="A688" s="4" t="s">
        <v>1875</v>
      </c>
      <c r="B688" s="37">
        <v>53.0</v>
      </c>
      <c r="C688" s="37">
        <v>91.4</v>
      </c>
      <c r="D688" s="37">
        <v>38.4</v>
      </c>
    </row>
    <row r="689" ht="14.25" customHeight="1">
      <c r="A689" s="4" t="s">
        <v>2284</v>
      </c>
      <c r="B689" s="37">
        <v>45.0</v>
      </c>
      <c r="C689" s="37">
        <v>83.287363</v>
      </c>
      <c r="D689" s="37">
        <v>38.287363</v>
      </c>
    </row>
    <row r="690" ht="14.25" customHeight="1">
      <c r="A690" s="4" t="s">
        <v>541</v>
      </c>
      <c r="B690" s="37">
        <v>125.0</v>
      </c>
      <c r="C690" s="37">
        <v>163.192114</v>
      </c>
      <c r="D690" s="37">
        <v>38.192114</v>
      </c>
    </row>
    <row r="691" ht="14.25" customHeight="1">
      <c r="A691" s="4" t="s">
        <v>541</v>
      </c>
      <c r="B691" s="37">
        <v>125.0</v>
      </c>
      <c r="C691" s="37">
        <v>163.192114</v>
      </c>
      <c r="D691" s="37">
        <v>38.192114</v>
      </c>
    </row>
    <row r="692" ht="14.25" customHeight="1">
      <c r="A692" s="4" t="s">
        <v>4468</v>
      </c>
      <c r="B692" s="37">
        <v>18.0</v>
      </c>
      <c r="C692" s="37">
        <v>56.127162</v>
      </c>
      <c r="D692" s="37">
        <v>38.127162</v>
      </c>
    </row>
    <row r="693" ht="14.25" customHeight="1">
      <c r="A693" s="4" t="s">
        <v>1248</v>
      </c>
      <c r="B693" s="37">
        <v>35.0</v>
      </c>
      <c r="C693" s="37">
        <v>73.023275</v>
      </c>
      <c r="D693" s="37">
        <v>38.023275</v>
      </c>
    </row>
    <row r="694" ht="14.25" customHeight="1">
      <c r="A694" s="4" t="s">
        <v>4740</v>
      </c>
      <c r="B694" s="37">
        <v>16.0</v>
      </c>
      <c r="C694" s="37">
        <v>54.0</v>
      </c>
      <c r="D694" s="37">
        <v>38.0</v>
      </c>
    </row>
    <row r="695" ht="14.25" customHeight="1">
      <c r="A695" s="4" t="s">
        <v>3139</v>
      </c>
      <c r="B695" s="37">
        <v>20.0</v>
      </c>
      <c r="C695" s="37">
        <v>57.74472</v>
      </c>
      <c r="D695" s="37">
        <v>37.74472</v>
      </c>
    </row>
    <row r="696" ht="14.25" customHeight="1">
      <c r="A696" s="4" t="s">
        <v>4022</v>
      </c>
      <c r="B696" s="37">
        <v>22.0</v>
      </c>
      <c r="C696" s="37">
        <v>59.696176</v>
      </c>
      <c r="D696" s="37">
        <v>37.696176</v>
      </c>
    </row>
    <row r="697" ht="14.25" customHeight="1">
      <c r="A697" s="4" t="s">
        <v>6245</v>
      </c>
      <c r="B697" s="37">
        <v>6.0</v>
      </c>
      <c r="C697" s="37">
        <v>43.65</v>
      </c>
      <c r="D697" s="37">
        <v>37.65</v>
      </c>
    </row>
    <row r="698" ht="14.25" customHeight="1">
      <c r="A698" s="4" t="s">
        <v>6917</v>
      </c>
      <c r="B698" s="37">
        <v>2.5</v>
      </c>
      <c r="C698" s="37">
        <v>40.041683</v>
      </c>
      <c r="D698" s="37">
        <v>37.541683</v>
      </c>
    </row>
    <row r="699" ht="14.25" customHeight="1">
      <c r="A699" s="4" t="s">
        <v>2804</v>
      </c>
      <c r="B699" s="37">
        <v>10.0</v>
      </c>
      <c r="C699" s="37">
        <v>47.536959</v>
      </c>
      <c r="D699" s="37">
        <v>37.536959</v>
      </c>
    </row>
    <row r="700" ht="14.25" customHeight="1">
      <c r="A700" s="4" t="s">
        <v>2804</v>
      </c>
      <c r="B700" s="37">
        <v>10.0</v>
      </c>
      <c r="C700" s="37">
        <v>47.536959</v>
      </c>
      <c r="D700" s="37">
        <v>37.536959</v>
      </c>
    </row>
    <row r="701" ht="14.25" customHeight="1">
      <c r="A701" s="4" t="s">
        <v>5351</v>
      </c>
      <c r="B701" s="37">
        <v>5.0</v>
      </c>
      <c r="C701" s="37">
        <v>42.3656</v>
      </c>
      <c r="D701" s="37">
        <v>37.3656</v>
      </c>
    </row>
    <row r="702" ht="14.25" customHeight="1">
      <c r="A702" s="4" t="s">
        <v>4864</v>
      </c>
      <c r="B702" s="37">
        <v>17.0</v>
      </c>
      <c r="C702" s="37">
        <v>54.322273</v>
      </c>
      <c r="D702" s="37">
        <v>37.322273</v>
      </c>
    </row>
    <row r="703" ht="14.25" customHeight="1">
      <c r="A703" s="4" t="s">
        <v>5198</v>
      </c>
      <c r="B703" s="37">
        <v>17.0</v>
      </c>
      <c r="C703" s="37">
        <v>54.257433</v>
      </c>
      <c r="D703" s="37">
        <v>37.257433</v>
      </c>
    </row>
    <row r="704" ht="14.25" customHeight="1">
      <c r="A704" s="4" t="s">
        <v>2298</v>
      </c>
      <c r="B704" s="37">
        <v>30.0</v>
      </c>
      <c r="C704" s="37">
        <v>67.253092</v>
      </c>
      <c r="D704" s="37">
        <v>37.253092</v>
      </c>
    </row>
    <row r="705" ht="14.25" customHeight="1">
      <c r="A705" s="4" t="s">
        <v>4698</v>
      </c>
      <c r="B705" s="37">
        <v>17.0</v>
      </c>
      <c r="C705" s="37">
        <v>54.239856</v>
      </c>
      <c r="D705" s="37">
        <v>37.239856</v>
      </c>
    </row>
    <row r="706" ht="14.25" customHeight="1">
      <c r="A706" s="4" t="s">
        <v>5935</v>
      </c>
      <c r="B706" s="37">
        <v>8.0</v>
      </c>
      <c r="C706" s="37">
        <v>45.063889</v>
      </c>
      <c r="D706" s="37">
        <v>37.063889</v>
      </c>
    </row>
    <row r="707" ht="14.25" customHeight="1">
      <c r="A707" s="4" t="s">
        <v>5834</v>
      </c>
      <c r="B707" s="37">
        <v>9.4</v>
      </c>
      <c r="C707" s="37">
        <v>46.3</v>
      </c>
      <c r="D707" s="37">
        <v>36.9</v>
      </c>
    </row>
    <row r="708" ht="14.25" customHeight="1">
      <c r="A708" s="4" t="s">
        <v>4743</v>
      </c>
      <c r="B708" s="37">
        <v>16.0</v>
      </c>
      <c r="C708" s="37">
        <v>52.885587</v>
      </c>
      <c r="D708" s="37">
        <v>36.885587</v>
      </c>
    </row>
    <row r="709" ht="14.25" customHeight="1">
      <c r="A709" s="4" t="s">
        <v>4521</v>
      </c>
      <c r="B709" s="37">
        <v>17.0</v>
      </c>
      <c r="C709" s="37">
        <v>53.86803</v>
      </c>
      <c r="D709" s="37">
        <v>36.86803</v>
      </c>
    </row>
    <row r="710" ht="14.25" customHeight="1">
      <c r="A710" s="4" t="s">
        <v>4151</v>
      </c>
      <c r="B710" s="37">
        <v>20.0</v>
      </c>
      <c r="C710" s="37">
        <v>56.66787</v>
      </c>
      <c r="D710" s="37">
        <v>36.66787</v>
      </c>
    </row>
    <row r="711" ht="14.25" customHeight="1">
      <c r="A711" s="4" t="s">
        <v>1363</v>
      </c>
      <c r="B711" s="37">
        <v>80.0</v>
      </c>
      <c r="C711" s="37">
        <v>116.643346</v>
      </c>
      <c r="D711" s="37">
        <v>36.643346</v>
      </c>
    </row>
    <row r="712" ht="14.25" customHeight="1">
      <c r="A712" s="4" t="s">
        <v>460</v>
      </c>
      <c r="B712" s="37">
        <v>140.0</v>
      </c>
      <c r="C712" s="37">
        <v>176.636816</v>
      </c>
      <c r="D712" s="37">
        <v>36.636816</v>
      </c>
    </row>
    <row r="713" ht="14.25" customHeight="1">
      <c r="A713" s="4" t="s">
        <v>3253</v>
      </c>
      <c r="B713" s="37">
        <v>30.0</v>
      </c>
      <c r="C713" s="37">
        <v>66.6</v>
      </c>
      <c r="D713" s="37">
        <v>36.6</v>
      </c>
    </row>
    <row r="714" ht="14.25" customHeight="1">
      <c r="A714" s="4" t="s">
        <v>6073</v>
      </c>
      <c r="B714" s="37">
        <v>7.2</v>
      </c>
      <c r="C714" s="37">
        <v>43.8</v>
      </c>
      <c r="D714" s="37">
        <v>36.6</v>
      </c>
    </row>
    <row r="715" ht="14.25" customHeight="1">
      <c r="A715" s="4" t="s">
        <v>3239</v>
      </c>
      <c r="B715" s="37">
        <v>30.0</v>
      </c>
      <c r="C715" s="37">
        <v>66.528842</v>
      </c>
      <c r="D715" s="37">
        <v>36.528842</v>
      </c>
    </row>
    <row r="716" ht="14.25" customHeight="1">
      <c r="A716" s="4" t="s">
        <v>5093</v>
      </c>
      <c r="B716" s="37">
        <v>15.0</v>
      </c>
      <c r="C716" s="37">
        <v>51.527787</v>
      </c>
      <c r="D716" s="37">
        <v>36.527787</v>
      </c>
    </row>
    <row r="717" ht="14.25" customHeight="1">
      <c r="A717" s="4" t="s">
        <v>3250</v>
      </c>
      <c r="B717" s="37">
        <v>30.0</v>
      </c>
      <c r="C717" s="37">
        <v>66.468315</v>
      </c>
      <c r="D717" s="37">
        <v>36.468315</v>
      </c>
    </row>
    <row r="718" ht="14.25" customHeight="1">
      <c r="A718" s="4" t="s">
        <v>4153</v>
      </c>
      <c r="B718" s="37">
        <v>20.0</v>
      </c>
      <c r="C718" s="37">
        <v>56.398162</v>
      </c>
      <c r="D718" s="37">
        <v>36.398162</v>
      </c>
    </row>
    <row r="719" ht="14.25" customHeight="1">
      <c r="A719" s="4" t="s">
        <v>5599</v>
      </c>
      <c r="B719" s="37">
        <v>10.0</v>
      </c>
      <c r="C719" s="37">
        <v>46.377022</v>
      </c>
      <c r="D719" s="37">
        <v>36.377022</v>
      </c>
    </row>
    <row r="720" ht="14.25" customHeight="1">
      <c r="A720" s="4" t="s">
        <v>3482</v>
      </c>
      <c r="B720" s="37">
        <v>28.0</v>
      </c>
      <c r="C720" s="37">
        <v>64.371181</v>
      </c>
      <c r="D720" s="37">
        <v>36.371181</v>
      </c>
    </row>
    <row r="721" ht="14.25" customHeight="1">
      <c r="A721" s="4" t="s">
        <v>4156</v>
      </c>
      <c r="B721" s="37">
        <v>20.0</v>
      </c>
      <c r="C721" s="37">
        <v>56.362352</v>
      </c>
      <c r="D721" s="37">
        <v>36.362352</v>
      </c>
    </row>
    <row r="722" ht="14.25" customHeight="1">
      <c r="A722" s="4" t="s">
        <v>358</v>
      </c>
      <c r="B722" s="37">
        <v>170.0</v>
      </c>
      <c r="C722" s="37">
        <v>206.360018</v>
      </c>
      <c r="D722" s="37">
        <v>36.360018</v>
      </c>
    </row>
    <row r="723" ht="14.25" customHeight="1">
      <c r="A723" s="4" t="s">
        <v>3612</v>
      </c>
      <c r="B723" s="37">
        <v>22.0</v>
      </c>
      <c r="C723" s="37">
        <v>58.32868</v>
      </c>
      <c r="D723" s="37">
        <v>36.32868</v>
      </c>
    </row>
    <row r="724" ht="14.25" customHeight="1">
      <c r="A724" s="4" t="s">
        <v>1885</v>
      </c>
      <c r="B724" s="37">
        <v>30.0</v>
      </c>
      <c r="C724" s="37">
        <v>66.20792</v>
      </c>
      <c r="D724" s="37">
        <v>36.20792</v>
      </c>
    </row>
    <row r="725" ht="14.25" customHeight="1">
      <c r="A725" s="4" t="s">
        <v>4159</v>
      </c>
      <c r="B725" s="37">
        <v>20.0</v>
      </c>
      <c r="C725" s="37">
        <v>56.154094</v>
      </c>
      <c r="D725" s="37">
        <v>36.154094</v>
      </c>
    </row>
    <row r="726" ht="14.25" customHeight="1">
      <c r="A726" s="4" t="s">
        <v>5191</v>
      </c>
      <c r="B726" s="37">
        <v>12.5</v>
      </c>
      <c r="C726" s="37">
        <v>48.637684</v>
      </c>
      <c r="D726" s="37">
        <v>36.137684</v>
      </c>
    </row>
    <row r="727" ht="14.25" customHeight="1">
      <c r="A727" s="4" t="s">
        <v>5204</v>
      </c>
      <c r="B727" s="37">
        <v>13.0</v>
      </c>
      <c r="C727" s="37">
        <v>49.121934</v>
      </c>
      <c r="D727" s="37">
        <v>36.121934</v>
      </c>
    </row>
    <row r="728" ht="14.25" customHeight="1">
      <c r="A728" s="4" t="s">
        <v>6030</v>
      </c>
      <c r="B728" s="37">
        <v>7.5</v>
      </c>
      <c r="C728" s="37">
        <v>43.490057</v>
      </c>
      <c r="D728" s="37">
        <v>35.990057</v>
      </c>
    </row>
    <row r="729" ht="14.25" customHeight="1">
      <c r="A729" s="4" t="s">
        <v>4013</v>
      </c>
      <c r="B729" s="37">
        <v>35.0</v>
      </c>
      <c r="C729" s="37">
        <v>70.960517</v>
      </c>
      <c r="D729" s="37">
        <v>35.960517</v>
      </c>
    </row>
    <row r="730" ht="14.25" customHeight="1">
      <c r="A730" s="4" t="s">
        <v>3487</v>
      </c>
      <c r="B730" s="37">
        <v>28.0</v>
      </c>
      <c r="C730" s="37">
        <v>63.910583</v>
      </c>
      <c r="D730" s="37">
        <v>35.910583</v>
      </c>
    </row>
    <row r="731" ht="14.25" customHeight="1">
      <c r="A731" s="4" t="s">
        <v>5312</v>
      </c>
      <c r="B731" s="37">
        <v>12.5</v>
      </c>
      <c r="C731" s="37">
        <v>48.092846</v>
      </c>
      <c r="D731" s="37">
        <v>35.592846</v>
      </c>
    </row>
    <row r="732" ht="14.25" customHeight="1">
      <c r="A732" s="4" t="s">
        <v>3613</v>
      </c>
      <c r="B732" s="37">
        <v>26.0</v>
      </c>
      <c r="C732" s="37">
        <v>61.49</v>
      </c>
      <c r="D732" s="37">
        <v>35.49</v>
      </c>
    </row>
    <row r="733" ht="14.25" customHeight="1">
      <c r="A733" s="4" t="s">
        <v>1499</v>
      </c>
      <c r="B733" s="37">
        <v>65.0</v>
      </c>
      <c r="C733" s="37">
        <v>100.468793</v>
      </c>
      <c r="D733" s="37">
        <v>35.468793</v>
      </c>
    </row>
    <row r="734" ht="14.25" customHeight="1">
      <c r="A734" s="4" t="s">
        <v>4163</v>
      </c>
      <c r="B734" s="37">
        <v>20.0</v>
      </c>
      <c r="C734" s="37">
        <v>55.461307</v>
      </c>
      <c r="D734" s="37">
        <v>35.461307</v>
      </c>
    </row>
    <row r="735" ht="14.25" customHeight="1">
      <c r="A735" s="4" t="s">
        <v>1502</v>
      </c>
      <c r="B735" s="37">
        <v>65.0</v>
      </c>
      <c r="C735" s="37">
        <v>100.448498</v>
      </c>
      <c r="D735" s="37">
        <v>35.448498</v>
      </c>
    </row>
    <row r="736" ht="14.25" customHeight="1">
      <c r="A736" s="4" t="s">
        <v>3704</v>
      </c>
      <c r="B736" s="37">
        <v>25.0</v>
      </c>
      <c r="C736" s="37">
        <v>60.443237</v>
      </c>
      <c r="D736" s="37">
        <v>35.443237</v>
      </c>
    </row>
    <row r="737" ht="14.25" customHeight="1">
      <c r="A737" s="4" t="s">
        <v>125</v>
      </c>
      <c r="B737" s="37">
        <v>210.0</v>
      </c>
      <c r="C737" s="37">
        <v>245.428137</v>
      </c>
      <c r="D737" s="37">
        <v>35.428137</v>
      </c>
    </row>
    <row r="738" ht="14.25" customHeight="1">
      <c r="A738" s="4" t="s">
        <v>2534</v>
      </c>
      <c r="B738" s="37">
        <v>40.0</v>
      </c>
      <c r="C738" s="37">
        <v>75.305995</v>
      </c>
      <c r="D738" s="37">
        <v>35.305995</v>
      </c>
    </row>
    <row r="739" ht="14.25" customHeight="1">
      <c r="A739" s="4" t="s">
        <v>2845</v>
      </c>
      <c r="B739" s="37">
        <v>37.0</v>
      </c>
      <c r="C739" s="37">
        <v>72.27969</v>
      </c>
      <c r="D739" s="37">
        <v>35.27969</v>
      </c>
    </row>
    <row r="740" ht="14.25" customHeight="1">
      <c r="A740" s="4" t="s">
        <v>6606</v>
      </c>
      <c r="B740" s="37">
        <v>4.0</v>
      </c>
      <c r="C740" s="37">
        <v>39.2</v>
      </c>
      <c r="D740" s="37">
        <v>35.2</v>
      </c>
    </row>
    <row r="741" ht="14.25" customHeight="1">
      <c r="A741" s="4" t="s">
        <v>6784</v>
      </c>
      <c r="B741" s="37">
        <v>3.0</v>
      </c>
      <c r="C741" s="37">
        <v>38.168022</v>
      </c>
      <c r="D741" s="37">
        <v>35.168022</v>
      </c>
    </row>
    <row r="742" ht="14.25" customHeight="1">
      <c r="A742" s="4" t="s">
        <v>3863</v>
      </c>
      <c r="B742" s="37">
        <v>14.0</v>
      </c>
      <c r="C742" s="37">
        <v>49.122319</v>
      </c>
      <c r="D742" s="37">
        <v>35.122319</v>
      </c>
    </row>
    <row r="743" ht="14.25" customHeight="1">
      <c r="A743" s="4" t="s">
        <v>2847</v>
      </c>
      <c r="B743" s="37">
        <v>36.0</v>
      </c>
      <c r="C743" s="37">
        <v>71.026631</v>
      </c>
      <c r="D743" s="37">
        <v>35.026631</v>
      </c>
    </row>
    <row r="744" ht="14.25" customHeight="1">
      <c r="A744" s="4" t="s">
        <v>3244</v>
      </c>
      <c r="B744" s="37">
        <v>30.0</v>
      </c>
      <c r="C744" s="37">
        <v>65.010106</v>
      </c>
      <c r="D744" s="37">
        <v>35.010106</v>
      </c>
    </row>
    <row r="745" ht="14.25" customHeight="1">
      <c r="A745" s="4" t="s">
        <v>4634</v>
      </c>
      <c r="B745" s="37">
        <v>23.0</v>
      </c>
      <c r="C745" s="37">
        <v>58.006147</v>
      </c>
      <c r="D745" s="37">
        <v>35.006147</v>
      </c>
    </row>
    <row r="746" ht="14.25" customHeight="1">
      <c r="A746" s="4" t="s">
        <v>1643</v>
      </c>
      <c r="B746" s="37">
        <v>65.0</v>
      </c>
      <c r="C746" s="37">
        <v>100.003492</v>
      </c>
      <c r="D746" s="37">
        <v>35.003492</v>
      </c>
    </row>
    <row r="747" ht="14.25" customHeight="1">
      <c r="A747" s="4" t="s">
        <v>4862</v>
      </c>
      <c r="B747" s="37">
        <v>15.0</v>
      </c>
      <c r="C747" s="37">
        <v>50.0033</v>
      </c>
      <c r="D747" s="37">
        <v>35.0033</v>
      </c>
    </row>
    <row r="748" ht="14.25" customHeight="1">
      <c r="A748" s="4" t="s">
        <v>4879</v>
      </c>
      <c r="B748" s="37">
        <v>10.0</v>
      </c>
      <c r="C748" s="37">
        <v>44.886089</v>
      </c>
      <c r="D748" s="37">
        <v>34.886089</v>
      </c>
    </row>
    <row r="749" ht="14.25" customHeight="1">
      <c r="A749" s="4" t="s">
        <v>1879</v>
      </c>
      <c r="B749" s="37">
        <v>55.0</v>
      </c>
      <c r="C749" s="37">
        <v>89.706988</v>
      </c>
      <c r="D749" s="37">
        <v>34.706988</v>
      </c>
    </row>
    <row r="750" ht="14.25" customHeight="1">
      <c r="A750" s="4" t="s">
        <v>4111</v>
      </c>
      <c r="B750" s="37">
        <v>35.0</v>
      </c>
      <c r="C750" s="37">
        <v>69.7</v>
      </c>
      <c r="D750" s="37">
        <v>34.7</v>
      </c>
    </row>
    <row r="751" ht="14.25" customHeight="1">
      <c r="A751" s="4" t="s">
        <v>6163</v>
      </c>
      <c r="B751" s="37">
        <v>6.9</v>
      </c>
      <c r="C751" s="37">
        <v>41.4</v>
      </c>
      <c r="D751" s="37">
        <v>34.5</v>
      </c>
    </row>
    <row r="752" ht="14.25" customHeight="1">
      <c r="A752" s="4" t="s">
        <v>3489</v>
      </c>
      <c r="B752" s="37">
        <v>28.0</v>
      </c>
      <c r="C752" s="37">
        <v>62.3</v>
      </c>
      <c r="D752" s="37">
        <v>34.3</v>
      </c>
    </row>
    <row r="753" ht="14.25" customHeight="1">
      <c r="A753" s="4" t="s">
        <v>2058</v>
      </c>
      <c r="B753" s="37">
        <v>50.0</v>
      </c>
      <c r="C753" s="37">
        <v>84.244877</v>
      </c>
      <c r="D753" s="37">
        <v>34.244877</v>
      </c>
    </row>
    <row r="754" ht="14.25" customHeight="1">
      <c r="A754" s="4" t="s">
        <v>1311</v>
      </c>
      <c r="B754" s="37">
        <v>73.0</v>
      </c>
      <c r="C754" s="37">
        <v>107.225164</v>
      </c>
      <c r="D754" s="37">
        <v>34.225164</v>
      </c>
    </row>
    <row r="755" ht="14.25" customHeight="1">
      <c r="A755" s="4" t="s">
        <v>7121</v>
      </c>
      <c r="B755" s="37">
        <v>1.7</v>
      </c>
      <c r="C755" s="37">
        <v>35.918429</v>
      </c>
      <c r="D755" s="37">
        <v>34.218429</v>
      </c>
    </row>
    <row r="756" ht="14.25" customHeight="1">
      <c r="A756" s="4" t="s">
        <v>3251</v>
      </c>
      <c r="B756" s="37">
        <v>30.0</v>
      </c>
      <c r="C756" s="37">
        <v>64.172251</v>
      </c>
      <c r="D756" s="37">
        <v>34.172251</v>
      </c>
    </row>
    <row r="757" ht="14.25" customHeight="1">
      <c r="A757" s="4" t="s">
        <v>2535</v>
      </c>
      <c r="B757" s="37">
        <v>40.0</v>
      </c>
      <c r="C757" s="37">
        <v>74.098862</v>
      </c>
      <c r="D757" s="37">
        <v>34.098862</v>
      </c>
    </row>
    <row r="758" ht="14.25" customHeight="1">
      <c r="A758" s="4" t="s">
        <v>3191</v>
      </c>
      <c r="B758" s="37">
        <v>25.0</v>
      </c>
      <c r="C758" s="37">
        <v>59.073773</v>
      </c>
      <c r="D758" s="37">
        <v>34.073773</v>
      </c>
    </row>
    <row r="759" ht="14.25" customHeight="1">
      <c r="A759" s="4" t="s">
        <v>3456</v>
      </c>
      <c r="B759" s="37">
        <v>29.0</v>
      </c>
      <c r="C759" s="37">
        <v>63.034755</v>
      </c>
      <c r="D759" s="37">
        <v>34.034755</v>
      </c>
    </row>
    <row r="760" ht="14.25" customHeight="1">
      <c r="A760" s="4" t="s">
        <v>4882</v>
      </c>
      <c r="B760" s="37">
        <v>7.0</v>
      </c>
      <c r="C760" s="37">
        <v>40.983001</v>
      </c>
      <c r="D760" s="37">
        <v>33.983001</v>
      </c>
    </row>
    <row r="761" ht="14.25" customHeight="1">
      <c r="A761" s="4" t="s">
        <v>153</v>
      </c>
      <c r="B761" s="37">
        <v>200.0</v>
      </c>
      <c r="C761" s="37">
        <v>233.914986</v>
      </c>
      <c r="D761" s="37">
        <v>33.914986</v>
      </c>
    </row>
    <row r="762" ht="14.25" customHeight="1">
      <c r="A762" s="4" t="s">
        <v>6246</v>
      </c>
      <c r="B762" s="37">
        <v>6.0</v>
      </c>
      <c r="C762" s="37">
        <v>39.8</v>
      </c>
      <c r="D762" s="37">
        <v>33.8</v>
      </c>
    </row>
    <row r="763" ht="14.25" customHeight="1">
      <c r="A763" s="4" t="s">
        <v>4014</v>
      </c>
      <c r="B763" s="37">
        <v>22.0</v>
      </c>
      <c r="C763" s="37">
        <v>55.762229</v>
      </c>
      <c r="D763" s="37">
        <v>33.762229</v>
      </c>
    </row>
    <row r="764" ht="14.25" customHeight="1">
      <c r="A764" s="4" t="s">
        <v>5185</v>
      </c>
      <c r="B764" s="37">
        <v>13.0</v>
      </c>
      <c r="C764" s="37">
        <v>46.729374</v>
      </c>
      <c r="D764" s="37">
        <v>33.729374</v>
      </c>
    </row>
    <row r="765" ht="14.25" customHeight="1">
      <c r="A765" s="4" t="s">
        <v>4528</v>
      </c>
      <c r="B765" s="37">
        <v>18.0</v>
      </c>
      <c r="C765" s="37">
        <v>51.6</v>
      </c>
      <c r="D765" s="37">
        <v>33.6</v>
      </c>
    </row>
    <row r="766" ht="14.25" customHeight="1">
      <c r="A766" s="4" t="s">
        <v>5829</v>
      </c>
      <c r="B766" s="37">
        <v>9.5</v>
      </c>
      <c r="C766" s="37">
        <v>43.1</v>
      </c>
      <c r="D766" s="37">
        <v>33.6</v>
      </c>
    </row>
    <row r="767" ht="14.25" customHeight="1">
      <c r="A767" s="4" t="s">
        <v>5499</v>
      </c>
      <c r="B767" s="37">
        <v>13.0</v>
      </c>
      <c r="C767" s="37">
        <v>46.563158</v>
      </c>
      <c r="D767" s="37">
        <v>33.563158</v>
      </c>
    </row>
    <row r="768" ht="14.25" customHeight="1">
      <c r="A768" s="4" t="s">
        <v>4637</v>
      </c>
      <c r="B768" s="37">
        <v>17.5</v>
      </c>
      <c r="C768" s="37">
        <v>51.053787</v>
      </c>
      <c r="D768" s="37">
        <v>33.553787</v>
      </c>
    </row>
    <row r="769" ht="14.25" customHeight="1">
      <c r="A769" s="4" t="s">
        <v>3254</v>
      </c>
      <c r="B769" s="37">
        <v>30.0</v>
      </c>
      <c r="C769" s="37">
        <v>63.536011</v>
      </c>
      <c r="D769" s="37">
        <v>33.536011</v>
      </c>
    </row>
    <row r="770" ht="14.25" customHeight="1">
      <c r="A770" s="4" t="s">
        <v>3564</v>
      </c>
      <c r="B770" s="37">
        <v>27.0</v>
      </c>
      <c r="C770" s="37">
        <v>60.49156</v>
      </c>
      <c r="D770" s="37">
        <v>33.49156</v>
      </c>
    </row>
    <row r="771" ht="14.25" customHeight="1">
      <c r="A771" s="4" t="s">
        <v>1621</v>
      </c>
      <c r="B771" s="37">
        <v>60.0</v>
      </c>
      <c r="C771" s="37">
        <v>93.375151</v>
      </c>
      <c r="D771" s="37">
        <v>33.375151</v>
      </c>
    </row>
    <row r="772" ht="14.25" customHeight="1">
      <c r="A772" s="4" t="s">
        <v>84</v>
      </c>
      <c r="B772" s="37">
        <v>225.0</v>
      </c>
      <c r="C772" s="37">
        <v>258.355354</v>
      </c>
      <c r="D772" s="37">
        <v>33.355354</v>
      </c>
    </row>
    <row r="773" ht="14.25" customHeight="1">
      <c r="A773" s="4" t="s">
        <v>1257</v>
      </c>
      <c r="B773" s="37">
        <v>70.0</v>
      </c>
      <c r="C773" s="37">
        <v>103.338338</v>
      </c>
      <c r="D773" s="37">
        <v>33.338338</v>
      </c>
    </row>
    <row r="774" ht="14.25" customHeight="1">
      <c r="A774" s="4" t="s">
        <v>1625</v>
      </c>
      <c r="B774" s="37">
        <v>60.0</v>
      </c>
      <c r="C774" s="37">
        <v>93.307796</v>
      </c>
      <c r="D774" s="37">
        <v>33.307796</v>
      </c>
    </row>
    <row r="775" ht="14.25" customHeight="1">
      <c r="A775" s="4" t="s">
        <v>900</v>
      </c>
      <c r="B775" s="37">
        <v>92.0</v>
      </c>
      <c r="C775" s="37">
        <v>125.305545</v>
      </c>
      <c r="D775" s="37">
        <v>33.305545</v>
      </c>
    </row>
    <row r="776" ht="14.25" customHeight="1">
      <c r="A776" s="4" t="s">
        <v>3915</v>
      </c>
      <c r="B776" s="37">
        <v>24.0</v>
      </c>
      <c r="C776" s="37">
        <v>57.262492</v>
      </c>
      <c r="D776" s="37">
        <v>33.262492</v>
      </c>
    </row>
    <row r="777" ht="14.25" customHeight="1">
      <c r="A777" s="4" t="s">
        <v>6078</v>
      </c>
      <c r="B777" s="37">
        <v>7.0</v>
      </c>
      <c r="C777" s="37">
        <v>40.158</v>
      </c>
      <c r="D777" s="37">
        <v>33.158</v>
      </c>
    </row>
    <row r="778" ht="14.25" customHeight="1">
      <c r="A778" s="4" t="s">
        <v>974</v>
      </c>
      <c r="B778" s="37">
        <v>87.0</v>
      </c>
      <c r="C778" s="37">
        <v>120.147445</v>
      </c>
      <c r="D778" s="37">
        <v>33.147445</v>
      </c>
    </row>
    <row r="779" ht="14.25" customHeight="1">
      <c r="A779" s="4" t="s">
        <v>4231</v>
      </c>
      <c r="B779" s="37">
        <v>20.0</v>
      </c>
      <c r="C779" s="37">
        <v>53.146</v>
      </c>
      <c r="D779" s="37">
        <v>33.146</v>
      </c>
    </row>
    <row r="780" ht="14.25" customHeight="1">
      <c r="A780" s="4" t="s">
        <v>2905</v>
      </c>
      <c r="B780" s="37">
        <v>35.0</v>
      </c>
      <c r="C780" s="37">
        <v>67.962333</v>
      </c>
      <c r="D780" s="37">
        <v>32.962333</v>
      </c>
    </row>
    <row r="781" ht="14.25" customHeight="1">
      <c r="A781" s="4" t="s">
        <v>7471</v>
      </c>
      <c r="B781" s="37">
        <v>0.5</v>
      </c>
      <c r="C781" s="37">
        <v>33.451479</v>
      </c>
      <c r="D781" s="37">
        <v>32.951479</v>
      </c>
    </row>
    <row r="782" ht="14.25" customHeight="1">
      <c r="A782" s="4" t="s">
        <v>3483</v>
      </c>
      <c r="B782" s="37">
        <v>26.0</v>
      </c>
      <c r="C782" s="37">
        <v>58.885635</v>
      </c>
      <c r="D782" s="37">
        <v>32.885635</v>
      </c>
    </row>
    <row r="783" ht="14.25" customHeight="1">
      <c r="A783" s="4" t="s">
        <v>3483</v>
      </c>
      <c r="B783" s="37">
        <v>26.0</v>
      </c>
      <c r="C783" s="37">
        <v>58.885635</v>
      </c>
      <c r="D783" s="37">
        <v>32.885635</v>
      </c>
    </row>
    <row r="784" ht="14.25" customHeight="1">
      <c r="A784" s="4" t="s">
        <v>3255</v>
      </c>
      <c r="B784" s="37">
        <v>30.0</v>
      </c>
      <c r="C784" s="37">
        <v>62.877175</v>
      </c>
      <c r="D784" s="37">
        <v>32.877175</v>
      </c>
    </row>
    <row r="785" ht="14.25" customHeight="1">
      <c r="A785" s="4" t="s">
        <v>4865</v>
      </c>
      <c r="B785" s="37">
        <v>15.0</v>
      </c>
      <c r="C785" s="37">
        <v>47.860214</v>
      </c>
      <c r="D785" s="37">
        <v>32.860214</v>
      </c>
    </row>
    <row r="786" ht="14.25" customHeight="1">
      <c r="A786" s="4" t="s">
        <v>4867</v>
      </c>
      <c r="B786" s="37">
        <v>15.0</v>
      </c>
      <c r="C786" s="37">
        <v>47.811275</v>
      </c>
      <c r="D786" s="37">
        <v>32.811275</v>
      </c>
    </row>
    <row r="787" ht="14.25" customHeight="1">
      <c r="A787" s="4" t="s">
        <v>2545</v>
      </c>
      <c r="B787" s="37">
        <v>34.0</v>
      </c>
      <c r="C787" s="37">
        <v>66.808615</v>
      </c>
      <c r="D787" s="37">
        <v>32.808615</v>
      </c>
    </row>
    <row r="788" ht="14.25" customHeight="1">
      <c r="A788" s="4" t="s">
        <v>5096</v>
      </c>
      <c r="B788" s="37">
        <v>14.0</v>
      </c>
      <c r="C788" s="37">
        <v>46.8</v>
      </c>
      <c r="D788" s="37">
        <v>32.8</v>
      </c>
    </row>
    <row r="789" ht="14.25" customHeight="1">
      <c r="A789" s="4" t="s">
        <v>1366</v>
      </c>
      <c r="B789" s="37">
        <v>68.0</v>
      </c>
      <c r="C789" s="37">
        <v>100.614858</v>
      </c>
      <c r="D789" s="37">
        <v>32.614858</v>
      </c>
    </row>
    <row r="790" ht="14.25" customHeight="1">
      <c r="A790" s="4" t="s">
        <v>659</v>
      </c>
      <c r="B790" s="37">
        <v>110.0</v>
      </c>
      <c r="C790" s="37">
        <v>142.614158</v>
      </c>
      <c r="D790" s="37">
        <v>32.614158</v>
      </c>
    </row>
    <row r="791" ht="14.25" customHeight="1">
      <c r="A791" s="4" t="s">
        <v>2933</v>
      </c>
      <c r="B791" s="37">
        <v>35.0</v>
      </c>
      <c r="C791" s="37">
        <v>67.523385</v>
      </c>
      <c r="D791" s="37">
        <v>32.523385</v>
      </c>
    </row>
    <row r="792" ht="14.25" customHeight="1">
      <c r="A792" s="4" t="s">
        <v>7011</v>
      </c>
      <c r="B792" s="37">
        <v>2.0</v>
      </c>
      <c r="C792" s="37">
        <v>34.522221</v>
      </c>
      <c r="D792" s="37">
        <v>32.522221</v>
      </c>
    </row>
    <row r="793" ht="14.25" customHeight="1">
      <c r="A793" s="4" t="s">
        <v>5902</v>
      </c>
      <c r="B793" s="37">
        <v>7.0</v>
      </c>
      <c r="C793" s="37">
        <v>39.462438</v>
      </c>
      <c r="D793" s="37">
        <v>32.462438</v>
      </c>
    </row>
    <row r="794" ht="14.25" customHeight="1">
      <c r="A794" s="4" t="s">
        <v>2532</v>
      </c>
      <c r="B794" s="37">
        <v>40.0</v>
      </c>
      <c r="C794" s="37">
        <v>72.455275</v>
      </c>
      <c r="D794" s="37">
        <v>32.455275</v>
      </c>
    </row>
    <row r="795" ht="14.25" customHeight="1">
      <c r="A795" s="4" t="s">
        <v>1638</v>
      </c>
      <c r="B795" s="37">
        <v>58.0</v>
      </c>
      <c r="C795" s="37">
        <v>90.356857</v>
      </c>
      <c r="D795" s="37">
        <v>32.356857</v>
      </c>
    </row>
    <row r="796" ht="14.25" customHeight="1">
      <c r="A796" s="4" t="s">
        <v>2554</v>
      </c>
      <c r="B796" s="37">
        <v>40.0</v>
      </c>
      <c r="C796" s="37">
        <v>72.306065</v>
      </c>
      <c r="D796" s="37">
        <v>32.306065</v>
      </c>
    </row>
    <row r="797" ht="14.25" customHeight="1">
      <c r="A797" s="4" t="s">
        <v>2536</v>
      </c>
      <c r="B797" s="37">
        <v>40.0</v>
      </c>
      <c r="C797" s="37">
        <v>72.266306</v>
      </c>
      <c r="D797" s="37">
        <v>32.266306</v>
      </c>
    </row>
    <row r="798" ht="14.25" customHeight="1">
      <c r="A798" s="4" t="s">
        <v>4016</v>
      </c>
      <c r="B798" s="37">
        <v>22.0</v>
      </c>
      <c r="C798" s="37">
        <v>54.235441</v>
      </c>
      <c r="D798" s="37">
        <v>32.235441</v>
      </c>
    </row>
    <row r="799" ht="14.25" customHeight="1">
      <c r="A799" s="4" t="s">
        <v>1086</v>
      </c>
      <c r="B799" s="37">
        <v>80.0</v>
      </c>
      <c r="C799" s="37">
        <v>112.225777</v>
      </c>
      <c r="D799" s="37">
        <v>32.225777</v>
      </c>
    </row>
    <row r="800" ht="14.25" customHeight="1">
      <c r="A800" s="4" t="s">
        <v>6973</v>
      </c>
      <c r="B800" s="37">
        <v>4.0</v>
      </c>
      <c r="C800" s="37">
        <v>36.2</v>
      </c>
      <c r="D800" s="37">
        <v>32.2</v>
      </c>
    </row>
    <row r="801" ht="14.25" customHeight="1">
      <c r="A801" s="4" t="s">
        <v>4143</v>
      </c>
      <c r="B801" s="37">
        <v>37.0</v>
      </c>
      <c r="C801" s="37">
        <v>69.148997</v>
      </c>
      <c r="D801" s="37">
        <v>32.148997</v>
      </c>
    </row>
    <row r="802" ht="14.25" customHeight="1">
      <c r="A802" s="4" t="s">
        <v>1003</v>
      </c>
      <c r="B802" s="37">
        <v>85.0</v>
      </c>
      <c r="C802" s="37">
        <v>117.144465</v>
      </c>
      <c r="D802" s="37">
        <v>32.144465</v>
      </c>
    </row>
    <row r="803" ht="14.25" customHeight="1">
      <c r="A803" s="4" t="s">
        <v>5938</v>
      </c>
      <c r="B803" s="37">
        <v>8.0</v>
      </c>
      <c r="C803" s="37">
        <v>40.066497</v>
      </c>
      <c r="D803" s="37">
        <v>32.066497</v>
      </c>
    </row>
    <row r="804" ht="14.25" customHeight="1">
      <c r="A804" s="4" t="s">
        <v>4169</v>
      </c>
      <c r="B804" s="37">
        <v>20.0</v>
      </c>
      <c r="C804" s="37">
        <v>52.066</v>
      </c>
      <c r="D804" s="37">
        <v>32.066</v>
      </c>
    </row>
    <row r="805" ht="14.25" customHeight="1">
      <c r="A805" s="4" t="s">
        <v>79</v>
      </c>
      <c r="B805" s="37">
        <v>230.0</v>
      </c>
      <c r="C805" s="37">
        <v>262.030663</v>
      </c>
      <c r="D805" s="37">
        <v>32.030663</v>
      </c>
    </row>
    <row r="806" ht="14.25" customHeight="1">
      <c r="A806" s="4" t="s">
        <v>6609</v>
      </c>
      <c r="B806" s="37">
        <v>4.0</v>
      </c>
      <c r="C806" s="37">
        <v>36.0</v>
      </c>
      <c r="D806" s="37">
        <v>32.0</v>
      </c>
    </row>
    <row r="807" ht="14.25" customHeight="1">
      <c r="A807" s="4" t="s">
        <v>438</v>
      </c>
      <c r="B807" s="37">
        <v>145.0</v>
      </c>
      <c r="C807" s="37">
        <v>176.997107</v>
      </c>
      <c r="D807" s="37">
        <v>31.997107</v>
      </c>
    </row>
    <row r="808" ht="14.25" customHeight="1">
      <c r="A808" s="4" t="s">
        <v>6220</v>
      </c>
      <c r="B808" s="37">
        <v>6.5</v>
      </c>
      <c r="C808" s="37">
        <v>38.4</v>
      </c>
      <c r="D808" s="37">
        <v>31.9</v>
      </c>
    </row>
    <row r="809" ht="14.25" customHeight="1">
      <c r="A809" s="4" t="s">
        <v>3617</v>
      </c>
      <c r="B809" s="37">
        <v>26.0</v>
      </c>
      <c r="C809" s="37">
        <v>57.859105</v>
      </c>
      <c r="D809" s="37">
        <v>31.859105</v>
      </c>
    </row>
    <row r="810" ht="14.25" customHeight="1">
      <c r="A810" s="4" t="s">
        <v>5076</v>
      </c>
      <c r="B810" s="37">
        <v>14.5</v>
      </c>
      <c r="C810" s="37">
        <v>46.338728</v>
      </c>
      <c r="D810" s="37">
        <v>31.838728</v>
      </c>
    </row>
    <row r="811" ht="14.25" customHeight="1">
      <c r="A811" s="4" t="s">
        <v>5188</v>
      </c>
      <c r="B811" s="37">
        <v>13.0</v>
      </c>
      <c r="C811" s="37">
        <v>44.726644</v>
      </c>
      <c r="D811" s="37">
        <v>31.726644</v>
      </c>
    </row>
    <row r="812" ht="14.25" customHeight="1">
      <c r="A812" s="4" t="s">
        <v>4524</v>
      </c>
      <c r="B812" s="37">
        <v>21.0</v>
      </c>
      <c r="C812" s="37">
        <v>52.691009</v>
      </c>
      <c r="D812" s="37">
        <v>31.691009</v>
      </c>
    </row>
    <row r="813" ht="14.25" customHeight="1">
      <c r="A813" s="4" t="s">
        <v>2052</v>
      </c>
      <c r="B813" s="37">
        <v>50.0</v>
      </c>
      <c r="C813" s="37">
        <v>81.517441</v>
      </c>
      <c r="D813" s="37">
        <v>31.517441</v>
      </c>
    </row>
    <row r="814" ht="14.25" customHeight="1">
      <c r="A814" s="4" t="s">
        <v>3699</v>
      </c>
      <c r="B814" s="37">
        <v>25.0</v>
      </c>
      <c r="C814" s="37">
        <v>56.505065</v>
      </c>
      <c r="D814" s="37">
        <v>31.505065</v>
      </c>
    </row>
    <row r="815" ht="14.25" customHeight="1">
      <c r="A815" s="4" t="s">
        <v>4456</v>
      </c>
      <c r="B815" s="37">
        <v>20.0</v>
      </c>
      <c r="C815" s="37">
        <v>51.43116</v>
      </c>
      <c r="D815" s="37">
        <v>31.43116</v>
      </c>
    </row>
    <row r="816" ht="14.25" customHeight="1">
      <c r="A816" s="4" t="s">
        <v>6615</v>
      </c>
      <c r="B816" s="37">
        <v>4.0</v>
      </c>
      <c r="C816" s="37">
        <v>35.38556</v>
      </c>
      <c r="D816" s="37">
        <v>31.38556</v>
      </c>
    </row>
    <row r="817" ht="14.25" customHeight="1">
      <c r="A817" s="4" t="s">
        <v>3248</v>
      </c>
      <c r="B817" s="37">
        <v>35.0</v>
      </c>
      <c r="C817" s="37">
        <v>66.359959</v>
      </c>
      <c r="D817" s="37">
        <v>31.359959</v>
      </c>
    </row>
    <row r="818" ht="14.25" customHeight="1">
      <c r="A818" s="4" t="s">
        <v>3485</v>
      </c>
      <c r="B818" s="37">
        <v>21.0</v>
      </c>
      <c r="C818" s="37">
        <v>52.353636</v>
      </c>
      <c r="D818" s="37">
        <v>31.353636</v>
      </c>
    </row>
    <row r="819" ht="14.25" customHeight="1">
      <c r="A819" s="4" t="s">
        <v>2537</v>
      </c>
      <c r="B819" s="37">
        <v>40.0</v>
      </c>
      <c r="C819" s="37">
        <v>71.34701</v>
      </c>
      <c r="D819" s="37">
        <v>31.34701</v>
      </c>
    </row>
    <row r="820" ht="14.25" customHeight="1">
      <c r="A820" s="4" t="s">
        <v>721</v>
      </c>
      <c r="B820" s="37">
        <v>115.0</v>
      </c>
      <c r="C820" s="37">
        <v>146.282411</v>
      </c>
      <c r="D820" s="37">
        <v>31.282411</v>
      </c>
    </row>
    <row r="821" ht="14.25" customHeight="1">
      <c r="A821" s="4" t="s">
        <v>2288</v>
      </c>
      <c r="B821" s="37">
        <v>45.0</v>
      </c>
      <c r="C821" s="37">
        <v>76.261036</v>
      </c>
      <c r="D821" s="37">
        <v>31.261036</v>
      </c>
    </row>
    <row r="822" ht="14.25" customHeight="1">
      <c r="A822" s="4" t="s">
        <v>1616</v>
      </c>
      <c r="B822" s="37">
        <v>70.0</v>
      </c>
      <c r="C822" s="37">
        <v>101.2179</v>
      </c>
      <c r="D822" s="37">
        <v>31.2179</v>
      </c>
    </row>
    <row r="823" ht="14.25" customHeight="1">
      <c r="A823" s="4" t="s">
        <v>4268</v>
      </c>
      <c r="B823" s="37">
        <v>0.806947</v>
      </c>
      <c r="C823" s="37">
        <v>32.0</v>
      </c>
      <c r="D823" s="37">
        <v>31.193053</v>
      </c>
    </row>
    <row r="824" ht="14.25" customHeight="1">
      <c r="A824" s="4" t="s">
        <v>804</v>
      </c>
      <c r="B824" s="37">
        <v>99.0</v>
      </c>
      <c r="C824" s="37">
        <v>130.174897</v>
      </c>
      <c r="D824" s="37">
        <v>31.174897</v>
      </c>
    </row>
    <row r="825" ht="14.25" customHeight="1">
      <c r="A825" s="4" t="s">
        <v>5190</v>
      </c>
      <c r="B825" s="37">
        <v>13.0</v>
      </c>
      <c r="C825" s="37">
        <v>44.134898</v>
      </c>
      <c r="D825" s="37">
        <v>31.134898</v>
      </c>
    </row>
    <row r="826" ht="14.25" customHeight="1">
      <c r="A826" s="4" t="s">
        <v>2566</v>
      </c>
      <c r="B826" s="37">
        <v>30.0</v>
      </c>
      <c r="C826" s="37">
        <v>61.094903</v>
      </c>
      <c r="D826" s="37">
        <v>31.094903</v>
      </c>
    </row>
    <row r="827" ht="14.25" customHeight="1">
      <c r="A827" s="4" t="s">
        <v>2566</v>
      </c>
      <c r="B827" s="37">
        <v>30.0</v>
      </c>
      <c r="C827" s="37">
        <v>61.094903</v>
      </c>
      <c r="D827" s="37">
        <v>31.094903</v>
      </c>
    </row>
    <row r="828" ht="14.25" customHeight="1">
      <c r="A828" s="4" t="s">
        <v>2055</v>
      </c>
      <c r="B828" s="37">
        <v>50.0</v>
      </c>
      <c r="C828" s="37">
        <v>81.022333</v>
      </c>
      <c r="D828" s="37">
        <v>31.022333</v>
      </c>
    </row>
    <row r="829" ht="14.25" customHeight="1">
      <c r="A829" s="4" t="s">
        <v>365</v>
      </c>
      <c r="B829" s="37">
        <v>150.0</v>
      </c>
      <c r="C829" s="37">
        <v>181.015141</v>
      </c>
      <c r="D829" s="37">
        <v>31.015141</v>
      </c>
    </row>
    <row r="830" ht="14.25" customHeight="1">
      <c r="A830" s="4" t="s">
        <v>4086</v>
      </c>
      <c r="B830" s="37">
        <v>21.0</v>
      </c>
      <c r="C830" s="37">
        <v>52.008288</v>
      </c>
      <c r="D830" s="37">
        <v>31.008288</v>
      </c>
    </row>
    <row r="831" ht="14.25" customHeight="1">
      <c r="A831" s="4" t="s">
        <v>6400</v>
      </c>
      <c r="B831" s="37">
        <v>5.0</v>
      </c>
      <c r="C831" s="37">
        <v>36.0</v>
      </c>
      <c r="D831" s="37">
        <v>31.0</v>
      </c>
    </row>
    <row r="832" ht="14.25" customHeight="1">
      <c r="A832" s="4" t="s">
        <v>3700</v>
      </c>
      <c r="B832" s="37">
        <v>25.0</v>
      </c>
      <c r="C832" s="37">
        <v>55.973336</v>
      </c>
      <c r="D832" s="37">
        <v>30.973336</v>
      </c>
    </row>
    <row r="833" ht="14.25" customHeight="1">
      <c r="A833" s="4" t="s">
        <v>6920</v>
      </c>
      <c r="B833" s="37">
        <v>2.5</v>
      </c>
      <c r="C833" s="37">
        <v>33.349949</v>
      </c>
      <c r="D833" s="37">
        <v>30.849949</v>
      </c>
    </row>
    <row r="834" ht="14.25" customHeight="1">
      <c r="A834" s="4" t="s">
        <v>2539</v>
      </c>
      <c r="B834" s="37">
        <v>40.0</v>
      </c>
      <c r="C834" s="37">
        <v>70.836296</v>
      </c>
      <c r="D834" s="37">
        <v>30.836296</v>
      </c>
    </row>
    <row r="835" ht="14.25" customHeight="1">
      <c r="A835" s="4" t="s">
        <v>6908</v>
      </c>
      <c r="B835" s="37">
        <v>1.8</v>
      </c>
      <c r="C835" s="37">
        <v>32.6</v>
      </c>
      <c r="D835" s="37">
        <v>30.8</v>
      </c>
    </row>
    <row r="836" ht="14.25" customHeight="1">
      <c r="A836" s="4" t="s">
        <v>5844</v>
      </c>
      <c r="B836" s="37">
        <v>0.083532</v>
      </c>
      <c r="C836" s="37">
        <v>30.859</v>
      </c>
      <c r="D836" s="37">
        <v>30.775468</v>
      </c>
    </row>
    <row r="837" ht="14.25" customHeight="1">
      <c r="A837" s="4" t="s">
        <v>5844</v>
      </c>
      <c r="B837" s="37">
        <v>0.083532</v>
      </c>
      <c r="C837" s="37">
        <v>30.859</v>
      </c>
      <c r="D837" s="37">
        <v>30.775468</v>
      </c>
    </row>
    <row r="838" ht="14.25" customHeight="1">
      <c r="A838" s="4" t="s">
        <v>6084</v>
      </c>
      <c r="B838" s="37">
        <v>6.6</v>
      </c>
      <c r="C838" s="37">
        <v>37.295394</v>
      </c>
      <c r="D838" s="37">
        <v>30.695394</v>
      </c>
    </row>
    <row r="839" ht="14.25" customHeight="1">
      <c r="A839" s="4" t="s">
        <v>906</v>
      </c>
      <c r="B839" s="37">
        <v>90.0</v>
      </c>
      <c r="C839" s="37">
        <v>120.618403</v>
      </c>
      <c r="D839" s="37">
        <v>30.618403</v>
      </c>
    </row>
    <row r="840" ht="14.25" customHeight="1">
      <c r="A840" s="4" t="s">
        <v>7280</v>
      </c>
      <c r="B840" s="37">
        <v>1.0</v>
      </c>
      <c r="C840" s="37">
        <v>31.53732</v>
      </c>
      <c r="D840" s="37">
        <v>30.53732</v>
      </c>
    </row>
    <row r="841" ht="14.25" customHeight="1">
      <c r="A841" s="4" t="s">
        <v>5594</v>
      </c>
      <c r="B841" s="37">
        <v>10.0</v>
      </c>
      <c r="C841" s="37">
        <v>40.485039</v>
      </c>
      <c r="D841" s="37">
        <v>30.485039</v>
      </c>
    </row>
    <row r="842" ht="14.25" customHeight="1">
      <c r="A842" s="4" t="s">
        <v>2541</v>
      </c>
      <c r="B842" s="37">
        <v>40.0</v>
      </c>
      <c r="C842" s="37">
        <v>70.405498</v>
      </c>
      <c r="D842" s="37">
        <v>30.405498</v>
      </c>
    </row>
    <row r="843" ht="14.25" customHeight="1">
      <c r="A843" s="4" t="s">
        <v>1644</v>
      </c>
      <c r="B843" s="37">
        <v>60.0</v>
      </c>
      <c r="C843" s="37">
        <v>90.34167</v>
      </c>
      <c r="D843" s="37">
        <v>30.34167</v>
      </c>
    </row>
    <row r="844" ht="14.25" customHeight="1">
      <c r="A844" s="4" t="s">
        <v>6347</v>
      </c>
      <c r="B844" s="37">
        <v>5.5</v>
      </c>
      <c r="C844" s="37">
        <v>35.811509</v>
      </c>
      <c r="D844" s="37">
        <v>30.311509</v>
      </c>
    </row>
    <row r="845" ht="14.25" customHeight="1">
      <c r="A845" s="4" t="s">
        <v>3964</v>
      </c>
      <c r="B845" s="37">
        <v>23.0</v>
      </c>
      <c r="C845" s="37">
        <v>53.302314</v>
      </c>
      <c r="D845" s="37">
        <v>30.302314</v>
      </c>
    </row>
    <row r="846" ht="14.25" customHeight="1">
      <c r="A846" s="4" t="s">
        <v>1998</v>
      </c>
      <c r="B846" s="37">
        <v>50.0</v>
      </c>
      <c r="C846" s="37">
        <v>80.270227</v>
      </c>
      <c r="D846" s="37">
        <v>30.270227</v>
      </c>
    </row>
    <row r="847" ht="14.25" customHeight="1">
      <c r="A847" s="4" t="s">
        <v>3260</v>
      </c>
      <c r="B847" s="37">
        <v>30.0</v>
      </c>
      <c r="C847" s="37">
        <v>60.26934</v>
      </c>
      <c r="D847" s="37">
        <v>30.26934</v>
      </c>
    </row>
    <row r="848" ht="14.25" customHeight="1">
      <c r="A848" s="4" t="s">
        <v>5501</v>
      </c>
      <c r="B848" s="37">
        <v>11.0</v>
      </c>
      <c r="C848" s="37">
        <v>41.227069</v>
      </c>
      <c r="D848" s="37">
        <v>30.227069</v>
      </c>
    </row>
    <row r="849" ht="14.25" customHeight="1">
      <c r="A849" s="4" t="s">
        <v>2543</v>
      </c>
      <c r="B849" s="37">
        <v>40.0</v>
      </c>
      <c r="C849" s="37">
        <v>70.163652</v>
      </c>
      <c r="D849" s="37">
        <v>30.163652</v>
      </c>
    </row>
    <row r="850" ht="14.25" customHeight="1">
      <c r="A850" s="4" t="s">
        <v>718</v>
      </c>
      <c r="B850" s="37">
        <v>100.0</v>
      </c>
      <c r="C850" s="37">
        <v>130.12762</v>
      </c>
      <c r="D850" s="37">
        <v>30.12762</v>
      </c>
    </row>
    <row r="851" ht="14.25" customHeight="1">
      <c r="A851" s="4" t="s">
        <v>2429</v>
      </c>
      <c r="B851" s="37">
        <v>40.0</v>
      </c>
      <c r="C851" s="37">
        <v>70.1</v>
      </c>
      <c r="D851" s="37">
        <v>30.1</v>
      </c>
    </row>
    <row r="852" ht="14.25" customHeight="1">
      <c r="A852" s="4" t="s">
        <v>3262</v>
      </c>
      <c r="B852" s="37">
        <v>30.0</v>
      </c>
      <c r="C852" s="37">
        <v>60.03378</v>
      </c>
      <c r="D852" s="37">
        <v>30.03378</v>
      </c>
    </row>
    <row r="853" ht="14.25" customHeight="1">
      <c r="A853" s="4" t="s">
        <v>707</v>
      </c>
      <c r="B853" s="37">
        <v>102.0</v>
      </c>
      <c r="C853" s="37">
        <v>132.014112</v>
      </c>
      <c r="D853" s="37">
        <v>30.014112</v>
      </c>
    </row>
    <row r="854" ht="14.25" customHeight="1">
      <c r="A854" s="4" t="s">
        <v>7478</v>
      </c>
      <c r="B854" s="37">
        <v>0.5</v>
      </c>
      <c r="C854" s="37">
        <v>30.500882</v>
      </c>
      <c r="D854" s="37">
        <v>30.000882</v>
      </c>
    </row>
    <row r="855" ht="14.25" customHeight="1">
      <c r="A855" s="4" t="s">
        <v>1089</v>
      </c>
      <c r="B855" s="37">
        <v>80.0</v>
      </c>
      <c r="C855" s="37">
        <v>109.993847</v>
      </c>
      <c r="D855" s="37">
        <v>29.993847</v>
      </c>
    </row>
    <row r="856" ht="14.25" customHeight="1">
      <c r="A856" s="4" t="s">
        <v>344</v>
      </c>
      <c r="B856" s="37">
        <v>150.0</v>
      </c>
      <c r="C856" s="37">
        <v>179.982968</v>
      </c>
      <c r="D856" s="37">
        <v>29.982968</v>
      </c>
    </row>
    <row r="857" ht="14.25" customHeight="1">
      <c r="A857" s="4" t="s">
        <v>6403</v>
      </c>
      <c r="B857" s="37">
        <v>4.5</v>
      </c>
      <c r="C857" s="37">
        <v>34.468224</v>
      </c>
      <c r="D857" s="37">
        <v>29.968224</v>
      </c>
    </row>
    <row r="858" ht="14.25" customHeight="1">
      <c r="A858" s="4" t="s">
        <v>2056</v>
      </c>
      <c r="B858" s="37">
        <v>50.0</v>
      </c>
      <c r="C858" s="37">
        <v>79.948113</v>
      </c>
      <c r="D858" s="37">
        <v>29.948113</v>
      </c>
    </row>
    <row r="859" ht="14.25" customHeight="1">
      <c r="A859" s="4" t="s">
        <v>349</v>
      </c>
      <c r="B859" s="37">
        <v>150.0</v>
      </c>
      <c r="C859" s="37">
        <v>179.883016</v>
      </c>
      <c r="D859" s="37">
        <v>29.883016</v>
      </c>
    </row>
    <row r="860" ht="14.25" customHeight="1">
      <c r="A860" s="4" t="s">
        <v>6927</v>
      </c>
      <c r="B860" s="37">
        <v>2.5</v>
      </c>
      <c r="C860" s="37">
        <v>32.230907</v>
      </c>
      <c r="D860" s="37">
        <v>29.730907</v>
      </c>
    </row>
    <row r="861" ht="14.25" customHeight="1">
      <c r="A861" s="4" t="s">
        <v>4746</v>
      </c>
      <c r="B861" s="37">
        <v>15.0</v>
      </c>
      <c r="C861" s="37">
        <v>44.667095</v>
      </c>
      <c r="D861" s="37">
        <v>29.667095</v>
      </c>
    </row>
    <row r="862" ht="14.25" customHeight="1">
      <c r="A862" s="4" t="s">
        <v>2908</v>
      </c>
      <c r="B862" s="37">
        <v>35.0</v>
      </c>
      <c r="C862" s="37">
        <v>64.604977</v>
      </c>
      <c r="D862" s="37">
        <v>29.604977</v>
      </c>
    </row>
    <row r="863" ht="14.25" customHeight="1">
      <c r="A863" s="4" t="s">
        <v>4748</v>
      </c>
      <c r="B863" s="37">
        <v>16.0</v>
      </c>
      <c r="C863" s="37">
        <v>45.507053</v>
      </c>
      <c r="D863" s="37">
        <v>29.507053</v>
      </c>
    </row>
    <row r="864" ht="14.25" customHeight="1">
      <c r="A864" s="4" t="s">
        <v>3257</v>
      </c>
      <c r="B864" s="37">
        <v>45.0</v>
      </c>
      <c r="C864" s="37">
        <v>74.484168</v>
      </c>
      <c r="D864" s="37">
        <v>29.484168</v>
      </c>
    </row>
    <row r="865" ht="14.25" customHeight="1">
      <c r="A865" s="4" t="s">
        <v>4023</v>
      </c>
      <c r="B865" s="37">
        <v>22.0</v>
      </c>
      <c r="C865" s="37">
        <v>51.483949</v>
      </c>
      <c r="D865" s="37">
        <v>29.483949</v>
      </c>
    </row>
    <row r="866" ht="14.25" customHeight="1">
      <c r="A866" s="4" t="s">
        <v>6083</v>
      </c>
      <c r="B866" s="37">
        <v>5.0</v>
      </c>
      <c r="C866" s="37">
        <v>34.09964</v>
      </c>
      <c r="D866" s="37">
        <v>29.09964</v>
      </c>
    </row>
    <row r="867" ht="14.25" customHeight="1">
      <c r="A867" s="4" t="s">
        <v>3702</v>
      </c>
      <c r="B867" s="37">
        <v>25.0</v>
      </c>
      <c r="C867" s="37">
        <v>54.098051</v>
      </c>
      <c r="D867" s="37">
        <v>29.098051</v>
      </c>
    </row>
    <row r="868" ht="14.25" customHeight="1">
      <c r="A868" s="4" t="s">
        <v>6334</v>
      </c>
      <c r="B868" s="37">
        <v>3.500159</v>
      </c>
      <c r="C868" s="37">
        <v>32.541719</v>
      </c>
      <c r="D868" s="37">
        <v>29.04156</v>
      </c>
    </row>
    <row r="869" ht="14.25" customHeight="1">
      <c r="A869" s="4" t="s">
        <v>2911</v>
      </c>
      <c r="B869" s="37">
        <v>35.0</v>
      </c>
      <c r="C869" s="37">
        <v>63.939454</v>
      </c>
      <c r="D869" s="37">
        <v>28.939454</v>
      </c>
    </row>
    <row r="870" ht="14.25" customHeight="1">
      <c r="A870" s="4" t="s">
        <v>1375</v>
      </c>
      <c r="B870" s="37">
        <v>70.0</v>
      </c>
      <c r="C870" s="37">
        <v>98.895417</v>
      </c>
      <c r="D870" s="37">
        <v>28.895417</v>
      </c>
    </row>
    <row r="871" ht="14.25" customHeight="1">
      <c r="A871" s="4" t="s">
        <v>4726</v>
      </c>
      <c r="B871" s="37">
        <v>15.0</v>
      </c>
      <c r="C871" s="37">
        <v>43.8481</v>
      </c>
      <c r="D871" s="37">
        <v>28.8481</v>
      </c>
    </row>
    <row r="872" ht="14.25" customHeight="1">
      <c r="A872" s="4" t="s">
        <v>2912</v>
      </c>
      <c r="B872" s="37">
        <v>35.0</v>
      </c>
      <c r="C872" s="37">
        <v>63.826569</v>
      </c>
      <c r="D872" s="37">
        <v>28.826569</v>
      </c>
    </row>
    <row r="873" ht="14.25" customHeight="1">
      <c r="A873" s="4" t="s">
        <v>1501</v>
      </c>
      <c r="B873" s="37">
        <v>65.0</v>
      </c>
      <c r="C873" s="37">
        <v>93.771072</v>
      </c>
      <c r="D873" s="37">
        <v>28.771072</v>
      </c>
    </row>
    <row r="874" ht="14.25" customHeight="1">
      <c r="A874" s="4" t="s">
        <v>4017</v>
      </c>
      <c r="B874" s="37">
        <v>22.0</v>
      </c>
      <c r="C874" s="37">
        <v>50.728</v>
      </c>
      <c r="D874" s="37">
        <v>28.728</v>
      </c>
    </row>
    <row r="875" ht="14.25" customHeight="1">
      <c r="A875" s="4" t="s">
        <v>3264</v>
      </c>
      <c r="B875" s="37">
        <v>30.0</v>
      </c>
      <c r="C875" s="37">
        <v>58.71551</v>
      </c>
      <c r="D875" s="37">
        <v>28.71551</v>
      </c>
    </row>
    <row r="876" ht="14.25" customHeight="1">
      <c r="A876" s="4" t="s">
        <v>3189</v>
      </c>
      <c r="B876" s="37">
        <v>34.0</v>
      </c>
      <c r="C876" s="37">
        <v>62.7</v>
      </c>
      <c r="D876" s="37">
        <v>28.7</v>
      </c>
    </row>
    <row r="877" ht="14.25" customHeight="1">
      <c r="A877" s="4" t="s">
        <v>4165</v>
      </c>
      <c r="B877" s="37">
        <v>20.0</v>
      </c>
      <c r="C877" s="37">
        <v>48.546578</v>
      </c>
      <c r="D877" s="37">
        <v>28.546578</v>
      </c>
    </row>
    <row r="878" ht="14.25" customHeight="1">
      <c r="A878" s="4" t="s">
        <v>535</v>
      </c>
      <c r="B878" s="37">
        <v>103.0</v>
      </c>
      <c r="C878" s="37">
        <v>131.536019</v>
      </c>
      <c r="D878" s="37">
        <v>28.536019</v>
      </c>
    </row>
    <row r="879" ht="14.25" customHeight="1">
      <c r="A879" s="4" t="s">
        <v>5940</v>
      </c>
      <c r="B879" s="37">
        <v>8.0</v>
      </c>
      <c r="C879" s="37">
        <v>36.5</v>
      </c>
      <c r="D879" s="37">
        <v>28.5</v>
      </c>
    </row>
    <row r="880" ht="14.25" customHeight="1">
      <c r="A880" s="4" t="s">
        <v>3965</v>
      </c>
      <c r="B880" s="37">
        <v>12.5</v>
      </c>
      <c r="C880" s="37">
        <v>40.962534</v>
      </c>
      <c r="D880" s="37">
        <v>28.462534</v>
      </c>
    </row>
    <row r="881" ht="14.25" customHeight="1">
      <c r="A881" s="4" t="s">
        <v>4167</v>
      </c>
      <c r="B881" s="37">
        <v>20.0</v>
      </c>
      <c r="C881" s="37">
        <v>48.423368</v>
      </c>
      <c r="D881" s="37">
        <v>28.423368</v>
      </c>
    </row>
    <row r="882" ht="14.25" customHeight="1">
      <c r="A882" s="4" t="s">
        <v>6082</v>
      </c>
      <c r="B882" s="37">
        <v>7.0</v>
      </c>
      <c r="C882" s="37">
        <v>35.4</v>
      </c>
      <c r="D882" s="37">
        <v>28.4</v>
      </c>
    </row>
    <row r="883" ht="14.25" customHeight="1">
      <c r="A883" s="4" t="s">
        <v>6614</v>
      </c>
      <c r="B883" s="37">
        <v>3.6</v>
      </c>
      <c r="C883" s="37">
        <v>31.968347</v>
      </c>
      <c r="D883" s="37">
        <v>28.368347</v>
      </c>
    </row>
    <row r="884" ht="14.25" customHeight="1">
      <c r="A884" s="4" t="s">
        <v>3127</v>
      </c>
      <c r="B884" s="37">
        <v>32.0</v>
      </c>
      <c r="C884" s="37">
        <v>60.328558</v>
      </c>
      <c r="D884" s="37">
        <v>28.328558</v>
      </c>
    </row>
    <row r="885" ht="14.25" customHeight="1">
      <c r="A885" s="4" t="s">
        <v>2917</v>
      </c>
      <c r="B885" s="37">
        <v>33.0</v>
      </c>
      <c r="C885" s="37">
        <v>61.280963</v>
      </c>
      <c r="D885" s="37">
        <v>28.280963</v>
      </c>
    </row>
    <row r="886" ht="14.25" customHeight="1">
      <c r="A886" s="4" t="s">
        <v>1668</v>
      </c>
      <c r="B886" s="37">
        <v>60.0</v>
      </c>
      <c r="C886" s="37">
        <v>88.200225</v>
      </c>
      <c r="D886" s="37">
        <v>28.200225</v>
      </c>
    </row>
    <row r="887" ht="14.25" customHeight="1">
      <c r="A887" s="4" t="s">
        <v>5503</v>
      </c>
      <c r="B887" s="37">
        <v>11.0</v>
      </c>
      <c r="C887" s="37">
        <v>39.025</v>
      </c>
      <c r="D887" s="37">
        <v>28.025</v>
      </c>
    </row>
    <row r="888" ht="14.25" customHeight="1">
      <c r="A888" s="4" t="s">
        <v>4868</v>
      </c>
      <c r="B888" s="37">
        <v>15.0</v>
      </c>
      <c r="C888" s="37">
        <v>43.022524</v>
      </c>
      <c r="D888" s="37">
        <v>28.022524</v>
      </c>
    </row>
    <row r="889" ht="14.25" customHeight="1">
      <c r="A889" s="4" t="s">
        <v>1880</v>
      </c>
      <c r="B889" s="37">
        <v>55.0</v>
      </c>
      <c r="C889" s="37">
        <v>83.0</v>
      </c>
      <c r="D889" s="37">
        <v>28.0</v>
      </c>
    </row>
    <row r="890" ht="14.25" customHeight="1">
      <c r="A890" s="4" t="s">
        <v>4874</v>
      </c>
      <c r="B890" s="37">
        <v>15.0</v>
      </c>
      <c r="C890" s="37">
        <v>42.919096</v>
      </c>
      <c r="D890" s="37">
        <v>27.919096</v>
      </c>
    </row>
    <row r="891" ht="14.25" customHeight="1">
      <c r="A891" s="4" t="s">
        <v>4874</v>
      </c>
      <c r="B891" s="37">
        <v>15.0</v>
      </c>
      <c r="C891" s="37">
        <v>42.919096</v>
      </c>
      <c r="D891" s="37">
        <v>27.919096</v>
      </c>
    </row>
    <row r="892" ht="14.25" customHeight="1">
      <c r="A892" s="4" t="s">
        <v>4172</v>
      </c>
      <c r="B892" s="37">
        <v>20.0</v>
      </c>
      <c r="C892" s="37">
        <v>47.887943</v>
      </c>
      <c r="D892" s="37">
        <v>27.887943</v>
      </c>
    </row>
    <row r="893" ht="14.25" customHeight="1">
      <c r="A893" s="4" t="s">
        <v>3199</v>
      </c>
      <c r="B893" s="37">
        <v>31.0</v>
      </c>
      <c r="C893" s="37">
        <v>58.879132</v>
      </c>
      <c r="D893" s="37">
        <v>27.879132</v>
      </c>
    </row>
    <row r="894" ht="14.25" customHeight="1">
      <c r="A894" s="4" t="s">
        <v>4176</v>
      </c>
      <c r="B894" s="37">
        <v>20.0</v>
      </c>
      <c r="C894" s="37">
        <v>47.852604</v>
      </c>
      <c r="D894" s="37">
        <v>27.852604</v>
      </c>
    </row>
    <row r="895" ht="14.25" customHeight="1">
      <c r="A895" s="4" t="s">
        <v>6793</v>
      </c>
      <c r="B895" s="37">
        <v>2.2</v>
      </c>
      <c r="C895" s="37">
        <v>30.0</v>
      </c>
      <c r="D895" s="37">
        <v>27.8</v>
      </c>
    </row>
    <row r="896" ht="14.25" customHeight="1">
      <c r="A896" s="4" t="s">
        <v>1001</v>
      </c>
      <c r="B896" s="37">
        <v>85.0</v>
      </c>
      <c r="C896" s="37">
        <v>112.70347</v>
      </c>
      <c r="D896" s="37">
        <v>27.70347</v>
      </c>
    </row>
    <row r="897" ht="14.25" customHeight="1">
      <c r="A897" s="4" t="s">
        <v>5504</v>
      </c>
      <c r="B897" s="37">
        <v>10.5</v>
      </c>
      <c r="C897" s="37">
        <v>38.201895</v>
      </c>
      <c r="D897" s="37">
        <v>27.701895</v>
      </c>
    </row>
    <row r="898" ht="14.25" customHeight="1">
      <c r="A898" s="4" t="s">
        <v>2753</v>
      </c>
      <c r="B898" s="37">
        <v>23.0</v>
      </c>
      <c r="C898" s="37">
        <v>50.693162</v>
      </c>
      <c r="D898" s="37">
        <v>27.693162</v>
      </c>
    </row>
    <row r="899" ht="14.25" customHeight="1">
      <c r="A899" s="4" t="s">
        <v>2041</v>
      </c>
      <c r="B899" s="37">
        <v>70.0</v>
      </c>
      <c r="C899" s="37">
        <v>97.680195</v>
      </c>
      <c r="D899" s="37">
        <v>27.680195</v>
      </c>
    </row>
    <row r="900" ht="14.25" customHeight="1">
      <c r="A900" s="4" t="s">
        <v>5345</v>
      </c>
      <c r="B900" s="37">
        <v>12.0</v>
      </c>
      <c r="C900" s="37">
        <v>39.647595</v>
      </c>
      <c r="D900" s="37">
        <v>27.647595</v>
      </c>
    </row>
    <row r="901" ht="14.25" customHeight="1">
      <c r="A901" s="4" t="s">
        <v>1954</v>
      </c>
      <c r="B901" s="37">
        <v>54.0</v>
      </c>
      <c r="C901" s="37">
        <v>81.645152</v>
      </c>
      <c r="D901" s="37">
        <v>27.645152</v>
      </c>
    </row>
    <row r="902" ht="14.25" customHeight="1">
      <c r="A902" s="4" t="s">
        <v>4876</v>
      </c>
      <c r="B902" s="37">
        <v>15.0</v>
      </c>
      <c r="C902" s="37">
        <v>42.59253</v>
      </c>
      <c r="D902" s="37">
        <v>27.59253</v>
      </c>
    </row>
    <row r="903" ht="14.25" customHeight="1">
      <c r="A903" s="4" t="s">
        <v>3710</v>
      </c>
      <c r="B903" s="37">
        <v>25.0</v>
      </c>
      <c r="C903" s="37">
        <v>52.52833</v>
      </c>
      <c r="D903" s="37">
        <v>27.52833</v>
      </c>
    </row>
    <row r="904" ht="14.25" customHeight="1">
      <c r="A904" s="4" t="s">
        <v>5592</v>
      </c>
      <c r="B904" s="37">
        <v>10.0</v>
      </c>
      <c r="C904" s="37">
        <v>37.470017</v>
      </c>
      <c r="D904" s="37">
        <v>27.470017</v>
      </c>
    </row>
    <row r="905" ht="14.25" customHeight="1">
      <c r="A905" s="4" t="s">
        <v>4682</v>
      </c>
      <c r="B905" s="37">
        <v>17.0</v>
      </c>
      <c r="C905" s="37">
        <v>44.469602</v>
      </c>
      <c r="D905" s="37">
        <v>27.469602</v>
      </c>
    </row>
    <row r="906" ht="14.25" customHeight="1">
      <c r="A906" s="4" t="s">
        <v>6406</v>
      </c>
      <c r="B906" s="37">
        <v>5.0</v>
      </c>
      <c r="C906" s="37">
        <v>32.453345</v>
      </c>
      <c r="D906" s="37">
        <v>27.453345</v>
      </c>
    </row>
    <row r="907" ht="14.25" customHeight="1">
      <c r="A907" s="4" t="s">
        <v>3277</v>
      </c>
      <c r="B907" s="37">
        <v>27.8</v>
      </c>
      <c r="C907" s="37">
        <v>55.210049</v>
      </c>
      <c r="D907" s="37">
        <v>27.410049</v>
      </c>
    </row>
    <row r="908" ht="14.25" customHeight="1">
      <c r="A908" s="4" t="s">
        <v>5514</v>
      </c>
      <c r="B908" s="37">
        <v>11.0</v>
      </c>
      <c r="C908" s="37">
        <v>38.317535</v>
      </c>
      <c r="D908" s="37">
        <v>27.317535</v>
      </c>
    </row>
    <row r="909" ht="14.25" customHeight="1">
      <c r="A909" s="4" t="s">
        <v>6610</v>
      </c>
      <c r="B909" s="37">
        <v>4.0</v>
      </c>
      <c r="C909" s="37">
        <v>31.252964</v>
      </c>
      <c r="D909" s="37">
        <v>27.252964</v>
      </c>
    </row>
    <row r="910" ht="14.25" customHeight="1">
      <c r="A910" s="4" t="s">
        <v>347</v>
      </c>
      <c r="B910" s="37">
        <v>150.0</v>
      </c>
      <c r="C910" s="37">
        <v>177.243721</v>
      </c>
      <c r="D910" s="37">
        <v>27.243721</v>
      </c>
    </row>
    <row r="911" ht="14.25" customHeight="1">
      <c r="A911" s="4" t="s">
        <v>3567</v>
      </c>
      <c r="B911" s="37">
        <v>27.0</v>
      </c>
      <c r="C911" s="37">
        <v>54.2</v>
      </c>
      <c r="D911" s="37">
        <v>27.2</v>
      </c>
    </row>
    <row r="912" ht="14.25" customHeight="1">
      <c r="A912" s="4" t="s">
        <v>2394</v>
      </c>
      <c r="B912" s="37">
        <v>40.0</v>
      </c>
      <c r="C912" s="37">
        <v>67.061228</v>
      </c>
      <c r="D912" s="37">
        <v>27.061228</v>
      </c>
    </row>
    <row r="913" ht="14.25" customHeight="1">
      <c r="A913" s="4" t="s">
        <v>5851</v>
      </c>
      <c r="B913" s="37">
        <v>9.0</v>
      </c>
      <c r="C913" s="37">
        <v>36.049108</v>
      </c>
      <c r="D913" s="37">
        <v>27.049108</v>
      </c>
    </row>
    <row r="914" ht="14.25" customHeight="1">
      <c r="A914" s="4" t="s">
        <v>4036</v>
      </c>
      <c r="B914" s="37">
        <v>22.0</v>
      </c>
      <c r="C914" s="37">
        <v>49.002815</v>
      </c>
      <c r="D914" s="37">
        <v>27.002815</v>
      </c>
    </row>
    <row r="915" ht="14.25" customHeight="1">
      <c r="A915" s="4" t="s">
        <v>5945</v>
      </c>
      <c r="B915" s="37">
        <v>8.0</v>
      </c>
      <c r="C915" s="37">
        <v>34.963967</v>
      </c>
      <c r="D915" s="37">
        <v>26.963967</v>
      </c>
    </row>
    <row r="916" ht="14.25" customHeight="1">
      <c r="A916" s="4" t="s">
        <v>2587</v>
      </c>
      <c r="B916" s="37">
        <v>25.0</v>
      </c>
      <c r="C916" s="37">
        <v>51.85345</v>
      </c>
      <c r="D916" s="37">
        <v>26.85345</v>
      </c>
    </row>
    <row r="917" ht="14.25" customHeight="1">
      <c r="A917" s="4" t="s">
        <v>3473</v>
      </c>
      <c r="B917" s="37">
        <v>29.0</v>
      </c>
      <c r="C917" s="37">
        <v>55.845943</v>
      </c>
      <c r="D917" s="37">
        <v>26.845943</v>
      </c>
    </row>
    <row r="918" ht="14.25" customHeight="1">
      <c r="A918" s="4" t="s">
        <v>4678</v>
      </c>
      <c r="B918" s="37">
        <v>15.0</v>
      </c>
      <c r="C918" s="37">
        <v>41.777564</v>
      </c>
      <c r="D918" s="37">
        <v>26.777564</v>
      </c>
    </row>
    <row r="919" ht="14.25" customHeight="1">
      <c r="A919" s="4" t="s">
        <v>5506</v>
      </c>
      <c r="B919" s="37">
        <v>11.0</v>
      </c>
      <c r="C919" s="37">
        <v>37.76635</v>
      </c>
      <c r="D919" s="37">
        <v>26.76635</v>
      </c>
    </row>
    <row r="920" ht="14.25" customHeight="1">
      <c r="A920" s="4" t="s">
        <v>5944</v>
      </c>
      <c r="B920" s="37">
        <v>8.0</v>
      </c>
      <c r="C920" s="37">
        <v>34.746109</v>
      </c>
      <c r="D920" s="37">
        <v>26.746109</v>
      </c>
    </row>
    <row r="921" ht="14.25" customHeight="1">
      <c r="A921" s="4" t="s">
        <v>3708</v>
      </c>
      <c r="B921" s="37">
        <v>25.0</v>
      </c>
      <c r="C921" s="37">
        <v>51.676606</v>
      </c>
      <c r="D921" s="37">
        <v>26.676606</v>
      </c>
    </row>
    <row r="922" ht="14.25" customHeight="1">
      <c r="A922" s="4" t="s">
        <v>4747</v>
      </c>
      <c r="B922" s="37">
        <v>16.0</v>
      </c>
      <c r="C922" s="37">
        <v>42.638165</v>
      </c>
      <c r="D922" s="37">
        <v>26.638165</v>
      </c>
    </row>
    <row r="923" ht="14.25" customHeight="1">
      <c r="A923" s="4" t="s">
        <v>4747</v>
      </c>
      <c r="B923" s="37">
        <v>16.0</v>
      </c>
      <c r="C923" s="37">
        <v>42.638165</v>
      </c>
      <c r="D923" s="37">
        <v>26.638165</v>
      </c>
    </row>
    <row r="924" ht="14.25" customHeight="1">
      <c r="A924" s="4" t="s">
        <v>2433</v>
      </c>
      <c r="B924" s="37">
        <v>31.115</v>
      </c>
      <c r="C924" s="37">
        <v>57.75</v>
      </c>
      <c r="D924" s="37">
        <v>26.635</v>
      </c>
    </row>
    <row r="925" ht="14.25" customHeight="1">
      <c r="A925" s="4" t="s">
        <v>5591</v>
      </c>
      <c r="B925" s="37">
        <v>12.0</v>
      </c>
      <c r="C925" s="37">
        <v>38.624</v>
      </c>
      <c r="D925" s="37">
        <v>26.624</v>
      </c>
    </row>
    <row r="926" ht="14.25" customHeight="1">
      <c r="A926" s="4" t="s">
        <v>3712</v>
      </c>
      <c r="B926" s="37">
        <v>25.0</v>
      </c>
      <c r="C926" s="37">
        <v>51.533608</v>
      </c>
      <c r="D926" s="37">
        <v>26.533608</v>
      </c>
    </row>
    <row r="927" ht="14.25" customHeight="1">
      <c r="A927" s="4" t="s">
        <v>2553</v>
      </c>
      <c r="B927" s="37">
        <v>40.0</v>
      </c>
      <c r="C927" s="37">
        <v>66.466372</v>
      </c>
      <c r="D927" s="37">
        <v>26.466372</v>
      </c>
    </row>
    <row r="928" ht="14.25" customHeight="1">
      <c r="A928" s="4" t="s">
        <v>2289</v>
      </c>
      <c r="B928" s="37">
        <v>45.0</v>
      </c>
      <c r="C928" s="37">
        <v>71.423726</v>
      </c>
      <c r="D928" s="37">
        <v>26.423726</v>
      </c>
    </row>
    <row r="929" ht="14.25" customHeight="1">
      <c r="A929" s="4" t="s">
        <v>6401</v>
      </c>
      <c r="B929" s="37">
        <v>8.5</v>
      </c>
      <c r="C929" s="37">
        <v>34.872293</v>
      </c>
      <c r="D929" s="37">
        <v>26.372293</v>
      </c>
    </row>
    <row r="930" ht="14.25" customHeight="1">
      <c r="A930" s="4" t="s">
        <v>4174</v>
      </c>
      <c r="B930" s="37">
        <v>20.0</v>
      </c>
      <c r="C930" s="37">
        <v>46.363118</v>
      </c>
      <c r="D930" s="37">
        <v>26.363118</v>
      </c>
    </row>
    <row r="931" ht="14.25" customHeight="1">
      <c r="A931" s="4" t="s">
        <v>2291</v>
      </c>
      <c r="B931" s="37">
        <v>45.0</v>
      </c>
      <c r="C931" s="37">
        <v>71.27742</v>
      </c>
      <c r="D931" s="37">
        <v>26.27742</v>
      </c>
    </row>
    <row r="932" ht="14.25" customHeight="1">
      <c r="A932" s="4" t="s">
        <v>4727</v>
      </c>
      <c r="B932" s="37">
        <v>16.5</v>
      </c>
      <c r="C932" s="37">
        <v>42.7</v>
      </c>
      <c r="D932" s="37">
        <v>26.2</v>
      </c>
    </row>
    <row r="933" ht="14.25" customHeight="1">
      <c r="A933" s="4" t="s">
        <v>5346</v>
      </c>
      <c r="B933" s="37">
        <v>12.0</v>
      </c>
      <c r="C933" s="37">
        <v>38.087366</v>
      </c>
      <c r="D933" s="37">
        <v>26.087366</v>
      </c>
    </row>
    <row r="934" ht="14.25" customHeight="1">
      <c r="A934" s="4" t="s">
        <v>1092</v>
      </c>
      <c r="B934" s="37">
        <v>75.0</v>
      </c>
      <c r="C934" s="37">
        <v>101.087161</v>
      </c>
      <c r="D934" s="37">
        <v>26.087161</v>
      </c>
    </row>
    <row r="935" ht="14.25" customHeight="1">
      <c r="A935" s="4" t="s">
        <v>3287</v>
      </c>
      <c r="B935" s="37">
        <v>30.0</v>
      </c>
      <c r="C935" s="37">
        <v>56.068547</v>
      </c>
      <c r="D935" s="37">
        <v>26.068547</v>
      </c>
    </row>
    <row r="936" ht="14.25" customHeight="1">
      <c r="A936" s="4" t="s">
        <v>5226</v>
      </c>
      <c r="B936" s="37">
        <v>13.0</v>
      </c>
      <c r="C936" s="37">
        <v>38.916903</v>
      </c>
      <c r="D936" s="37">
        <v>25.916903</v>
      </c>
    </row>
    <row r="937" ht="14.25" customHeight="1">
      <c r="A937" s="4" t="s">
        <v>4552</v>
      </c>
      <c r="B937" s="37">
        <v>18.0</v>
      </c>
      <c r="C937" s="37">
        <v>43.853424</v>
      </c>
      <c r="D937" s="37">
        <v>25.853424</v>
      </c>
    </row>
    <row r="938" ht="14.25" customHeight="1">
      <c r="A938" s="4" t="s">
        <v>5605</v>
      </c>
      <c r="B938" s="37">
        <v>10.0</v>
      </c>
      <c r="C938" s="37">
        <v>35.794166</v>
      </c>
      <c r="D938" s="37">
        <v>25.794166</v>
      </c>
    </row>
    <row r="939" ht="14.25" customHeight="1">
      <c r="A939" s="4" t="s">
        <v>5379</v>
      </c>
      <c r="B939" s="37">
        <v>12.0</v>
      </c>
      <c r="C939" s="37">
        <v>37.707719</v>
      </c>
      <c r="D939" s="37">
        <v>25.707719</v>
      </c>
    </row>
    <row r="940" ht="14.25" customHeight="1">
      <c r="A940" s="4" t="s">
        <v>4083</v>
      </c>
      <c r="B940" s="37">
        <v>21.0</v>
      </c>
      <c r="C940" s="37">
        <v>46.7</v>
      </c>
      <c r="D940" s="37">
        <v>25.7</v>
      </c>
    </row>
    <row r="941" ht="14.25" customHeight="1">
      <c r="A941" s="4" t="s">
        <v>4872</v>
      </c>
      <c r="B941" s="37">
        <v>17.0</v>
      </c>
      <c r="C941" s="37">
        <v>42.67263</v>
      </c>
      <c r="D941" s="37">
        <v>25.67263</v>
      </c>
    </row>
    <row r="942" ht="14.25" customHeight="1">
      <c r="A942" s="4" t="s">
        <v>4670</v>
      </c>
      <c r="B942" s="37">
        <v>20.0</v>
      </c>
      <c r="C942" s="37">
        <v>45.670855</v>
      </c>
      <c r="D942" s="37">
        <v>25.670855</v>
      </c>
    </row>
    <row r="943" ht="14.25" customHeight="1">
      <c r="A943" s="4" t="s">
        <v>4090</v>
      </c>
      <c r="B943" s="37">
        <v>17.0</v>
      </c>
      <c r="C943" s="37">
        <v>42.66</v>
      </c>
      <c r="D943" s="37">
        <v>25.66</v>
      </c>
    </row>
    <row r="944" ht="14.25" customHeight="1">
      <c r="A944" s="4" t="s">
        <v>2064</v>
      </c>
      <c r="B944" s="37">
        <v>50.0</v>
      </c>
      <c r="C944" s="37">
        <v>75.605492</v>
      </c>
      <c r="D944" s="37">
        <v>25.605492</v>
      </c>
    </row>
    <row r="945" ht="14.25" customHeight="1">
      <c r="A945" s="4" t="s">
        <v>4534</v>
      </c>
      <c r="B945" s="37">
        <v>18.0</v>
      </c>
      <c r="C945" s="37">
        <v>43.601508</v>
      </c>
      <c r="D945" s="37">
        <v>25.601508</v>
      </c>
    </row>
    <row r="946" ht="14.25" customHeight="1">
      <c r="A946" s="4" t="s">
        <v>5910</v>
      </c>
      <c r="B946" s="37">
        <v>8.5</v>
      </c>
      <c r="C946" s="37">
        <v>34.017854</v>
      </c>
      <c r="D946" s="37">
        <v>25.517854</v>
      </c>
    </row>
    <row r="947" ht="14.25" customHeight="1">
      <c r="A947" s="4" t="s">
        <v>1507</v>
      </c>
      <c r="B947" s="37">
        <v>65.0</v>
      </c>
      <c r="C947" s="37">
        <v>90.454043</v>
      </c>
      <c r="D947" s="37">
        <v>25.454043</v>
      </c>
    </row>
    <row r="948" ht="14.25" customHeight="1">
      <c r="A948" s="4" t="s">
        <v>3484</v>
      </c>
      <c r="B948" s="37">
        <v>35.0</v>
      </c>
      <c r="C948" s="37">
        <v>60.400856</v>
      </c>
      <c r="D948" s="37">
        <v>25.400856</v>
      </c>
    </row>
    <row r="949" ht="14.25" customHeight="1">
      <c r="A949" s="4" t="s">
        <v>6194</v>
      </c>
      <c r="B949" s="37">
        <v>6.5</v>
      </c>
      <c r="C949" s="37">
        <v>31.899</v>
      </c>
      <c r="D949" s="37">
        <v>25.399</v>
      </c>
    </row>
    <row r="950" ht="14.25" customHeight="1">
      <c r="A950" s="4" t="s">
        <v>5354</v>
      </c>
      <c r="B950" s="37">
        <v>12.0</v>
      </c>
      <c r="C950" s="37">
        <v>37.188667</v>
      </c>
      <c r="D950" s="37">
        <v>25.188667</v>
      </c>
    </row>
    <row r="951" ht="14.25" customHeight="1">
      <c r="A951" s="4" t="s">
        <v>5852</v>
      </c>
      <c r="B951" s="37">
        <v>9.0</v>
      </c>
      <c r="C951" s="37">
        <v>34.074895</v>
      </c>
      <c r="D951" s="37">
        <v>25.074895</v>
      </c>
    </row>
    <row r="952" ht="14.25" customHeight="1">
      <c r="A952" s="4" t="s">
        <v>4878</v>
      </c>
      <c r="B952" s="37">
        <v>15.0</v>
      </c>
      <c r="C952" s="37">
        <v>40.064955</v>
      </c>
      <c r="D952" s="37">
        <v>25.064955</v>
      </c>
    </row>
    <row r="953" ht="14.25" customHeight="1">
      <c r="A953" s="4" t="s">
        <v>2914</v>
      </c>
      <c r="B953" s="37">
        <v>35.0</v>
      </c>
      <c r="C953" s="37">
        <v>60.054449</v>
      </c>
      <c r="D953" s="37">
        <v>25.054449</v>
      </c>
    </row>
    <row r="954" ht="14.25" customHeight="1">
      <c r="A954" s="4" t="s">
        <v>2296</v>
      </c>
      <c r="B954" s="37">
        <v>45.0</v>
      </c>
      <c r="C954" s="37">
        <v>70.001065</v>
      </c>
      <c r="D954" s="37">
        <v>25.001065</v>
      </c>
    </row>
    <row r="955" ht="14.25" customHeight="1">
      <c r="A955" s="4" t="s">
        <v>4186</v>
      </c>
      <c r="B955" s="37">
        <v>20.0</v>
      </c>
      <c r="C955" s="37">
        <v>44.98818</v>
      </c>
      <c r="D955" s="37">
        <v>24.98818</v>
      </c>
    </row>
    <row r="956" ht="14.25" customHeight="1">
      <c r="A956" s="4" t="s">
        <v>6077</v>
      </c>
      <c r="B956" s="37">
        <v>7.5</v>
      </c>
      <c r="C956" s="37">
        <v>32.391374</v>
      </c>
      <c r="D956" s="37">
        <v>24.891374</v>
      </c>
    </row>
    <row r="957" ht="14.25" customHeight="1">
      <c r="A957" s="4" t="s">
        <v>891</v>
      </c>
      <c r="B957" s="37">
        <v>100.0</v>
      </c>
      <c r="C957" s="37">
        <v>124.870275</v>
      </c>
      <c r="D957" s="37">
        <v>24.870275</v>
      </c>
    </row>
    <row r="958" ht="14.25" customHeight="1">
      <c r="A958" s="4" t="s">
        <v>6033</v>
      </c>
      <c r="B958" s="37">
        <v>7.5</v>
      </c>
      <c r="C958" s="37">
        <v>32.33386</v>
      </c>
      <c r="D958" s="37">
        <v>24.83386</v>
      </c>
    </row>
    <row r="959" ht="14.25" customHeight="1">
      <c r="A959" s="4" t="s">
        <v>1198</v>
      </c>
      <c r="B959" s="37">
        <v>79.0</v>
      </c>
      <c r="C959" s="37">
        <v>103.812241</v>
      </c>
      <c r="D959" s="37">
        <v>24.812241</v>
      </c>
    </row>
    <row r="960" ht="14.25" customHeight="1">
      <c r="A960" s="4" t="s">
        <v>3615</v>
      </c>
      <c r="B960" s="37">
        <v>26.0</v>
      </c>
      <c r="C960" s="37">
        <v>50.8</v>
      </c>
      <c r="D960" s="37">
        <v>24.8</v>
      </c>
    </row>
    <row r="961" ht="14.25" customHeight="1">
      <c r="A961" s="4" t="s">
        <v>687</v>
      </c>
      <c r="B961" s="37">
        <v>120.0</v>
      </c>
      <c r="C961" s="37">
        <v>144.79535</v>
      </c>
      <c r="D961" s="37">
        <v>24.79535</v>
      </c>
    </row>
    <row r="962" ht="14.25" customHeight="1">
      <c r="A962" s="4" t="s">
        <v>6174</v>
      </c>
      <c r="B962" s="37">
        <v>6.9</v>
      </c>
      <c r="C962" s="37">
        <v>31.607598</v>
      </c>
      <c r="D962" s="37">
        <v>24.707598</v>
      </c>
    </row>
    <row r="963" ht="14.25" customHeight="1">
      <c r="A963" s="4" t="s">
        <v>2915</v>
      </c>
      <c r="B963" s="37">
        <v>1.8</v>
      </c>
      <c r="C963" s="37">
        <v>26.505</v>
      </c>
      <c r="D963" s="37">
        <v>24.705</v>
      </c>
    </row>
    <row r="964" ht="14.25" customHeight="1">
      <c r="A964" s="4" t="s">
        <v>2915</v>
      </c>
      <c r="B964" s="37">
        <v>1.8</v>
      </c>
      <c r="C964" s="37">
        <v>26.505</v>
      </c>
      <c r="D964" s="37">
        <v>24.705</v>
      </c>
    </row>
    <row r="965" ht="14.25" customHeight="1">
      <c r="A965" s="4" t="s">
        <v>2921</v>
      </c>
      <c r="B965" s="37">
        <v>35.0</v>
      </c>
      <c r="C965" s="37">
        <v>59.699513</v>
      </c>
      <c r="D965" s="37">
        <v>24.699513</v>
      </c>
    </row>
    <row r="966" ht="14.25" customHeight="1">
      <c r="A966" s="4" t="s">
        <v>2939</v>
      </c>
      <c r="B966" s="37">
        <v>33.0</v>
      </c>
      <c r="C966" s="37">
        <v>57.651794</v>
      </c>
      <c r="D966" s="37">
        <v>24.651794</v>
      </c>
    </row>
    <row r="967" ht="14.25" customHeight="1">
      <c r="A967" s="4" t="s">
        <v>675</v>
      </c>
      <c r="B967" s="37">
        <v>110.0</v>
      </c>
      <c r="C967" s="37">
        <v>134.520804</v>
      </c>
      <c r="D967" s="37">
        <v>24.520804</v>
      </c>
    </row>
    <row r="968" ht="14.25" customHeight="1">
      <c r="A968" s="4" t="s">
        <v>269</v>
      </c>
      <c r="B968" s="37">
        <v>165.0</v>
      </c>
      <c r="C968" s="37">
        <v>189.412677</v>
      </c>
      <c r="D968" s="37">
        <v>24.412677</v>
      </c>
    </row>
    <row r="969" ht="14.25" customHeight="1">
      <c r="A969" s="4" t="s">
        <v>2761</v>
      </c>
      <c r="B969" s="37">
        <v>39.0</v>
      </c>
      <c r="C969" s="37">
        <v>63.411478</v>
      </c>
      <c r="D969" s="37">
        <v>24.411478</v>
      </c>
    </row>
    <row r="970" ht="14.25" customHeight="1">
      <c r="A970" s="4" t="s">
        <v>6719</v>
      </c>
      <c r="B970" s="37">
        <v>3.5</v>
      </c>
      <c r="C970" s="37">
        <v>27.9</v>
      </c>
      <c r="D970" s="37">
        <v>24.4</v>
      </c>
    </row>
    <row r="971" ht="14.25" customHeight="1">
      <c r="A971" s="4" t="s">
        <v>6720</v>
      </c>
      <c r="B971" s="37">
        <v>3.5</v>
      </c>
      <c r="C971" s="37">
        <v>27.9</v>
      </c>
      <c r="D971" s="37">
        <v>24.4</v>
      </c>
    </row>
    <row r="972" ht="14.25" customHeight="1">
      <c r="A972" s="4" t="s">
        <v>4755</v>
      </c>
      <c r="B972" s="37">
        <v>16.0</v>
      </c>
      <c r="C972" s="37">
        <v>40.36353</v>
      </c>
      <c r="D972" s="37">
        <v>24.36353</v>
      </c>
    </row>
    <row r="973" ht="14.25" customHeight="1">
      <c r="A973" s="4" t="s">
        <v>116</v>
      </c>
      <c r="B973" s="37">
        <v>210.0</v>
      </c>
      <c r="C973" s="37">
        <v>234.360014</v>
      </c>
      <c r="D973" s="37">
        <v>24.360014</v>
      </c>
    </row>
    <row r="974" ht="14.25" customHeight="1">
      <c r="A974" s="4" t="s">
        <v>4538</v>
      </c>
      <c r="B974" s="37">
        <v>18.0</v>
      </c>
      <c r="C974" s="37">
        <v>42.335698</v>
      </c>
      <c r="D974" s="37">
        <v>24.335698</v>
      </c>
    </row>
    <row r="975" ht="14.25" customHeight="1">
      <c r="A975" s="4" t="s">
        <v>1969</v>
      </c>
      <c r="B975" s="37">
        <v>46.0</v>
      </c>
      <c r="C975" s="37">
        <v>70.327868</v>
      </c>
      <c r="D975" s="37">
        <v>24.327868</v>
      </c>
    </row>
    <row r="976" ht="14.25" customHeight="1">
      <c r="A976" s="4" t="s">
        <v>6929</v>
      </c>
      <c r="B976" s="37">
        <v>2.5</v>
      </c>
      <c r="C976" s="37">
        <v>26.781723</v>
      </c>
      <c r="D976" s="37">
        <v>24.281723</v>
      </c>
    </row>
    <row r="977" ht="14.25" customHeight="1">
      <c r="A977" s="4" t="s">
        <v>5854</v>
      </c>
      <c r="B977" s="37">
        <v>9.0</v>
      </c>
      <c r="C977" s="37">
        <v>33.244684</v>
      </c>
      <c r="D977" s="37">
        <v>24.244684</v>
      </c>
    </row>
    <row r="978" ht="14.25" customHeight="1">
      <c r="A978" s="4" t="s">
        <v>6806</v>
      </c>
      <c r="B978" s="37">
        <v>3.0</v>
      </c>
      <c r="C978" s="37">
        <v>27.2</v>
      </c>
      <c r="D978" s="37">
        <v>24.2</v>
      </c>
    </row>
    <row r="979" ht="14.25" customHeight="1">
      <c r="A979" s="4" t="s">
        <v>4758</v>
      </c>
      <c r="B979" s="37">
        <v>13.5</v>
      </c>
      <c r="C979" s="37">
        <v>37.623143</v>
      </c>
      <c r="D979" s="37">
        <v>24.123143</v>
      </c>
    </row>
    <row r="980" ht="14.25" customHeight="1">
      <c r="A980" s="4" t="s">
        <v>5477</v>
      </c>
      <c r="B980" s="37">
        <v>6.0</v>
      </c>
      <c r="C980" s="37">
        <v>30.093107</v>
      </c>
      <c r="D980" s="37">
        <v>24.093107</v>
      </c>
    </row>
    <row r="981" ht="14.25" customHeight="1">
      <c r="A981" s="4" t="s">
        <v>1090</v>
      </c>
      <c r="B981" s="37">
        <v>80.0</v>
      </c>
      <c r="C981" s="37">
        <v>104.054514</v>
      </c>
      <c r="D981" s="37">
        <v>24.054514</v>
      </c>
    </row>
    <row r="982" ht="14.25" customHeight="1">
      <c r="A982" s="4" t="s">
        <v>5098</v>
      </c>
      <c r="B982" s="37">
        <v>14.0</v>
      </c>
      <c r="C982" s="37">
        <v>38.048637</v>
      </c>
      <c r="D982" s="37">
        <v>24.048637</v>
      </c>
    </row>
    <row r="983" ht="14.25" customHeight="1">
      <c r="A983" s="4" t="s">
        <v>5487</v>
      </c>
      <c r="B983" s="37">
        <v>11.5</v>
      </c>
      <c r="C983" s="37">
        <v>35.537564</v>
      </c>
      <c r="D983" s="37">
        <v>24.037564</v>
      </c>
    </row>
    <row r="984" ht="14.25" customHeight="1">
      <c r="A984" s="4" t="s">
        <v>4078</v>
      </c>
      <c r="B984" s="37">
        <v>25.0</v>
      </c>
      <c r="C984" s="37">
        <v>49.024969</v>
      </c>
      <c r="D984" s="37">
        <v>24.024969</v>
      </c>
    </row>
    <row r="985" ht="14.25" customHeight="1">
      <c r="A985" s="4" t="s">
        <v>6085</v>
      </c>
      <c r="B985" s="37">
        <v>7.5</v>
      </c>
      <c r="C985" s="37">
        <v>31.501218</v>
      </c>
      <c r="D985" s="37">
        <v>24.001218</v>
      </c>
    </row>
    <row r="986" ht="14.25" customHeight="1">
      <c r="A986" s="4" t="s">
        <v>5603</v>
      </c>
      <c r="B986" s="37">
        <v>12.305523</v>
      </c>
      <c r="C986" s="37">
        <v>36.2</v>
      </c>
      <c r="D986" s="37">
        <v>23.894477</v>
      </c>
    </row>
    <row r="987" ht="14.25" customHeight="1">
      <c r="A987" s="4" t="s">
        <v>3623</v>
      </c>
      <c r="B987" s="37">
        <v>26.0</v>
      </c>
      <c r="C987" s="37">
        <v>49.874933</v>
      </c>
      <c r="D987" s="37">
        <v>23.874933</v>
      </c>
    </row>
    <row r="988" ht="14.25" customHeight="1">
      <c r="A988" s="4" t="s">
        <v>4708</v>
      </c>
      <c r="B988" s="37">
        <v>16.0</v>
      </c>
      <c r="C988" s="37">
        <v>39.825798</v>
      </c>
      <c r="D988" s="37">
        <v>23.825798</v>
      </c>
    </row>
    <row r="989" ht="14.25" customHeight="1">
      <c r="A989" s="4" t="s">
        <v>4530</v>
      </c>
      <c r="B989" s="37">
        <v>20.0</v>
      </c>
      <c r="C989" s="37">
        <v>43.818159</v>
      </c>
      <c r="D989" s="37">
        <v>23.818159</v>
      </c>
    </row>
    <row r="990" ht="14.25" customHeight="1">
      <c r="A990" s="4" t="s">
        <v>5924</v>
      </c>
      <c r="B990" s="37">
        <v>8.5</v>
      </c>
      <c r="C990" s="37">
        <v>32.279955</v>
      </c>
      <c r="D990" s="37">
        <v>23.779955</v>
      </c>
    </row>
    <row r="991" ht="14.25" customHeight="1">
      <c r="A991" s="4" t="s">
        <v>1881</v>
      </c>
      <c r="B991" s="37">
        <v>55.0</v>
      </c>
      <c r="C991" s="37">
        <v>78.745923</v>
      </c>
      <c r="D991" s="37">
        <v>23.745923</v>
      </c>
    </row>
    <row r="992" ht="14.25" customHeight="1">
      <c r="A992" s="4" t="s">
        <v>3288</v>
      </c>
      <c r="B992" s="37">
        <v>30.0</v>
      </c>
      <c r="C992" s="37">
        <v>53.680848</v>
      </c>
      <c r="D992" s="37">
        <v>23.680848</v>
      </c>
    </row>
    <row r="993" ht="14.25" customHeight="1">
      <c r="A993" s="4" t="s">
        <v>6543</v>
      </c>
      <c r="B993" s="37">
        <v>0.89</v>
      </c>
      <c r="C993" s="37">
        <v>24.475416</v>
      </c>
      <c r="D993" s="37">
        <v>23.585416</v>
      </c>
    </row>
    <row r="994" ht="14.25" customHeight="1">
      <c r="A994" s="4" t="s">
        <v>5606</v>
      </c>
      <c r="B994" s="37">
        <v>10.0</v>
      </c>
      <c r="C994" s="37">
        <v>33.583175</v>
      </c>
      <c r="D994" s="37">
        <v>23.583175</v>
      </c>
    </row>
    <row r="995" ht="14.25" customHeight="1">
      <c r="A995" s="4" t="s">
        <v>7226</v>
      </c>
      <c r="B995" s="37">
        <v>1.2</v>
      </c>
      <c r="C995" s="37">
        <v>24.7417</v>
      </c>
      <c r="D995" s="37">
        <v>23.5417</v>
      </c>
    </row>
    <row r="996" ht="14.25" customHeight="1">
      <c r="A996" s="4" t="s">
        <v>4749</v>
      </c>
      <c r="B996" s="37">
        <v>16.0</v>
      </c>
      <c r="C996" s="37">
        <v>39.511038</v>
      </c>
      <c r="D996" s="37">
        <v>23.511038</v>
      </c>
    </row>
    <row r="997" ht="14.25" customHeight="1">
      <c r="A997" s="4" t="s">
        <v>4537</v>
      </c>
      <c r="B997" s="37">
        <v>18.0</v>
      </c>
      <c r="C997" s="37">
        <v>41.382841</v>
      </c>
      <c r="D997" s="37">
        <v>23.382841</v>
      </c>
    </row>
    <row r="998" ht="14.25" customHeight="1">
      <c r="A998" s="4" t="s">
        <v>1979</v>
      </c>
      <c r="B998" s="37">
        <v>50.0</v>
      </c>
      <c r="C998" s="37">
        <v>73.343413</v>
      </c>
      <c r="D998" s="37">
        <v>23.343413</v>
      </c>
    </row>
    <row r="999" ht="14.25" customHeight="1">
      <c r="A999" s="4" t="s">
        <v>2832</v>
      </c>
      <c r="B999" s="37">
        <v>37.0</v>
      </c>
      <c r="C999" s="37">
        <v>60.338891</v>
      </c>
      <c r="D999" s="37">
        <v>23.338891</v>
      </c>
    </row>
    <row r="1000" ht="14.25" customHeight="1">
      <c r="A1000" s="4" t="s">
        <v>4210</v>
      </c>
      <c r="B1000" s="37">
        <v>11.0</v>
      </c>
      <c r="C1000" s="37">
        <v>34.334256</v>
      </c>
      <c r="D1000" s="37">
        <v>23.334256</v>
      </c>
    </row>
    <row r="1001" ht="14.25" customHeight="1">
      <c r="A1001" s="4" t="s">
        <v>205</v>
      </c>
      <c r="B1001" s="37">
        <v>175.0</v>
      </c>
      <c r="C1001" s="37">
        <v>198.332128</v>
      </c>
      <c r="D1001" s="37">
        <v>23.332128</v>
      </c>
    </row>
    <row r="1002" ht="14.25" customHeight="1">
      <c r="A1002" s="4" t="s">
        <v>3740</v>
      </c>
      <c r="B1002" s="37">
        <v>25.0</v>
      </c>
      <c r="C1002" s="37">
        <v>48.237389</v>
      </c>
      <c r="D1002" s="37">
        <v>23.237389</v>
      </c>
    </row>
    <row r="1003" ht="14.25" customHeight="1">
      <c r="A1003" s="4" t="s">
        <v>5649</v>
      </c>
      <c r="B1003" s="37">
        <v>10.0</v>
      </c>
      <c r="C1003" s="37">
        <v>33.071558</v>
      </c>
      <c r="D1003" s="37">
        <v>23.071558</v>
      </c>
    </row>
    <row r="1004" ht="14.25" customHeight="1">
      <c r="A1004" s="4" t="s">
        <v>1091</v>
      </c>
      <c r="B1004" s="37">
        <v>80.0</v>
      </c>
      <c r="C1004" s="37">
        <v>103.028109</v>
      </c>
      <c r="D1004" s="37">
        <v>23.028109</v>
      </c>
    </row>
    <row r="1005" ht="14.25" customHeight="1">
      <c r="A1005" s="4" t="s">
        <v>3291</v>
      </c>
      <c r="B1005" s="37">
        <v>30.0</v>
      </c>
      <c r="C1005" s="37">
        <v>53.02156</v>
      </c>
      <c r="D1005" s="37">
        <v>23.02156</v>
      </c>
    </row>
    <row r="1006" ht="14.25" customHeight="1">
      <c r="A1006" s="4" t="s">
        <v>5613</v>
      </c>
      <c r="B1006" s="37">
        <v>10.0</v>
      </c>
      <c r="C1006" s="37">
        <v>33.0</v>
      </c>
      <c r="D1006" s="37">
        <v>23.0</v>
      </c>
    </row>
    <row r="1007" ht="14.25" customHeight="1">
      <c r="A1007" s="4" t="s">
        <v>286</v>
      </c>
      <c r="B1007" s="37">
        <v>165.0</v>
      </c>
      <c r="C1007" s="37">
        <v>187.991439</v>
      </c>
      <c r="D1007" s="37">
        <v>22.991439</v>
      </c>
    </row>
    <row r="1008" ht="14.25" customHeight="1">
      <c r="A1008" s="4" t="s">
        <v>1062</v>
      </c>
      <c r="B1008" s="37">
        <v>80.0</v>
      </c>
      <c r="C1008" s="37">
        <v>102.981571</v>
      </c>
      <c r="D1008" s="37">
        <v>22.981571</v>
      </c>
    </row>
    <row r="1009" ht="14.25" customHeight="1">
      <c r="A1009" s="4" t="s">
        <v>3274</v>
      </c>
      <c r="B1009" s="37">
        <v>30.0</v>
      </c>
      <c r="C1009" s="37">
        <v>52.93713</v>
      </c>
      <c r="D1009" s="37">
        <v>22.93713</v>
      </c>
    </row>
    <row r="1010" ht="14.25" customHeight="1">
      <c r="A1010" s="4" t="s">
        <v>2285</v>
      </c>
      <c r="B1010" s="37">
        <v>60.0</v>
      </c>
      <c r="C1010" s="37">
        <v>82.931301</v>
      </c>
      <c r="D1010" s="37">
        <v>22.931301</v>
      </c>
    </row>
    <row r="1011" ht="14.25" customHeight="1">
      <c r="A1011" s="4" t="s">
        <v>4893</v>
      </c>
      <c r="B1011" s="37">
        <v>15.0</v>
      </c>
      <c r="C1011" s="37">
        <v>37.877959</v>
      </c>
      <c r="D1011" s="37">
        <v>22.877959</v>
      </c>
    </row>
    <row r="1012" ht="14.25" customHeight="1">
      <c r="A1012" s="4" t="s">
        <v>6991</v>
      </c>
      <c r="B1012" s="37">
        <v>2.0</v>
      </c>
      <c r="C1012" s="37">
        <v>24.8</v>
      </c>
      <c r="D1012" s="37">
        <v>22.8</v>
      </c>
    </row>
    <row r="1013" ht="14.25" customHeight="1">
      <c r="A1013" s="4" t="s">
        <v>3144</v>
      </c>
      <c r="B1013" s="37">
        <v>32.0</v>
      </c>
      <c r="C1013" s="37">
        <v>54.696902</v>
      </c>
      <c r="D1013" s="37">
        <v>22.696902</v>
      </c>
    </row>
    <row r="1014" ht="14.25" customHeight="1">
      <c r="A1014" s="4" t="s">
        <v>6413</v>
      </c>
      <c r="B1014" s="37">
        <v>5.0</v>
      </c>
      <c r="C1014" s="37">
        <v>27.689474</v>
      </c>
      <c r="D1014" s="37">
        <v>22.689474</v>
      </c>
    </row>
    <row r="1015" ht="14.25" customHeight="1">
      <c r="A1015" s="4" t="s">
        <v>1629</v>
      </c>
      <c r="B1015" s="37">
        <v>60.0</v>
      </c>
      <c r="C1015" s="37">
        <v>82.670733</v>
      </c>
      <c r="D1015" s="37">
        <v>22.670733</v>
      </c>
    </row>
    <row r="1016" ht="14.25" customHeight="1">
      <c r="A1016" s="4" t="s">
        <v>7724</v>
      </c>
      <c r="B1016" s="37">
        <v>0.1</v>
      </c>
      <c r="C1016" s="37">
        <v>22.757819</v>
      </c>
      <c r="D1016" s="37">
        <v>22.657819</v>
      </c>
    </row>
    <row r="1017" ht="14.25" customHeight="1">
      <c r="A1017" s="4" t="s">
        <v>4181</v>
      </c>
      <c r="B1017" s="37">
        <v>20.0</v>
      </c>
      <c r="C1017" s="37">
        <v>42.652003</v>
      </c>
      <c r="D1017" s="37">
        <v>22.652003</v>
      </c>
    </row>
    <row r="1018" ht="14.25" customHeight="1">
      <c r="A1018" s="4" t="s">
        <v>1631</v>
      </c>
      <c r="B1018" s="37">
        <v>60.0</v>
      </c>
      <c r="C1018" s="37">
        <v>82.569532</v>
      </c>
      <c r="D1018" s="37">
        <v>22.569532</v>
      </c>
    </row>
    <row r="1019" ht="14.25" customHeight="1">
      <c r="A1019" s="4" t="s">
        <v>6094</v>
      </c>
      <c r="B1019" s="37">
        <v>3.5</v>
      </c>
      <c r="C1019" s="37">
        <v>26.005908</v>
      </c>
      <c r="D1019" s="37">
        <v>22.505908</v>
      </c>
    </row>
    <row r="1020" ht="14.25" customHeight="1">
      <c r="A1020" s="4" t="s">
        <v>6409</v>
      </c>
      <c r="B1020" s="37">
        <v>3.3</v>
      </c>
      <c r="C1020" s="37">
        <v>25.799043</v>
      </c>
      <c r="D1020" s="37">
        <v>22.499043</v>
      </c>
    </row>
    <row r="1021" ht="14.25" customHeight="1">
      <c r="A1021" s="4" t="s">
        <v>5618</v>
      </c>
      <c r="B1021" s="37">
        <v>9.0</v>
      </c>
      <c r="C1021" s="37">
        <v>31.487293</v>
      </c>
      <c r="D1021" s="37">
        <v>22.487293</v>
      </c>
    </row>
    <row r="1022" ht="14.25" customHeight="1">
      <c r="A1022" s="4" t="s">
        <v>3297</v>
      </c>
      <c r="B1022" s="37">
        <v>30.0</v>
      </c>
      <c r="C1022" s="37">
        <v>52.418902</v>
      </c>
      <c r="D1022" s="37">
        <v>22.418902</v>
      </c>
    </row>
    <row r="1023" ht="14.25" customHeight="1">
      <c r="A1023" s="4" t="s">
        <v>1243</v>
      </c>
      <c r="B1023" s="37">
        <v>75.0</v>
      </c>
      <c r="C1023" s="37">
        <v>97.360069</v>
      </c>
      <c r="D1023" s="37">
        <v>22.360069</v>
      </c>
    </row>
    <row r="1024" ht="14.25" customHeight="1">
      <c r="A1024" s="4" t="s">
        <v>5527</v>
      </c>
      <c r="B1024" s="37">
        <v>11.0</v>
      </c>
      <c r="C1024" s="37">
        <v>33.305037</v>
      </c>
      <c r="D1024" s="37">
        <v>22.305037</v>
      </c>
    </row>
    <row r="1025" ht="14.25" customHeight="1">
      <c r="A1025" s="4" t="s">
        <v>6407</v>
      </c>
      <c r="B1025" s="37">
        <v>5.0</v>
      </c>
      <c r="C1025" s="37">
        <v>27.296514</v>
      </c>
      <c r="D1025" s="37">
        <v>22.296514</v>
      </c>
    </row>
    <row r="1026" ht="14.25" customHeight="1">
      <c r="A1026" s="4" t="s">
        <v>6464</v>
      </c>
      <c r="B1026" s="37">
        <v>5.0</v>
      </c>
      <c r="C1026" s="37">
        <v>27.285953</v>
      </c>
      <c r="D1026" s="37">
        <v>22.285953</v>
      </c>
    </row>
    <row r="1027" ht="14.25" customHeight="1">
      <c r="A1027" s="4" t="s">
        <v>3272</v>
      </c>
      <c r="B1027" s="37">
        <v>42.0</v>
      </c>
      <c r="C1027" s="37">
        <v>64.23877</v>
      </c>
      <c r="D1027" s="37">
        <v>22.23877</v>
      </c>
    </row>
    <row r="1028" ht="14.25" customHeight="1">
      <c r="A1028" s="4" t="s">
        <v>5192</v>
      </c>
      <c r="B1028" s="37">
        <v>16.0</v>
      </c>
      <c r="C1028" s="37">
        <v>38.176108</v>
      </c>
      <c r="D1028" s="37">
        <v>22.176108</v>
      </c>
    </row>
    <row r="1029" ht="14.25" customHeight="1">
      <c r="A1029" s="4" t="s">
        <v>3195</v>
      </c>
      <c r="B1029" s="37">
        <v>31.0</v>
      </c>
      <c r="C1029" s="37">
        <v>53.133888</v>
      </c>
      <c r="D1029" s="37">
        <v>22.133888</v>
      </c>
    </row>
    <row r="1030" ht="14.25" customHeight="1">
      <c r="A1030" s="4" t="s">
        <v>3720</v>
      </c>
      <c r="B1030" s="37">
        <v>25.0</v>
      </c>
      <c r="C1030" s="37">
        <v>47.1244</v>
      </c>
      <c r="D1030" s="37">
        <v>22.1244</v>
      </c>
    </row>
    <row r="1031" ht="14.25" customHeight="1">
      <c r="A1031" s="4" t="s">
        <v>6894</v>
      </c>
      <c r="B1031" s="37">
        <v>2.883848</v>
      </c>
      <c r="C1031" s="37">
        <v>25.0</v>
      </c>
      <c r="D1031" s="37">
        <v>22.116152</v>
      </c>
    </row>
    <row r="1032" ht="14.25" customHeight="1">
      <c r="A1032" s="4" t="s">
        <v>2321</v>
      </c>
      <c r="B1032" s="37">
        <v>26.0</v>
      </c>
      <c r="C1032" s="37">
        <v>48.114556</v>
      </c>
      <c r="D1032" s="37">
        <v>22.114556</v>
      </c>
    </row>
    <row r="1033" ht="14.25" customHeight="1">
      <c r="A1033" s="4" t="s">
        <v>5615</v>
      </c>
      <c r="B1033" s="37">
        <v>10.0</v>
      </c>
      <c r="C1033" s="37">
        <v>32.101</v>
      </c>
      <c r="D1033" s="37">
        <v>22.101</v>
      </c>
    </row>
    <row r="1034" ht="14.25" customHeight="1">
      <c r="A1034" s="4" t="s">
        <v>1816</v>
      </c>
      <c r="B1034" s="37">
        <v>58.0</v>
      </c>
      <c r="C1034" s="37">
        <v>80.02174</v>
      </c>
      <c r="D1034" s="37">
        <v>22.02174</v>
      </c>
    </row>
    <row r="1035" ht="14.25" customHeight="1">
      <c r="A1035" s="4" t="s">
        <v>1816</v>
      </c>
      <c r="B1035" s="37">
        <v>58.0</v>
      </c>
      <c r="C1035" s="37">
        <v>80.02174</v>
      </c>
      <c r="D1035" s="37">
        <v>22.02174</v>
      </c>
    </row>
    <row r="1036" ht="14.25" customHeight="1">
      <c r="A1036" s="4" t="s">
        <v>3491</v>
      </c>
      <c r="B1036" s="37">
        <v>28.0</v>
      </c>
      <c r="C1036" s="37">
        <v>49.968653</v>
      </c>
      <c r="D1036" s="37">
        <v>21.968653</v>
      </c>
    </row>
    <row r="1037" ht="14.25" customHeight="1">
      <c r="A1037" s="4" t="s">
        <v>4881</v>
      </c>
      <c r="B1037" s="37">
        <v>16.0</v>
      </c>
      <c r="C1037" s="37">
        <v>37.882551</v>
      </c>
      <c r="D1037" s="37">
        <v>21.882551</v>
      </c>
    </row>
    <row r="1038" ht="14.25" customHeight="1">
      <c r="A1038" s="4" t="s">
        <v>2918</v>
      </c>
      <c r="B1038" s="37">
        <v>35.0</v>
      </c>
      <c r="C1038" s="37">
        <v>56.876365</v>
      </c>
      <c r="D1038" s="37">
        <v>21.876365</v>
      </c>
    </row>
    <row r="1039" ht="14.25" customHeight="1">
      <c r="A1039" s="4" t="s">
        <v>4459</v>
      </c>
      <c r="B1039" s="37">
        <v>20.0</v>
      </c>
      <c r="C1039" s="37">
        <v>41.86796</v>
      </c>
      <c r="D1039" s="37">
        <v>21.86796</v>
      </c>
    </row>
    <row r="1040" ht="14.25" customHeight="1">
      <c r="A1040" s="4" t="s">
        <v>4462</v>
      </c>
      <c r="B1040" s="37">
        <v>19.0</v>
      </c>
      <c r="C1040" s="37">
        <v>40.846082</v>
      </c>
      <c r="D1040" s="37">
        <v>21.846082</v>
      </c>
    </row>
    <row r="1041" ht="14.25" customHeight="1">
      <c r="A1041" s="4" t="s">
        <v>3717</v>
      </c>
      <c r="B1041" s="37">
        <v>25.0</v>
      </c>
      <c r="C1041" s="37">
        <v>46.836394</v>
      </c>
      <c r="D1041" s="37">
        <v>21.836394</v>
      </c>
    </row>
    <row r="1042" ht="14.25" customHeight="1">
      <c r="A1042" s="4" t="s">
        <v>2300</v>
      </c>
      <c r="B1042" s="37">
        <v>45.0</v>
      </c>
      <c r="C1042" s="37">
        <v>66.790248</v>
      </c>
      <c r="D1042" s="37">
        <v>21.790248</v>
      </c>
    </row>
    <row r="1043" ht="14.25" customHeight="1">
      <c r="A1043" s="4" t="s">
        <v>6788</v>
      </c>
      <c r="B1043" s="37">
        <v>3.0</v>
      </c>
      <c r="C1043" s="37">
        <v>24.788807</v>
      </c>
      <c r="D1043" s="37">
        <v>21.788807</v>
      </c>
    </row>
    <row r="1044" ht="14.25" customHeight="1">
      <c r="A1044" s="4" t="s">
        <v>6086</v>
      </c>
      <c r="B1044" s="37">
        <v>7.0</v>
      </c>
      <c r="C1044" s="37">
        <v>28.74757</v>
      </c>
      <c r="D1044" s="37">
        <v>21.74757</v>
      </c>
    </row>
    <row r="1045" ht="14.25" customHeight="1">
      <c r="A1045" s="4" t="s">
        <v>1470</v>
      </c>
      <c r="B1045" s="37">
        <v>66.0</v>
      </c>
      <c r="C1045" s="37">
        <v>87.704396</v>
      </c>
      <c r="D1045" s="37">
        <v>21.704396</v>
      </c>
    </row>
    <row r="1046" ht="14.25" customHeight="1">
      <c r="A1046" s="4" t="s">
        <v>6724</v>
      </c>
      <c r="B1046" s="37">
        <v>3.5</v>
      </c>
      <c r="C1046" s="37">
        <v>25.138292</v>
      </c>
      <c r="D1046" s="37">
        <v>21.638292</v>
      </c>
    </row>
    <row r="1047" ht="14.25" customHeight="1">
      <c r="A1047" s="4" t="s">
        <v>6802</v>
      </c>
      <c r="B1047" s="37">
        <v>3.0</v>
      </c>
      <c r="C1047" s="37">
        <v>24.629916</v>
      </c>
      <c r="D1047" s="37">
        <v>21.629916</v>
      </c>
    </row>
    <row r="1048" ht="14.25" customHeight="1">
      <c r="A1048" s="4" t="s">
        <v>1961</v>
      </c>
      <c r="B1048" s="37">
        <v>54.0</v>
      </c>
      <c r="C1048" s="37">
        <v>75.60432</v>
      </c>
      <c r="D1048" s="37">
        <v>21.60432</v>
      </c>
    </row>
    <row r="1049" ht="14.25" customHeight="1">
      <c r="A1049" s="4" t="s">
        <v>2016</v>
      </c>
      <c r="B1049" s="37">
        <v>51.0</v>
      </c>
      <c r="C1049" s="37">
        <v>72.601713</v>
      </c>
      <c r="D1049" s="37">
        <v>21.601713</v>
      </c>
    </row>
    <row r="1050" ht="14.25" customHeight="1">
      <c r="A1050" s="4" t="s">
        <v>6983</v>
      </c>
      <c r="B1050" s="37">
        <v>2.1</v>
      </c>
      <c r="C1050" s="37">
        <v>23.65</v>
      </c>
      <c r="D1050" s="37">
        <v>21.55</v>
      </c>
    </row>
    <row r="1051" ht="14.25" customHeight="1">
      <c r="A1051" s="4" t="s">
        <v>999</v>
      </c>
      <c r="B1051" s="37">
        <v>90.0</v>
      </c>
      <c r="C1051" s="37">
        <v>111.544445</v>
      </c>
      <c r="D1051" s="37">
        <v>21.544445</v>
      </c>
    </row>
    <row r="1052" ht="14.25" customHeight="1">
      <c r="A1052" s="4" t="s">
        <v>4536</v>
      </c>
      <c r="B1052" s="37">
        <v>19.8</v>
      </c>
      <c r="C1052" s="37">
        <v>41.300105</v>
      </c>
      <c r="D1052" s="37">
        <v>21.500105</v>
      </c>
    </row>
    <row r="1053" ht="14.25" customHeight="1">
      <c r="A1053" s="4" t="s">
        <v>3486</v>
      </c>
      <c r="B1053" s="37">
        <v>30.0</v>
      </c>
      <c r="C1053" s="37">
        <v>51.475962</v>
      </c>
      <c r="D1053" s="37">
        <v>21.475962</v>
      </c>
    </row>
    <row r="1054" ht="14.25" customHeight="1">
      <c r="A1054" s="4" t="s">
        <v>6348</v>
      </c>
      <c r="B1054" s="37">
        <v>3.0</v>
      </c>
      <c r="C1054" s="37">
        <v>24.475193</v>
      </c>
      <c r="D1054" s="37">
        <v>21.475193</v>
      </c>
    </row>
    <row r="1055" ht="14.25" customHeight="1">
      <c r="A1055" s="4" t="s">
        <v>6248</v>
      </c>
      <c r="B1055" s="37">
        <v>6.0</v>
      </c>
      <c r="C1055" s="37">
        <v>27.457409</v>
      </c>
      <c r="D1055" s="37">
        <v>21.457409</v>
      </c>
    </row>
    <row r="1056" ht="14.25" customHeight="1">
      <c r="A1056" s="4" t="s">
        <v>3280</v>
      </c>
      <c r="B1056" s="37">
        <v>30.0</v>
      </c>
      <c r="C1056" s="37">
        <v>51.432423</v>
      </c>
      <c r="D1056" s="37">
        <v>21.432423</v>
      </c>
    </row>
    <row r="1057" ht="14.25" customHeight="1">
      <c r="A1057" s="4" t="s">
        <v>6623</v>
      </c>
      <c r="B1057" s="37">
        <v>4.0</v>
      </c>
      <c r="C1057" s="37">
        <v>25.3592</v>
      </c>
      <c r="D1057" s="37">
        <v>21.3592</v>
      </c>
    </row>
    <row r="1058" ht="14.25" customHeight="1">
      <c r="A1058" s="4" t="s">
        <v>2245</v>
      </c>
      <c r="B1058" s="37">
        <v>48.0</v>
      </c>
      <c r="C1058" s="37">
        <v>69.304264</v>
      </c>
      <c r="D1058" s="37">
        <v>21.304264</v>
      </c>
    </row>
    <row r="1059" ht="14.25" customHeight="1">
      <c r="A1059" s="4" t="s">
        <v>4764</v>
      </c>
      <c r="B1059" s="37">
        <v>16.0</v>
      </c>
      <c r="C1059" s="37">
        <v>37.300107</v>
      </c>
      <c r="D1059" s="37">
        <v>21.300107</v>
      </c>
    </row>
    <row r="1060" ht="14.25" customHeight="1">
      <c r="A1060" s="4" t="s">
        <v>3719</v>
      </c>
      <c r="B1060" s="37">
        <v>26.0</v>
      </c>
      <c r="C1060" s="37">
        <v>47.285499</v>
      </c>
      <c r="D1060" s="37">
        <v>21.285499</v>
      </c>
    </row>
    <row r="1061" ht="14.25" customHeight="1">
      <c r="A1061" s="4" t="s">
        <v>2256</v>
      </c>
      <c r="B1061" s="37">
        <v>46.0</v>
      </c>
      <c r="C1061" s="37">
        <v>67.263182</v>
      </c>
      <c r="D1061" s="37">
        <v>21.263182</v>
      </c>
    </row>
    <row r="1062" ht="14.25" customHeight="1">
      <c r="A1062" s="4" t="s">
        <v>2575</v>
      </c>
      <c r="B1062" s="37">
        <v>30.0</v>
      </c>
      <c r="C1062" s="37">
        <v>51.185897</v>
      </c>
      <c r="D1062" s="37">
        <v>21.185897</v>
      </c>
    </row>
    <row r="1063" ht="14.25" customHeight="1">
      <c r="A1063" s="4" t="s">
        <v>1911</v>
      </c>
      <c r="B1063" s="37">
        <v>55.0</v>
      </c>
      <c r="C1063" s="37">
        <v>76.137505</v>
      </c>
      <c r="D1063" s="37">
        <v>21.137505</v>
      </c>
    </row>
    <row r="1064" ht="14.25" customHeight="1">
      <c r="A1064" s="4" t="s">
        <v>6081</v>
      </c>
      <c r="B1064" s="37">
        <v>11.0</v>
      </c>
      <c r="C1064" s="37">
        <v>32.131483</v>
      </c>
      <c r="D1064" s="37">
        <v>21.131483</v>
      </c>
    </row>
    <row r="1065" ht="14.25" customHeight="1">
      <c r="A1065" s="4" t="s">
        <v>1094</v>
      </c>
      <c r="B1065" s="37">
        <v>80.0</v>
      </c>
      <c r="C1065" s="37">
        <v>101.111837</v>
      </c>
      <c r="D1065" s="37">
        <v>21.111837</v>
      </c>
    </row>
    <row r="1066" ht="14.25" customHeight="1">
      <c r="A1066" s="4" t="s">
        <v>3281</v>
      </c>
      <c r="B1066" s="37">
        <v>30.0</v>
      </c>
      <c r="C1066" s="37">
        <v>51.1094</v>
      </c>
      <c r="D1066" s="37">
        <v>21.1094</v>
      </c>
    </row>
    <row r="1067" ht="14.25" customHeight="1">
      <c r="A1067" s="4" t="s">
        <v>3714</v>
      </c>
      <c r="B1067" s="37">
        <v>30.0</v>
      </c>
      <c r="C1067" s="37">
        <v>51.097664</v>
      </c>
      <c r="D1067" s="37">
        <v>21.097664</v>
      </c>
    </row>
    <row r="1068" ht="14.25" customHeight="1">
      <c r="A1068" s="4" t="s">
        <v>6360</v>
      </c>
      <c r="B1068" s="37">
        <v>6.5</v>
      </c>
      <c r="C1068" s="37">
        <v>27.545445</v>
      </c>
      <c r="D1068" s="37">
        <v>21.045445</v>
      </c>
    </row>
    <row r="1069" ht="14.25" customHeight="1">
      <c r="A1069" s="4" t="s">
        <v>3136</v>
      </c>
      <c r="B1069" s="37">
        <v>29.0</v>
      </c>
      <c r="C1069" s="37">
        <v>50.041732</v>
      </c>
      <c r="D1069" s="37">
        <v>21.041732</v>
      </c>
    </row>
    <row r="1070" ht="14.25" customHeight="1">
      <c r="A1070" s="4" t="s">
        <v>2768</v>
      </c>
      <c r="B1070" s="37">
        <v>39.0</v>
      </c>
      <c r="C1070" s="37">
        <v>60.0</v>
      </c>
      <c r="D1070" s="37">
        <v>21.0</v>
      </c>
    </row>
    <row r="1071" ht="14.25" customHeight="1">
      <c r="A1071" s="4" t="s">
        <v>3724</v>
      </c>
      <c r="B1071" s="37">
        <v>23.0</v>
      </c>
      <c r="C1071" s="37">
        <v>43.98423</v>
      </c>
      <c r="D1071" s="37">
        <v>20.98423</v>
      </c>
    </row>
    <row r="1072" ht="14.25" customHeight="1">
      <c r="A1072" s="4" t="s">
        <v>4672</v>
      </c>
      <c r="B1072" s="37">
        <v>17.0</v>
      </c>
      <c r="C1072" s="37">
        <v>37.939782</v>
      </c>
      <c r="D1072" s="37">
        <v>20.939782</v>
      </c>
    </row>
    <row r="1073" ht="14.25" customHeight="1">
      <c r="A1073" s="4" t="s">
        <v>3289</v>
      </c>
      <c r="B1073" s="37">
        <v>30.0</v>
      </c>
      <c r="C1073" s="37">
        <v>50.921738</v>
      </c>
      <c r="D1073" s="37">
        <v>20.921738</v>
      </c>
    </row>
    <row r="1074" ht="14.25" customHeight="1">
      <c r="A1074" s="4" t="s">
        <v>1522</v>
      </c>
      <c r="B1074" s="37">
        <v>65.0</v>
      </c>
      <c r="C1074" s="37">
        <v>85.911262</v>
      </c>
      <c r="D1074" s="37">
        <v>20.911262</v>
      </c>
    </row>
    <row r="1075" ht="14.25" customHeight="1">
      <c r="A1075" s="4" t="s">
        <v>4885</v>
      </c>
      <c r="B1075" s="37">
        <v>15.0</v>
      </c>
      <c r="C1075" s="37">
        <v>35.887263</v>
      </c>
      <c r="D1075" s="37">
        <v>20.887263</v>
      </c>
    </row>
    <row r="1076" ht="14.25" customHeight="1">
      <c r="A1076" s="4" t="s">
        <v>2926</v>
      </c>
      <c r="B1076" s="37">
        <v>35.0</v>
      </c>
      <c r="C1076" s="37">
        <v>55.802754</v>
      </c>
      <c r="D1076" s="37">
        <v>20.802754</v>
      </c>
    </row>
    <row r="1077" ht="14.25" customHeight="1">
      <c r="A1077" s="4" t="s">
        <v>5100</v>
      </c>
      <c r="B1077" s="37">
        <v>14.0</v>
      </c>
      <c r="C1077" s="37">
        <v>34.79316</v>
      </c>
      <c r="D1077" s="37">
        <v>20.79316</v>
      </c>
    </row>
    <row r="1078" ht="14.25" customHeight="1">
      <c r="A1078" s="4" t="s">
        <v>2785</v>
      </c>
      <c r="B1078" s="37">
        <v>38.0</v>
      </c>
      <c r="C1078" s="37">
        <v>58.700247</v>
      </c>
      <c r="D1078" s="37">
        <v>20.700247</v>
      </c>
    </row>
    <row r="1079" ht="14.25" customHeight="1">
      <c r="A1079" s="4" t="s">
        <v>3907</v>
      </c>
      <c r="B1079" s="37">
        <v>14.0</v>
      </c>
      <c r="C1079" s="37">
        <v>34.7</v>
      </c>
      <c r="D1079" s="37">
        <v>20.7</v>
      </c>
    </row>
    <row r="1080" ht="14.25" customHeight="1">
      <c r="A1080" s="4" t="s">
        <v>5905</v>
      </c>
      <c r="B1080" s="37">
        <v>8.5</v>
      </c>
      <c r="C1080" s="37">
        <v>29.2</v>
      </c>
      <c r="D1080" s="37">
        <v>20.7</v>
      </c>
    </row>
    <row r="1081" ht="14.25" customHeight="1">
      <c r="A1081" s="4" t="s">
        <v>1634</v>
      </c>
      <c r="B1081" s="37">
        <v>61.0</v>
      </c>
      <c r="C1081" s="37">
        <v>81.687587</v>
      </c>
      <c r="D1081" s="37">
        <v>20.687587</v>
      </c>
    </row>
    <row r="1082" ht="14.25" customHeight="1">
      <c r="A1082" s="4" t="s">
        <v>5620</v>
      </c>
      <c r="B1082" s="37">
        <v>10.0</v>
      </c>
      <c r="C1082" s="37">
        <v>30.651422</v>
      </c>
      <c r="D1082" s="37">
        <v>20.651422</v>
      </c>
    </row>
    <row r="1083" ht="14.25" customHeight="1">
      <c r="A1083" s="4" t="s">
        <v>1636</v>
      </c>
      <c r="B1083" s="37">
        <v>60.0</v>
      </c>
      <c r="C1083" s="37">
        <v>80.57401</v>
      </c>
      <c r="D1083" s="37">
        <v>20.57401</v>
      </c>
    </row>
    <row r="1084" ht="14.25" customHeight="1">
      <c r="A1084" s="4" t="s">
        <v>4666</v>
      </c>
      <c r="B1084" s="37">
        <v>17.0</v>
      </c>
      <c r="C1084" s="37">
        <v>37.56623</v>
      </c>
      <c r="D1084" s="37">
        <v>20.56623</v>
      </c>
    </row>
    <row r="1085" ht="14.25" customHeight="1">
      <c r="A1085" s="4" t="s">
        <v>2303</v>
      </c>
      <c r="B1085" s="37">
        <v>45.0</v>
      </c>
      <c r="C1085" s="37">
        <v>65.557989</v>
      </c>
      <c r="D1085" s="37">
        <v>20.557989</v>
      </c>
    </row>
    <row r="1086" ht="14.25" customHeight="1">
      <c r="A1086" s="4" t="s">
        <v>1639</v>
      </c>
      <c r="B1086" s="37">
        <v>55.0</v>
      </c>
      <c r="C1086" s="37">
        <v>75.530832</v>
      </c>
      <c r="D1086" s="37">
        <v>20.530832</v>
      </c>
    </row>
    <row r="1087" ht="14.25" customHeight="1">
      <c r="A1087" s="4" t="s">
        <v>3619</v>
      </c>
      <c r="B1087" s="37">
        <v>26.0</v>
      </c>
      <c r="C1087" s="37">
        <v>46.455802</v>
      </c>
      <c r="D1087" s="37">
        <v>20.455802</v>
      </c>
    </row>
    <row r="1088" ht="14.25" customHeight="1">
      <c r="A1088" s="4" t="s">
        <v>1510</v>
      </c>
      <c r="B1088" s="37">
        <v>50.0</v>
      </c>
      <c r="C1088" s="37">
        <v>70.45</v>
      </c>
      <c r="D1088" s="37">
        <v>20.45</v>
      </c>
    </row>
    <row r="1089" ht="14.25" customHeight="1">
      <c r="A1089" s="4" t="s">
        <v>4549</v>
      </c>
      <c r="B1089" s="37">
        <v>1.0</v>
      </c>
      <c r="C1089" s="37">
        <v>21.378</v>
      </c>
      <c r="D1089" s="37">
        <v>20.378</v>
      </c>
    </row>
    <row r="1090" ht="14.25" customHeight="1">
      <c r="A1090" s="4" t="s">
        <v>4549</v>
      </c>
      <c r="B1090" s="37">
        <v>1.0</v>
      </c>
      <c r="C1090" s="37">
        <v>21.378</v>
      </c>
      <c r="D1090" s="37">
        <v>20.378</v>
      </c>
    </row>
    <row r="1091" ht="14.25" customHeight="1">
      <c r="A1091" s="4" t="s">
        <v>5622</v>
      </c>
      <c r="B1091" s="37">
        <v>10.0</v>
      </c>
      <c r="C1091" s="37">
        <v>30.306281</v>
      </c>
      <c r="D1091" s="37">
        <v>20.306281</v>
      </c>
    </row>
    <row r="1092" ht="14.25" customHeight="1">
      <c r="A1092" s="4" t="s">
        <v>3283</v>
      </c>
      <c r="B1092" s="37">
        <v>30.0</v>
      </c>
      <c r="C1092" s="37">
        <v>50.3</v>
      </c>
      <c r="D1092" s="37">
        <v>20.3</v>
      </c>
    </row>
    <row r="1093" ht="14.25" customHeight="1">
      <c r="A1093" s="4" t="s">
        <v>2928</v>
      </c>
      <c r="B1093" s="37">
        <v>35.0</v>
      </c>
      <c r="C1093" s="37">
        <v>55.291815</v>
      </c>
      <c r="D1093" s="37">
        <v>20.291815</v>
      </c>
    </row>
    <row r="1094" ht="14.25" customHeight="1">
      <c r="A1094" s="4" t="s">
        <v>1370</v>
      </c>
      <c r="B1094" s="37">
        <v>60.0</v>
      </c>
      <c r="C1094" s="37">
        <v>80.281096</v>
      </c>
      <c r="D1094" s="37">
        <v>20.281096</v>
      </c>
    </row>
    <row r="1095" ht="14.25" customHeight="1">
      <c r="A1095" s="4" t="s">
        <v>6255</v>
      </c>
      <c r="B1095" s="37">
        <v>6.0</v>
      </c>
      <c r="C1095" s="37">
        <v>26.236603</v>
      </c>
      <c r="D1095" s="37">
        <v>20.236603</v>
      </c>
    </row>
    <row r="1096" ht="14.25" customHeight="1">
      <c r="A1096" s="4" t="s">
        <v>1121</v>
      </c>
      <c r="B1096" s="37">
        <v>80.0</v>
      </c>
      <c r="C1096" s="37">
        <v>100.169068</v>
      </c>
      <c r="D1096" s="37">
        <v>20.169068</v>
      </c>
    </row>
    <row r="1097" ht="14.25" customHeight="1">
      <c r="A1097" s="4" t="s">
        <v>2923</v>
      </c>
      <c r="B1097" s="37">
        <v>34.0</v>
      </c>
      <c r="C1097" s="37">
        <v>54.132596</v>
      </c>
      <c r="D1097" s="37">
        <v>20.132596</v>
      </c>
    </row>
    <row r="1098" ht="14.25" customHeight="1">
      <c r="A1098" s="4" t="s">
        <v>3743</v>
      </c>
      <c r="B1098" s="37">
        <v>25.0</v>
      </c>
      <c r="C1098" s="37">
        <v>45.089048</v>
      </c>
      <c r="D1098" s="37">
        <v>20.089048</v>
      </c>
    </row>
    <row r="1099" ht="14.25" customHeight="1">
      <c r="A1099" s="4" t="s">
        <v>5628</v>
      </c>
      <c r="B1099" s="37">
        <v>8.5</v>
      </c>
      <c r="C1099" s="37">
        <v>28.563926</v>
      </c>
      <c r="D1099" s="37">
        <v>20.063926</v>
      </c>
    </row>
    <row r="1100" ht="14.25" customHeight="1">
      <c r="A1100" s="4" t="s">
        <v>4904</v>
      </c>
      <c r="B1100" s="37">
        <v>15.0</v>
      </c>
      <c r="C1100" s="37">
        <v>35.054909</v>
      </c>
      <c r="D1100" s="37">
        <v>20.054909</v>
      </c>
    </row>
    <row r="1101" ht="14.25" customHeight="1">
      <c r="A1101" s="4" t="s">
        <v>1648</v>
      </c>
      <c r="B1101" s="37">
        <v>60.0</v>
      </c>
      <c r="C1101" s="37">
        <v>80.033643</v>
      </c>
      <c r="D1101" s="37">
        <v>20.033643</v>
      </c>
    </row>
    <row r="1102" ht="14.25" customHeight="1">
      <c r="A1102" s="4" t="s">
        <v>1648</v>
      </c>
      <c r="B1102" s="37">
        <v>60.0</v>
      </c>
      <c r="C1102" s="37">
        <v>80.033643</v>
      </c>
      <c r="D1102" s="37">
        <v>20.033643</v>
      </c>
    </row>
    <row r="1103" ht="14.25" customHeight="1">
      <c r="A1103" s="4" t="s">
        <v>4883</v>
      </c>
      <c r="B1103" s="37">
        <v>15.0</v>
      </c>
      <c r="C1103" s="37">
        <v>35.00718</v>
      </c>
      <c r="D1103" s="37">
        <v>20.00718</v>
      </c>
    </row>
    <row r="1104" ht="14.25" customHeight="1">
      <c r="A1104" s="4" t="s">
        <v>1301</v>
      </c>
      <c r="B1104" s="37">
        <v>75.0</v>
      </c>
      <c r="C1104" s="37">
        <v>94.999143</v>
      </c>
      <c r="D1104" s="37">
        <v>19.999143</v>
      </c>
    </row>
    <row r="1105" ht="14.25" customHeight="1">
      <c r="A1105" s="4" t="s">
        <v>645</v>
      </c>
      <c r="B1105" s="37">
        <v>110.0</v>
      </c>
      <c r="C1105" s="37">
        <v>129.995817</v>
      </c>
      <c r="D1105" s="37">
        <v>19.995817</v>
      </c>
    </row>
    <row r="1106" ht="14.25" customHeight="1">
      <c r="A1106" s="4" t="s">
        <v>5385</v>
      </c>
      <c r="B1106" s="37">
        <v>12.0</v>
      </c>
      <c r="C1106" s="37">
        <v>31.990064</v>
      </c>
      <c r="D1106" s="37">
        <v>19.990064</v>
      </c>
    </row>
    <row r="1107" ht="14.25" customHeight="1">
      <c r="A1107" s="4" t="s">
        <v>127</v>
      </c>
      <c r="B1107" s="37">
        <v>215.0</v>
      </c>
      <c r="C1107" s="37">
        <v>234.903076</v>
      </c>
      <c r="D1107" s="37">
        <v>19.903076</v>
      </c>
    </row>
    <row r="1108" ht="14.25" customHeight="1">
      <c r="A1108" s="4" t="s">
        <v>127</v>
      </c>
      <c r="B1108" s="37">
        <v>215.0</v>
      </c>
      <c r="C1108" s="37">
        <v>234.903076</v>
      </c>
      <c r="D1108" s="37">
        <v>19.903076</v>
      </c>
    </row>
    <row r="1109" ht="14.25" customHeight="1">
      <c r="A1109" s="4" t="s">
        <v>6426</v>
      </c>
      <c r="B1109" s="37">
        <v>5.0</v>
      </c>
      <c r="C1109" s="37">
        <v>24.809547</v>
      </c>
      <c r="D1109" s="37">
        <v>19.809547</v>
      </c>
    </row>
    <row r="1110" ht="14.25" customHeight="1">
      <c r="A1110" s="4" t="s">
        <v>5196</v>
      </c>
      <c r="B1110" s="37">
        <v>8.2</v>
      </c>
      <c r="C1110" s="37">
        <v>27.9794</v>
      </c>
      <c r="D1110" s="37">
        <v>19.7794</v>
      </c>
    </row>
    <row r="1111" ht="14.25" customHeight="1">
      <c r="A1111" s="4" t="s">
        <v>4182</v>
      </c>
      <c r="B1111" s="37">
        <v>20.0</v>
      </c>
      <c r="C1111" s="37">
        <v>39.737645</v>
      </c>
      <c r="D1111" s="37">
        <v>19.737645</v>
      </c>
    </row>
    <row r="1112" ht="14.25" customHeight="1">
      <c r="A1112" s="4" t="s">
        <v>3721</v>
      </c>
      <c r="B1112" s="37">
        <v>25.0</v>
      </c>
      <c r="C1112" s="37">
        <v>44.7</v>
      </c>
      <c r="D1112" s="37">
        <v>19.7</v>
      </c>
    </row>
    <row r="1113" ht="14.25" customHeight="1">
      <c r="A1113" s="4" t="s">
        <v>5360</v>
      </c>
      <c r="B1113" s="37">
        <v>12.0</v>
      </c>
      <c r="C1113" s="37">
        <v>31.691811</v>
      </c>
      <c r="D1113" s="37">
        <v>19.691811</v>
      </c>
    </row>
    <row r="1114" ht="14.25" customHeight="1">
      <c r="A1114" s="4" t="s">
        <v>5358</v>
      </c>
      <c r="B1114" s="37">
        <v>12.0</v>
      </c>
      <c r="C1114" s="37">
        <v>31.597131</v>
      </c>
      <c r="D1114" s="37">
        <v>19.597131</v>
      </c>
    </row>
    <row r="1115" ht="14.25" customHeight="1">
      <c r="A1115" s="4" t="s">
        <v>2595</v>
      </c>
      <c r="B1115" s="37">
        <v>40.0</v>
      </c>
      <c r="C1115" s="37">
        <v>59.588068</v>
      </c>
      <c r="D1115" s="37">
        <v>19.588068</v>
      </c>
    </row>
    <row r="1116" ht="14.25" customHeight="1">
      <c r="A1116" s="4" t="s">
        <v>1647</v>
      </c>
      <c r="B1116" s="37">
        <v>55.0</v>
      </c>
      <c r="C1116" s="37">
        <v>74.540762</v>
      </c>
      <c r="D1116" s="37">
        <v>19.540762</v>
      </c>
    </row>
    <row r="1117" ht="14.25" customHeight="1">
      <c r="A1117" s="4" t="s">
        <v>3621</v>
      </c>
      <c r="B1117" s="37">
        <v>26.0</v>
      </c>
      <c r="C1117" s="37">
        <v>45.506619</v>
      </c>
      <c r="D1117" s="37">
        <v>19.506619</v>
      </c>
    </row>
    <row r="1118" ht="14.25" customHeight="1">
      <c r="A1118" s="4" t="s">
        <v>2855</v>
      </c>
      <c r="B1118" s="37">
        <v>36.0</v>
      </c>
      <c r="C1118" s="37">
        <v>55.5</v>
      </c>
      <c r="D1118" s="37">
        <v>19.5</v>
      </c>
    </row>
    <row r="1119" ht="14.25" customHeight="1">
      <c r="A1119" s="4" t="s">
        <v>5624</v>
      </c>
      <c r="B1119" s="37">
        <v>10.0</v>
      </c>
      <c r="C1119" s="37">
        <v>29.5</v>
      </c>
      <c r="D1119" s="37">
        <v>19.5</v>
      </c>
    </row>
    <row r="1120" ht="14.25" customHeight="1">
      <c r="A1120" s="4" t="s">
        <v>3624</v>
      </c>
      <c r="B1120" s="37">
        <v>26.0</v>
      </c>
      <c r="C1120" s="37">
        <v>45.489752</v>
      </c>
      <c r="D1120" s="37">
        <v>19.489752</v>
      </c>
    </row>
    <row r="1121" ht="14.25" customHeight="1">
      <c r="A1121" s="4" t="s">
        <v>3722</v>
      </c>
      <c r="B1121" s="37">
        <v>25.0</v>
      </c>
      <c r="C1121" s="37">
        <v>44.455658</v>
      </c>
      <c r="D1121" s="37">
        <v>19.455658</v>
      </c>
    </row>
    <row r="1122" ht="14.25" customHeight="1">
      <c r="A1122" s="4" t="s">
        <v>6898</v>
      </c>
      <c r="B1122" s="37">
        <v>2.8</v>
      </c>
      <c r="C1122" s="37">
        <v>22.202612</v>
      </c>
      <c r="D1122" s="37">
        <v>19.402612</v>
      </c>
    </row>
    <row r="1123" ht="14.25" customHeight="1">
      <c r="A1123" s="4" t="s">
        <v>5362</v>
      </c>
      <c r="B1123" s="37">
        <v>12.0</v>
      </c>
      <c r="C1123" s="37">
        <v>31.397498</v>
      </c>
      <c r="D1123" s="37">
        <v>19.397498</v>
      </c>
    </row>
    <row r="1124" ht="14.25" customHeight="1">
      <c r="A1124" s="4" t="s">
        <v>5627</v>
      </c>
      <c r="B1124" s="37">
        <v>10.0</v>
      </c>
      <c r="C1124" s="37">
        <v>29.392418</v>
      </c>
      <c r="D1124" s="37">
        <v>19.392418</v>
      </c>
    </row>
    <row r="1125" ht="14.25" customHeight="1">
      <c r="A1125" s="4" t="s">
        <v>5941</v>
      </c>
      <c r="B1125" s="37">
        <v>8.0</v>
      </c>
      <c r="C1125" s="37">
        <v>27.362712</v>
      </c>
      <c r="D1125" s="37">
        <v>19.362712</v>
      </c>
    </row>
    <row r="1126" ht="14.25" customHeight="1">
      <c r="A1126" s="4" t="s">
        <v>6259</v>
      </c>
      <c r="B1126" s="37">
        <v>6.0</v>
      </c>
      <c r="C1126" s="37">
        <v>25.2447</v>
      </c>
      <c r="D1126" s="37">
        <v>19.2447</v>
      </c>
    </row>
    <row r="1127" ht="14.25" customHeight="1">
      <c r="A1127" s="4" t="s">
        <v>501</v>
      </c>
      <c r="B1127" s="37">
        <v>130.0</v>
      </c>
      <c r="C1127" s="37">
        <v>149.234747</v>
      </c>
      <c r="D1127" s="37">
        <v>19.234747</v>
      </c>
    </row>
    <row r="1128" ht="14.25" customHeight="1">
      <c r="A1128" s="4" t="s">
        <v>2564</v>
      </c>
      <c r="B1128" s="37">
        <v>35.0</v>
      </c>
      <c r="C1128" s="37">
        <v>54.228104</v>
      </c>
      <c r="D1128" s="37">
        <v>19.228104</v>
      </c>
    </row>
    <row r="1129" ht="14.25" customHeight="1">
      <c r="A1129" s="4" t="s">
        <v>729</v>
      </c>
      <c r="B1129" s="37">
        <v>100.0</v>
      </c>
      <c r="C1129" s="37">
        <v>119.219978</v>
      </c>
      <c r="D1129" s="37">
        <v>19.219978</v>
      </c>
    </row>
    <row r="1130" ht="14.25" customHeight="1">
      <c r="A1130" s="4" t="s">
        <v>4091</v>
      </c>
      <c r="B1130" s="37">
        <v>21.0</v>
      </c>
      <c r="C1130" s="37">
        <v>40.219708</v>
      </c>
      <c r="D1130" s="37">
        <v>19.219708</v>
      </c>
    </row>
    <row r="1131" ht="14.25" customHeight="1">
      <c r="A1131" s="4" t="s">
        <v>3549</v>
      </c>
      <c r="B1131" s="37">
        <v>30.0</v>
      </c>
      <c r="C1131" s="37">
        <v>49.185998</v>
      </c>
      <c r="D1131" s="37">
        <v>19.185998</v>
      </c>
    </row>
    <row r="1132" ht="14.25" customHeight="1">
      <c r="A1132" s="4" t="s">
        <v>5364</v>
      </c>
      <c r="B1132" s="37">
        <v>12.0</v>
      </c>
      <c r="C1132" s="37">
        <v>31.179516</v>
      </c>
      <c r="D1132" s="37">
        <v>19.179516</v>
      </c>
    </row>
    <row r="1133" ht="14.25" customHeight="1">
      <c r="A1133" s="4" t="s">
        <v>5365</v>
      </c>
      <c r="B1133" s="37">
        <v>12.0</v>
      </c>
      <c r="C1133" s="37">
        <v>31.155435</v>
      </c>
      <c r="D1133" s="37">
        <v>19.155435</v>
      </c>
    </row>
    <row r="1134" ht="14.25" customHeight="1">
      <c r="A1134" s="4" t="s">
        <v>4189</v>
      </c>
      <c r="B1134" s="37">
        <v>20.0</v>
      </c>
      <c r="C1134" s="37">
        <v>39.143839</v>
      </c>
      <c r="D1134" s="37">
        <v>19.143839</v>
      </c>
    </row>
    <row r="1135" ht="14.25" customHeight="1">
      <c r="A1135" s="4" t="s">
        <v>6414</v>
      </c>
      <c r="B1135" s="37">
        <v>5.0</v>
      </c>
      <c r="C1135" s="37">
        <v>24.138847</v>
      </c>
      <c r="D1135" s="37">
        <v>19.138847</v>
      </c>
    </row>
    <row r="1136" ht="14.25" customHeight="1">
      <c r="A1136" s="4" t="s">
        <v>4473</v>
      </c>
      <c r="B1136" s="37">
        <v>20.0</v>
      </c>
      <c r="C1136" s="37">
        <v>39.103378</v>
      </c>
      <c r="D1136" s="37">
        <v>19.103378</v>
      </c>
    </row>
    <row r="1137" ht="14.25" customHeight="1">
      <c r="A1137" s="4" t="s">
        <v>6976</v>
      </c>
      <c r="B1137" s="37">
        <v>2.2</v>
      </c>
      <c r="C1137" s="37">
        <v>21.3</v>
      </c>
      <c r="D1137" s="37">
        <v>19.1</v>
      </c>
    </row>
    <row r="1138" ht="14.25" customHeight="1">
      <c r="A1138" s="4" t="s">
        <v>2556</v>
      </c>
      <c r="B1138" s="37">
        <v>40.0</v>
      </c>
      <c r="C1138" s="37">
        <v>59.068786</v>
      </c>
      <c r="D1138" s="37">
        <v>19.068786</v>
      </c>
    </row>
    <row r="1139" ht="14.25" customHeight="1">
      <c r="A1139" s="4" t="s">
        <v>6249</v>
      </c>
      <c r="B1139" s="37">
        <v>6.0</v>
      </c>
      <c r="C1139" s="37">
        <v>25.047631</v>
      </c>
      <c r="D1139" s="37">
        <v>19.047631</v>
      </c>
    </row>
    <row r="1140" ht="14.25" customHeight="1">
      <c r="A1140" s="4" t="s">
        <v>3267</v>
      </c>
      <c r="B1140" s="37">
        <v>37.0</v>
      </c>
      <c r="C1140" s="37">
        <v>56.044241</v>
      </c>
      <c r="D1140" s="37">
        <v>19.044241</v>
      </c>
    </row>
    <row r="1141" ht="14.25" customHeight="1">
      <c r="A1141" s="4" t="s">
        <v>5668</v>
      </c>
      <c r="B1141" s="37">
        <v>10.0</v>
      </c>
      <c r="C1141" s="37">
        <v>28.873374</v>
      </c>
      <c r="D1141" s="37">
        <v>18.873374</v>
      </c>
    </row>
    <row r="1142" ht="14.25" customHeight="1">
      <c r="A1142" s="4" t="s">
        <v>4918</v>
      </c>
      <c r="B1142" s="37">
        <v>15.0</v>
      </c>
      <c r="C1142" s="37">
        <v>33.86001</v>
      </c>
      <c r="D1142" s="37">
        <v>18.86001</v>
      </c>
    </row>
    <row r="1143" ht="14.25" customHeight="1">
      <c r="A1143" s="4" t="s">
        <v>4888</v>
      </c>
      <c r="B1143" s="37">
        <v>15.0</v>
      </c>
      <c r="C1143" s="37">
        <v>33.771174</v>
      </c>
      <c r="D1143" s="37">
        <v>18.771174</v>
      </c>
    </row>
    <row r="1144" ht="14.25" customHeight="1">
      <c r="A1144" s="4" t="s">
        <v>3089</v>
      </c>
      <c r="B1144" s="37">
        <v>33.0</v>
      </c>
      <c r="C1144" s="37">
        <v>51.758599</v>
      </c>
      <c r="D1144" s="37">
        <v>18.758599</v>
      </c>
    </row>
    <row r="1145" ht="14.25" customHeight="1">
      <c r="A1145" s="4" t="s">
        <v>4913</v>
      </c>
      <c r="B1145" s="37">
        <v>14.0</v>
      </c>
      <c r="C1145" s="37">
        <v>32.645546</v>
      </c>
      <c r="D1145" s="37">
        <v>18.645546</v>
      </c>
    </row>
    <row r="1146" ht="14.25" customHeight="1">
      <c r="A1146" s="4" t="s">
        <v>4668</v>
      </c>
      <c r="B1146" s="37">
        <v>17.0</v>
      </c>
      <c r="C1146" s="37">
        <v>35.635046</v>
      </c>
      <c r="D1146" s="37">
        <v>18.635046</v>
      </c>
    </row>
    <row r="1147" ht="14.25" customHeight="1">
      <c r="A1147" s="4" t="s">
        <v>6087</v>
      </c>
      <c r="B1147" s="37">
        <v>7.0</v>
      </c>
      <c r="C1147" s="37">
        <v>25.62511</v>
      </c>
      <c r="D1147" s="37">
        <v>18.62511</v>
      </c>
    </row>
    <row r="1148" ht="14.25" customHeight="1">
      <c r="A1148" s="4" t="s">
        <v>3656</v>
      </c>
      <c r="B1148" s="37">
        <v>15.0</v>
      </c>
      <c r="C1148" s="37">
        <v>33.565375</v>
      </c>
      <c r="D1148" s="37">
        <v>18.565375</v>
      </c>
    </row>
    <row r="1149" ht="14.25" customHeight="1">
      <c r="A1149" s="4" t="s">
        <v>6428</v>
      </c>
      <c r="B1149" s="37">
        <v>4.5</v>
      </c>
      <c r="C1149" s="37">
        <v>23.03139</v>
      </c>
      <c r="D1149" s="37">
        <v>18.53139</v>
      </c>
    </row>
    <row r="1150" ht="14.25" customHeight="1">
      <c r="A1150" s="4" t="s">
        <v>2219</v>
      </c>
      <c r="B1150" s="37">
        <v>48.0</v>
      </c>
      <c r="C1150" s="37">
        <v>66.48809</v>
      </c>
      <c r="D1150" s="37">
        <v>18.48809</v>
      </c>
    </row>
    <row r="1151" ht="14.25" customHeight="1">
      <c r="A1151" s="4" t="s">
        <v>908</v>
      </c>
      <c r="B1151" s="37">
        <v>92.0</v>
      </c>
      <c r="C1151" s="37">
        <v>110.416702</v>
      </c>
      <c r="D1151" s="37">
        <v>18.416702</v>
      </c>
    </row>
    <row r="1152" ht="14.25" customHeight="1">
      <c r="A1152" s="4" t="s">
        <v>5348</v>
      </c>
      <c r="B1152" s="37">
        <v>12.0</v>
      </c>
      <c r="C1152" s="37">
        <v>30.4</v>
      </c>
      <c r="D1152" s="37">
        <v>18.4</v>
      </c>
    </row>
    <row r="1153" ht="14.25" customHeight="1">
      <c r="A1153" s="4" t="s">
        <v>4892</v>
      </c>
      <c r="B1153" s="37">
        <v>15.0</v>
      </c>
      <c r="C1153" s="37">
        <v>33.386128</v>
      </c>
      <c r="D1153" s="37">
        <v>18.386128</v>
      </c>
    </row>
    <row r="1154" ht="14.25" customHeight="1">
      <c r="A1154" s="4" t="s">
        <v>523</v>
      </c>
      <c r="B1154" s="37">
        <v>130.0</v>
      </c>
      <c r="C1154" s="37">
        <v>148.337537</v>
      </c>
      <c r="D1154" s="37">
        <v>18.337537</v>
      </c>
    </row>
    <row r="1155" ht="14.25" customHeight="1">
      <c r="A1155" s="4" t="s">
        <v>4886</v>
      </c>
      <c r="B1155" s="37">
        <v>16.0</v>
      </c>
      <c r="C1155" s="37">
        <v>34.308901</v>
      </c>
      <c r="D1155" s="37">
        <v>18.308901</v>
      </c>
    </row>
    <row r="1156" ht="14.25" customHeight="1">
      <c r="A1156" s="4" t="s">
        <v>6034</v>
      </c>
      <c r="B1156" s="37">
        <v>6.5</v>
      </c>
      <c r="C1156" s="37">
        <v>24.792061</v>
      </c>
      <c r="D1156" s="37">
        <v>18.292061</v>
      </c>
    </row>
    <row r="1157" ht="14.25" customHeight="1">
      <c r="A1157" s="4" t="s">
        <v>4019</v>
      </c>
      <c r="B1157" s="37">
        <v>22.0</v>
      </c>
      <c r="C1157" s="37">
        <v>40.270895</v>
      </c>
      <c r="D1157" s="37">
        <v>18.270895</v>
      </c>
    </row>
    <row r="1158" ht="14.25" customHeight="1">
      <c r="A1158" s="4" t="s">
        <v>410</v>
      </c>
      <c r="B1158" s="37">
        <v>142.0</v>
      </c>
      <c r="C1158" s="37">
        <v>160.201106</v>
      </c>
      <c r="D1158" s="37">
        <v>18.201106</v>
      </c>
    </row>
    <row r="1159" ht="14.25" customHeight="1">
      <c r="A1159" s="4" t="s">
        <v>6734</v>
      </c>
      <c r="B1159" s="37">
        <v>2.0</v>
      </c>
      <c r="C1159" s="37">
        <v>20.167424</v>
      </c>
      <c r="D1159" s="37">
        <v>18.167424</v>
      </c>
    </row>
    <row r="1160" ht="14.25" customHeight="1">
      <c r="A1160" s="4" t="s">
        <v>3747</v>
      </c>
      <c r="B1160" s="37">
        <v>17.0</v>
      </c>
      <c r="C1160" s="37">
        <v>35.143332</v>
      </c>
      <c r="D1160" s="37">
        <v>18.143332</v>
      </c>
    </row>
    <row r="1161" ht="14.25" customHeight="1">
      <c r="A1161" s="4" t="s">
        <v>5951</v>
      </c>
      <c r="B1161" s="37">
        <v>8.0</v>
      </c>
      <c r="C1161" s="37">
        <v>26.049082</v>
      </c>
      <c r="D1161" s="37">
        <v>18.049082</v>
      </c>
    </row>
    <row r="1162" ht="14.25" customHeight="1">
      <c r="A1162" s="4" t="s">
        <v>3503</v>
      </c>
      <c r="B1162" s="37">
        <v>30.0</v>
      </c>
      <c r="C1162" s="37">
        <v>48.043505</v>
      </c>
      <c r="D1162" s="37">
        <v>18.043505</v>
      </c>
    </row>
    <row r="1163" ht="14.25" customHeight="1">
      <c r="A1163" s="4" t="s">
        <v>4193</v>
      </c>
      <c r="B1163" s="37">
        <v>20.0</v>
      </c>
      <c r="C1163" s="37">
        <v>38.037513</v>
      </c>
      <c r="D1163" s="37">
        <v>18.037513</v>
      </c>
    </row>
    <row r="1164" ht="14.25" customHeight="1">
      <c r="A1164" s="4" t="s">
        <v>2443</v>
      </c>
      <c r="B1164" s="37">
        <v>42.0</v>
      </c>
      <c r="C1164" s="37">
        <v>59.99276</v>
      </c>
      <c r="D1164" s="37">
        <v>17.99276</v>
      </c>
    </row>
    <row r="1165" ht="14.25" customHeight="1">
      <c r="A1165" s="4" t="s">
        <v>2565</v>
      </c>
      <c r="B1165" s="37">
        <v>40.0</v>
      </c>
      <c r="C1165" s="37">
        <v>57.981889</v>
      </c>
      <c r="D1165" s="37">
        <v>17.981889</v>
      </c>
    </row>
    <row r="1166" ht="14.25" customHeight="1">
      <c r="A1166" s="4" t="s">
        <v>6794</v>
      </c>
      <c r="B1166" s="37">
        <v>3.0</v>
      </c>
      <c r="C1166" s="37">
        <v>20.966644</v>
      </c>
      <c r="D1166" s="37">
        <v>17.966644</v>
      </c>
    </row>
    <row r="1167" ht="14.25" customHeight="1">
      <c r="A1167" s="4" t="s">
        <v>5948</v>
      </c>
      <c r="B1167" s="37">
        <v>8.0</v>
      </c>
      <c r="C1167" s="37">
        <v>25.926543</v>
      </c>
      <c r="D1167" s="37">
        <v>17.926543</v>
      </c>
    </row>
    <row r="1168" ht="14.25" customHeight="1">
      <c r="A1168" s="4" t="s">
        <v>3919</v>
      </c>
      <c r="B1168" s="37">
        <v>24.0</v>
      </c>
      <c r="C1168" s="37">
        <v>41.895491</v>
      </c>
      <c r="D1168" s="37">
        <v>17.895491</v>
      </c>
    </row>
    <row r="1169" ht="14.25" customHeight="1">
      <c r="A1169" s="4" t="s">
        <v>1472</v>
      </c>
      <c r="B1169" s="37">
        <v>66.0</v>
      </c>
      <c r="C1169" s="37">
        <v>83.892374</v>
      </c>
      <c r="D1169" s="37">
        <v>17.892374</v>
      </c>
    </row>
    <row r="1170" ht="14.25" customHeight="1">
      <c r="A1170" s="4" t="s">
        <v>7222</v>
      </c>
      <c r="B1170" s="37">
        <v>1.25</v>
      </c>
      <c r="C1170" s="37">
        <v>19.1</v>
      </c>
      <c r="D1170" s="37">
        <v>17.85</v>
      </c>
    </row>
    <row r="1171" ht="14.25" customHeight="1">
      <c r="A1171" s="4" t="s">
        <v>2065</v>
      </c>
      <c r="B1171" s="37">
        <v>50.0</v>
      </c>
      <c r="C1171" s="37">
        <v>67.823573</v>
      </c>
      <c r="D1171" s="37">
        <v>17.823573</v>
      </c>
    </row>
    <row r="1172" ht="14.25" customHeight="1">
      <c r="A1172" s="4" t="s">
        <v>5635</v>
      </c>
      <c r="B1172" s="37">
        <v>10.0</v>
      </c>
      <c r="C1172" s="37">
        <v>27.736779</v>
      </c>
      <c r="D1172" s="37">
        <v>17.736779</v>
      </c>
    </row>
    <row r="1173" ht="14.25" customHeight="1">
      <c r="A1173" s="4" t="s">
        <v>4895</v>
      </c>
      <c r="B1173" s="37">
        <v>15.0</v>
      </c>
      <c r="C1173" s="37">
        <v>32.721635</v>
      </c>
      <c r="D1173" s="37">
        <v>17.721635</v>
      </c>
    </row>
    <row r="1174" ht="14.25" customHeight="1">
      <c r="A1174" s="4" t="s">
        <v>4895</v>
      </c>
      <c r="B1174" s="37">
        <v>15.0</v>
      </c>
      <c r="C1174" s="37">
        <v>32.721635</v>
      </c>
      <c r="D1174" s="37">
        <v>17.721635</v>
      </c>
    </row>
    <row r="1175" ht="14.25" customHeight="1">
      <c r="A1175" s="4" t="s">
        <v>1116</v>
      </c>
      <c r="B1175" s="37">
        <v>68.0</v>
      </c>
      <c r="C1175" s="37">
        <v>85.707116</v>
      </c>
      <c r="D1175" s="37">
        <v>17.707116</v>
      </c>
    </row>
    <row r="1176" ht="14.25" customHeight="1">
      <c r="A1176" s="4" t="s">
        <v>4191</v>
      </c>
      <c r="B1176" s="37">
        <v>20.0</v>
      </c>
      <c r="C1176" s="37">
        <v>37.67235</v>
      </c>
      <c r="D1176" s="37">
        <v>17.67235</v>
      </c>
    </row>
    <row r="1177" ht="14.25" customHeight="1">
      <c r="A1177" s="4" t="s">
        <v>6196</v>
      </c>
      <c r="B1177" s="37">
        <v>6.5</v>
      </c>
      <c r="C1177" s="37">
        <v>24.103594</v>
      </c>
      <c r="D1177" s="37">
        <v>17.603594</v>
      </c>
    </row>
    <row r="1178" ht="14.25" customHeight="1">
      <c r="A1178" s="4" t="s">
        <v>965</v>
      </c>
      <c r="B1178" s="37">
        <v>20.0</v>
      </c>
      <c r="C1178" s="37">
        <v>37.56744</v>
      </c>
      <c r="D1178" s="37">
        <v>17.56744</v>
      </c>
    </row>
    <row r="1179" ht="14.25" customHeight="1">
      <c r="A1179" s="4" t="s">
        <v>965</v>
      </c>
      <c r="B1179" s="37">
        <v>20.0</v>
      </c>
      <c r="C1179" s="37">
        <v>37.56744</v>
      </c>
      <c r="D1179" s="37">
        <v>17.56744</v>
      </c>
    </row>
    <row r="1180" ht="14.25" customHeight="1">
      <c r="A1180" s="4" t="s">
        <v>3300</v>
      </c>
      <c r="B1180" s="37">
        <v>25.0</v>
      </c>
      <c r="C1180" s="37">
        <v>42.478175</v>
      </c>
      <c r="D1180" s="37">
        <v>17.478175</v>
      </c>
    </row>
    <row r="1181" ht="14.25" customHeight="1">
      <c r="A1181" s="4" t="s">
        <v>3493</v>
      </c>
      <c r="B1181" s="37">
        <v>27.0</v>
      </c>
      <c r="C1181" s="37">
        <v>44.45</v>
      </c>
      <c r="D1181" s="37">
        <v>17.45</v>
      </c>
    </row>
    <row r="1182" ht="14.25" customHeight="1">
      <c r="A1182" s="4" t="s">
        <v>4194</v>
      </c>
      <c r="B1182" s="37">
        <v>20.0</v>
      </c>
      <c r="C1182" s="37">
        <v>37.44218</v>
      </c>
      <c r="D1182" s="37">
        <v>17.44218</v>
      </c>
    </row>
    <row r="1183" ht="14.25" customHeight="1">
      <c r="A1183" s="4" t="s">
        <v>6617</v>
      </c>
      <c r="B1183" s="37">
        <v>3.5</v>
      </c>
      <c r="C1183" s="37">
        <v>20.803237</v>
      </c>
      <c r="D1183" s="37">
        <v>17.303237</v>
      </c>
    </row>
    <row r="1184" ht="14.25" customHeight="1">
      <c r="A1184" s="4" t="s">
        <v>7229</v>
      </c>
      <c r="B1184" s="37">
        <v>1.2</v>
      </c>
      <c r="C1184" s="37">
        <v>18.488314</v>
      </c>
      <c r="D1184" s="37">
        <v>17.288314</v>
      </c>
    </row>
    <row r="1185" ht="14.25" customHeight="1">
      <c r="A1185" s="4" t="s">
        <v>2925</v>
      </c>
      <c r="B1185" s="37">
        <v>35.0</v>
      </c>
      <c r="C1185" s="37">
        <v>52.277485</v>
      </c>
      <c r="D1185" s="37">
        <v>17.277485</v>
      </c>
    </row>
    <row r="1186" ht="14.25" customHeight="1">
      <c r="A1186" s="4" t="s">
        <v>6250</v>
      </c>
      <c r="B1186" s="37">
        <v>6.0</v>
      </c>
      <c r="C1186" s="37">
        <v>23.272306</v>
      </c>
      <c r="D1186" s="37">
        <v>17.272306</v>
      </c>
    </row>
    <row r="1187" ht="14.25" customHeight="1">
      <c r="A1187" s="4" t="s">
        <v>4187</v>
      </c>
      <c r="B1187" s="37">
        <v>22.0</v>
      </c>
      <c r="C1187" s="37">
        <v>39.263506</v>
      </c>
      <c r="D1187" s="37">
        <v>17.263506</v>
      </c>
    </row>
    <row r="1188" ht="14.25" customHeight="1">
      <c r="A1188" s="4" t="s">
        <v>6790</v>
      </c>
      <c r="B1188" s="37">
        <v>4.0</v>
      </c>
      <c r="C1188" s="37">
        <v>21.244913</v>
      </c>
      <c r="D1188" s="37">
        <v>17.244913</v>
      </c>
    </row>
    <row r="1189" ht="14.25" customHeight="1">
      <c r="A1189" s="4" t="s">
        <v>1110</v>
      </c>
      <c r="B1189" s="37">
        <v>65.0</v>
      </c>
      <c r="C1189" s="37">
        <v>82.226474</v>
      </c>
      <c r="D1189" s="37">
        <v>17.226474</v>
      </c>
    </row>
    <row r="1190" ht="14.25" customHeight="1">
      <c r="A1190" s="4" t="s">
        <v>3494</v>
      </c>
      <c r="B1190" s="37">
        <v>28.0</v>
      </c>
      <c r="C1190" s="37">
        <v>45.162741</v>
      </c>
      <c r="D1190" s="37">
        <v>17.162741</v>
      </c>
    </row>
    <row r="1191" ht="14.25" customHeight="1">
      <c r="A1191" s="4" t="s">
        <v>7285</v>
      </c>
      <c r="B1191" s="37">
        <v>1.0</v>
      </c>
      <c r="C1191" s="37">
        <v>18.112929</v>
      </c>
      <c r="D1191" s="37">
        <v>17.112929</v>
      </c>
    </row>
    <row r="1192" ht="14.25" customHeight="1">
      <c r="A1192" s="4" t="s">
        <v>7149</v>
      </c>
      <c r="B1192" s="37">
        <v>2.0</v>
      </c>
      <c r="C1192" s="37">
        <v>19.067631</v>
      </c>
      <c r="D1192" s="37">
        <v>17.067631</v>
      </c>
    </row>
    <row r="1193" ht="14.25" customHeight="1">
      <c r="A1193" s="4" t="s">
        <v>1246</v>
      </c>
      <c r="B1193" s="37">
        <v>60.0</v>
      </c>
      <c r="C1193" s="37">
        <v>77.032279</v>
      </c>
      <c r="D1193" s="37">
        <v>17.032279</v>
      </c>
    </row>
    <row r="1194" ht="14.25" customHeight="1">
      <c r="A1194" s="4" t="s">
        <v>2570</v>
      </c>
      <c r="B1194" s="37">
        <v>40.0</v>
      </c>
      <c r="C1194" s="37">
        <v>57.011847</v>
      </c>
      <c r="D1194" s="37">
        <v>17.011847</v>
      </c>
    </row>
    <row r="1195" ht="14.25" customHeight="1">
      <c r="A1195" s="4" t="s">
        <v>709</v>
      </c>
      <c r="B1195" s="37">
        <v>150.0</v>
      </c>
      <c r="C1195" s="37">
        <v>167.007184</v>
      </c>
      <c r="D1195" s="37">
        <v>17.007184</v>
      </c>
    </row>
    <row r="1196" ht="14.25" customHeight="1">
      <c r="A1196" s="4" t="s">
        <v>709</v>
      </c>
      <c r="B1196" s="37">
        <v>150.0</v>
      </c>
      <c r="C1196" s="37">
        <v>167.007184</v>
      </c>
      <c r="D1196" s="37">
        <v>17.007184</v>
      </c>
    </row>
    <row r="1197" ht="14.25" customHeight="1">
      <c r="A1197" s="4" t="s">
        <v>6415</v>
      </c>
      <c r="B1197" s="37">
        <v>5.0</v>
      </c>
      <c r="C1197" s="37">
        <v>21.994911</v>
      </c>
      <c r="D1197" s="37">
        <v>16.994911</v>
      </c>
    </row>
    <row r="1198" ht="14.25" customHeight="1">
      <c r="A1198" s="4" t="s">
        <v>7281</v>
      </c>
      <c r="B1198" s="37">
        <v>1.0</v>
      </c>
      <c r="C1198" s="37">
        <v>17.986</v>
      </c>
      <c r="D1198" s="37">
        <v>16.986</v>
      </c>
    </row>
    <row r="1199" ht="14.25" customHeight="1">
      <c r="A1199" s="4" t="s">
        <v>5102</v>
      </c>
      <c r="B1199" s="37">
        <v>13.0</v>
      </c>
      <c r="C1199" s="37">
        <v>29.959436</v>
      </c>
      <c r="D1199" s="37">
        <v>16.959436</v>
      </c>
    </row>
    <row r="1200" ht="14.25" customHeight="1">
      <c r="A1200" s="4" t="s">
        <v>3296</v>
      </c>
      <c r="B1200" s="37">
        <v>30.0</v>
      </c>
      <c r="C1200" s="37">
        <v>46.875468</v>
      </c>
      <c r="D1200" s="37">
        <v>16.875468</v>
      </c>
    </row>
    <row r="1201" ht="14.25" customHeight="1">
      <c r="A1201" s="4" t="s">
        <v>4218</v>
      </c>
      <c r="B1201" s="37">
        <v>20.0</v>
      </c>
      <c r="C1201" s="37">
        <v>36.874745</v>
      </c>
      <c r="D1201" s="37">
        <v>16.874745</v>
      </c>
    </row>
    <row r="1202" ht="14.25" customHeight="1">
      <c r="A1202" s="4" t="s">
        <v>764</v>
      </c>
      <c r="B1202" s="37">
        <v>100.0</v>
      </c>
      <c r="C1202" s="37">
        <v>116.866727</v>
      </c>
      <c r="D1202" s="37">
        <v>16.866727</v>
      </c>
    </row>
    <row r="1203" ht="14.25" customHeight="1">
      <c r="A1203" s="4" t="s">
        <v>3137</v>
      </c>
      <c r="B1203" s="37">
        <v>32.0</v>
      </c>
      <c r="C1203" s="37">
        <v>48.814909</v>
      </c>
      <c r="D1203" s="37">
        <v>16.814909</v>
      </c>
    </row>
    <row r="1204" ht="14.25" customHeight="1">
      <c r="A1204" s="4" t="s">
        <v>5505</v>
      </c>
      <c r="B1204" s="37">
        <v>11.0</v>
      </c>
      <c r="C1204" s="37">
        <v>27.669413</v>
      </c>
      <c r="D1204" s="37">
        <v>16.669413</v>
      </c>
    </row>
    <row r="1205" ht="14.25" customHeight="1">
      <c r="A1205" s="4" t="s">
        <v>4202</v>
      </c>
      <c r="B1205" s="37">
        <v>20.0</v>
      </c>
      <c r="C1205" s="37">
        <v>36.658108</v>
      </c>
      <c r="D1205" s="37">
        <v>16.658108</v>
      </c>
    </row>
    <row r="1206" ht="14.25" customHeight="1">
      <c r="A1206" s="4" t="s">
        <v>826</v>
      </c>
      <c r="B1206" s="37">
        <v>92.0</v>
      </c>
      <c r="C1206" s="37">
        <v>108.638745</v>
      </c>
      <c r="D1206" s="37">
        <v>16.638745</v>
      </c>
    </row>
    <row r="1207" ht="14.25" customHeight="1">
      <c r="A1207" s="4" t="s">
        <v>1097</v>
      </c>
      <c r="B1207" s="37">
        <v>79.0</v>
      </c>
      <c r="C1207" s="37">
        <v>95.632614</v>
      </c>
      <c r="D1207" s="37">
        <v>16.632614</v>
      </c>
    </row>
    <row r="1208" ht="14.25" customHeight="1">
      <c r="A1208" s="4" t="s">
        <v>5101</v>
      </c>
      <c r="B1208" s="37">
        <v>14.0</v>
      </c>
      <c r="C1208" s="37">
        <v>30.628981</v>
      </c>
      <c r="D1208" s="37">
        <v>16.628981</v>
      </c>
    </row>
    <row r="1209" ht="14.25" customHeight="1">
      <c r="A1209" s="4" t="s">
        <v>3751</v>
      </c>
      <c r="B1209" s="37">
        <v>25.0</v>
      </c>
      <c r="C1209" s="37">
        <v>41.59783</v>
      </c>
      <c r="D1209" s="37">
        <v>16.59783</v>
      </c>
    </row>
    <row r="1210" ht="14.25" customHeight="1">
      <c r="A1210" s="4" t="s">
        <v>4897</v>
      </c>
      <c r="B1210" s="37">
        <v>15.0</v>
      </c>
      <c r="C1210" s="37">
        <v>31.5853</v>
      </c>
      <c r="D1210" s="37">
        <v>16.5853</v>
      </c>
    </row>
    <row r="1211" ht="14.25" customHeight="1">
      <c r="A1211" s="4" t="s">
        <v>5751</v>
      </c>
      <c r="B1211" s="37">
        <v>10.0</v>
      </c>
      <c r="C1211" s="37">
        <v>26.583369</v>
      </c>
      <c r="D1211" s="37">
        <v>16.583369</v>
      </c>
    </row>
    <row r="1212" ht="14.25" customHeight="1">
      <c r="A1212" s="4" t="s">
        <v>6410</v>
      </c>
      <c r="B1212" s="37">
        <v>9.0</v>
      </c>
      <c r="C1212" s="37">
        <v>25.530884</v>
      </c>
      <c r="D1212" s="37">
        <v>16.530884</v>
      </c>
    </row>
    <row r="1213" ht="14.25" customHeight="1">
      <c r="A1213" s="4" t="s">
        <v>1663</v>
      </c>
      <c r="B1213" s="37">
        <v>48.0</v>
      </c>
      <c r="C1213" s="37">
        <v>64.505912</v>
      </c>
      <c r="D1213" s="37">
        <v>16.505912</v>
      </c>
    </row>
    <row r="1214" ht="14.25" customHeight="1">
      <c r="A1214" s="4" t="s">
        <v>6417</v>
      </c>
      <c r="B1214" s="37">
        <v>5.0</v>
      </c>
      <c r="C1214" s="37">
        <v>21.501098</v>
      </c>
      <c r="D1214" s="37">
        <v>16.501098</v>
      </c>
    </row>
    <row r="1215" ht="14.25" customHeight="1">
      <c r="A1215" s="4" t="s">
        <v>7481</v>
      </c>
      <c r="B1215" s="37">
        <v>0.5</v>
      </c>
      <c r="C1215" s="37">
        <v>17.0</v>
      </c>
      <c r="D1215" s="37">
        <v>16.5</v>
      </c>
    </row>
    <row r="1216" ht="14.25" customHeight="1">
      <c r="A1216" s="4" t="s">
        <v>2072</v>
      </c>
      <c r="B1216" s="37">
        <v>54.0</v>
      </c>
      <c r="C1216" s="37">
        <v>70.496802</v>
      </c>
      <c r="D1216" s="37">
        <v>16.496802</v>
      </c>
    </row>
    <row r="1217" ht="14.25" customHeight="1">
      <c r="A1217" s="4" t="s">
        <v>6804</v>
      </c>
      <c r="B1217" s="37">
        <v>3.0</v>
      </c>
      <c r="C1217" s="37">
        <v>19.472057</v>
      </c>
      <c r="D1217" s="37">
        <v>16.472057</v>
      </c>
    </row>
    <row r="1218" ht="14.25" customHeight="1">
      <c r="A1218" s="4" t="s">
        <v>4542</v>
      </c>
      <c r="B1218" s="37">
        <v>15.0</v>
      </c>
      <c r="C1218" s="37">
        <v>31.47143</v>
      </c>
      <c r="D1218" s="37">
        <v>16.47143</v>
      </c>
    </row>
    <row r="1219" ht="14.25" customHeight="1">
      <c r="A1219" s="4" t="s">
        <v>5630</v>
      </c>
      <c r="B1219" s="37">
        <v>12.0</v>
      </c>
      <c r="C1219" s="37">
        <v>28.435406</v>
      </c>
      <c r="D1219" s="37">
        <v>16.435406</v>
      </c>
    </row>
    <row r="1220" ht="14.25" customHeight="1">
      <c r="A1220" s="4" t="s">
        <v>6896</v>
      </c>
      <c r="B1220" s="37">
        <v>2.8</v>
      </c>
      <c r="C1220" s="37">
        <v>19.170001</v>
      </c>
      <c r="D1220" s="37">
        <v>16.370001</v>
      </c>
    </row>
    <row r="1221" ht="14.25" customHeight="1">
      <c r="A1221" s="4" t="s">
        <v>5223</v>
      </c>
      <c r="B1221" s="37">
        <v>6.0</v>
      </c>
      <c r="C1221" s="37">
        <v>22.235901</v>
      </c>
      <c r="D1221" s="37">
        <v>16.235901</v>
      </c>
    </row>
    <row r="1222" ht="14.25" customHeight="1">
      <c r="A1222" s="4" t="s">
        <v>3967</v>
      </c>
      <c r="B1222" s="37">
        <v>23.0</v>
      </c>
      <c r="C1222" s="37">
        <v>39.235088</v>
      </c>
      <c r="D1222" s="37">
        <v>16.235088</v>
      </c>
    </row>
    <row r="1223" ht="14.25" customHeight="1">
      <c r="A1223" s="4" t="s">
        <v>6429</v>
      </c>
      <c r="B1223" s="37">
        <v>5.0</v>
      </c>
      <c r="C1223" s="37">
        <v>21.197315</v>
      </c>
      <c r="D1223" s="37">
        <v>16.197315</v>
      </c>
    </row>
    <row r="1224" ht="14.25" customHeight="1">
      <c r="A1224" s="4" t="s">
        <v>6801</v>
      </c>
      <c r="B1224" s="37">
        <v>3.0</v>
      </c>
      <c r="C1224" s="37">
        <v>19.184015</v>
      </c>
      <c r="D1224" s="37">
        <v>16.184015</v>
      </c>
    </row>
    <row r="1225" ht="14.25" customHeight="1">
      <c r="A1225" s="4" t="s">
        <v>854</v>
      </c>
      <c r="B1225" s="37">
        <v>115.0</v>
      </c>
      <c r="C1225" s="37">
        <v>131.144183</v>
      </c>
      <c r="D1225" s="37">
        <v>16.144183</v>
      </c>
    </row>
    <row r="1226" ht="14.25" customHeight="1">
      <c r="A1226" s="4" t="s">
        <v>5309</v>
      </c>
      <c r="B1226" s="37">
        <v>10.5</v>
      </c>
      <c r="C1226" s="37">
        <v>26.589953</v>
      </c>
      <c r="D1226" s="37">
        <v>16.089953</v>
      </c>
    </row>
    <row r="1227" ht="14.25" customHeight="1">
      <c r="A1227" s="4" t="s">
        <v>3727</v>
      </c>
      <c r="B1227" s="37">
        <v>25.0</v>
      </c>
      <c r="C1227" s="37">
        <v>41.067398</v>
      </c>
      <c r="D1227" s="37">
        <v>16.067398</v>
      </c>
    </row>
    <row r="1228" ht="14.25" customHeight="1">
      <c r="A1228" s="4" t="s">
        <v>4223</v>
      </c>
      <c r="B1228" s="37">
        <v>19.0</v>
      </c>
      <c r="C1228" s="37">
        <v>35.033759</v>
      </c>
      <c r="D1228" s="37">
        <v>16.033759</v>
      </c>
    </row>
    <row r="1229" ht="14.25" customHeight="1">
      <c r="A1229" s="4" t="s">
        <v>2080</v>
      </c>
      <c r="B1229" s="37">
        <v>50.0</v>
      </c>
      <c r="C1229" s="37">
        <v>66.002004</v>
      </c>
      <c r="D1229" s="37">
        <v>16.002004</v>
      </c>
    </row>
    <row r="1230" ht="14.25" customHeight="1">
      <c r="A1230" s="4" t="s">
        <v>6090</v>
      </c>
      <c r="B1230" s="37">
        <v>9.0</v>
      </c>
      <c r="C1230" s="37">
        <v>25.0</v>
      </c>
      <c r="D1230" s="37">
        <v>16.0</v>
      </c>
    </row>
    <row r="1231" ht="14.25" customHeight="1">
      <c r="A1231" s="4" t="s">
        <v>3744</v>
      </c>
      <c r="B1231" s="37">
        <v>20.0</v>
      </c>
      <c r="C1231" s="37">
        <v>35.990505</v>
      </c>
      <c r="D1231" s="37">
        <v>15.990505</v>
      </c>
    </row>
    <row r="1232" ht="14.25" customHeight="1">
      <c r="A1232" s="4" t="s">
        <v>3920</v>
      </c>
      <c r="B1232" s="37">
        <v>24.0</v>
      </c>
      <c r="C1232" s="37">
        <v>39.989008</v>
      </c>
      <c r="D1232" s="37">
        <v>15.989008</v>
      </c>
    </row>
    <row r="1233" ht="14.25" customHeight="1">
      <c r="A1233" s="4" t="s">
        <v>5194</v>
      </c>
      <c r="B1233" s="37">
        <v>13.0</v>
      </c>
      <c r="C1233" s="37">
        <v>28.972187</v>
      </c>
      <c r="D1233" s="37">
        <v>15.972187</v>
      </c>
    </row>
    <row r="1234" ht="14.25" customHeight="1">
      <c r="A1234" s="4" t="s">
        <v>5393</v>
      </c>
      <c r="B1234" s="37">
        <v>12.0</v>
      </c>
      <c r="C1234" s="37">
        <v>27.829874</v>
      </c>
      <c r="D1234" s="37">
        <v>15.829874</v>
      </c>
    </row>
    <row r="1235" ht="14.25" customHeight="1">
      <c r="A1235" s="4" t="s">
        <v>5955</v>
      </c>
      <c r="B1235" s="37">
        <v>7.0</v>
      </c>
      <c r="C1235" s="37">
        <v>22.8</v>
      </c>
      <c r="D1235" s="37">
        <v>15.8</v>
      </c>
    </row>
    <row r="1236" ht="14.25" customHeight="1">
      <c r="A1236" s="4" t="s">
        <v>2306</v>
      </c>
      <c r="B1236" s="37">
        <v>45.0</v>
      </c>
      <c r="C1236" s="37">
        <v>60.786269</v>
      </c>
      <c r="D1236" s="37">
        <v>15.786269</v>
      </c>
    </row>
    <row r="1237" ht="14.25" customHeight="1">
      <c r="A1237" s="4" t="s">
        <v>7291</v>
      </c>
      <c r="B1237" s="37">
        <v>5.0</v>
      </c>
      <c r="C1237" s="37">
        <v>20.77307</v>
      </c>
      <c r="D1237" s="37">
        <v>15.77307</v>
      </c>
    </row>
    <row r="1238" ht="14.25" customHeight="1">
      <c r="A1238" s="4" t="s">
        <v>1637</v>
      </c>
      <c r="B1238" s="37">
        <v>60.0</v>
      </c>
      <c r="C1238" s="37">
        <v>75.764085</v>
      </c>
      <c r="D1238" s="37">
        <v>15.764085</v>
      </c>
    </row>
    <row r="1239" ht="14.25" customHeight="1">
      <c r="A1239" s="4" t="s">
        <v>6424</v>
      </c>
      <c r="B1239" s="37">
        <v>5.0</v>
      </c>
      <c r="C1239" s="37">
        <v>20.733485</v>
      </c>
      <c r="D1239" s="37">
        <v>15.733485</v>
      </c>
    </row>
    <row r="1240" ht="14.25" customHeight="1">
      <c r="A1240" s="4" t="s">
        <v>4642</v>
      </c>
      <c r="B1240" s="37">
        <v>24.0</v>
      </c>
      <c r="C1240" s="37">
        <v>39.687528</v>
      </c>
      <c r="D1240" s="37">
        <v>15.687528</v>
      </c>
    </row>
    <row r="1241" ht="14.25" customHeight="1">
      <c r="A1241" s="4" t="s">
        <v>3292</v>
      </c>
      <c r="B1241" s="37">
        <v>30.0</v>
      </c>
      <c r="C1241" s="37">
        <v>45.645204</v>
      </c>
      <c r="D1241" s="37">
        <v>15.645204</v>
      </c>
    </row>
    <row r="1242" ht="14.25" customHeight="1">
      <c r="A1242" s="4" t="s">
        <v>1655</v>
      </c>
      <c r="B1242" s="37">
        <v>60.0</v>
      </c>
      <c r="C1242" s="37">
        <v>75.638743</v>
      </c>
      <c r="D1242" s="37">
        <v>15.638743</v>
      </c>
    </row>
    <row r="1243" ht="14.25" customHeight="1">
      <c r="A1243" s="4" t="s">
        <v>4772</v>
      </c>
      <c r="B1243" s="37">
        <v>8.0</v>
      </c>
      <c r="C1243" s="37">
        <v>23.618786</v>
      </c>
      <c r="D1243" s="37">
        <v>15.618786</v>
      </c>
    </row>
    <row r="1244" ht="14.25" customHeight="1">
      <c r="A1244" s="4" t="s">
        <v>5632</v>
      </c>
      <c r="B1244" s="37">
        <v>10.0</v>
      </c>
      <c r="C1244" s="37">
        <v>25.6</v>
      </c>
      <c r="D1244" s="37">
        <v>15.6</v>
      </c>
    </row>
    <row r="1245" ht="14.25" customHeight="1">
      <c r="A1245" s="4" t="s">
        <v>4197</v>
      </c>
      <c r="B1245" s="37">
        <v>20.0</v>
      </c>
      <c r="C1245" s="37">
        <v>35.596227</v>
      </c>
      <c r="D1245" s="37">
        <v>15.596227</v>
      </c>
    </row>
    <row r="1246" ht="14.25" customHeight="1">
      <c r="A1246" s="4" t="s">
        <v>4094</v>
      </c>
      <c r="B1246" s="37">
        <v>21.0</v>
      </c>
      <c r="C1246" s="37">
        <v>36.581633</v>
      </c>
      <c r="D1246" s="37">
        <v>15.581633</v>
      </c>
    </row>
    <row r="1247" ht="14.25" customHeight="1">
      <c r="A1247" s="4" t="s">
        <v>4180</v>
      </c>
      <c r="B1247" s="37">
        <v>30.0</v>
      </c>
      <c r="C1247" s="37">
        <v>45.542421</v>
      </c>
      <c r="D1247" s="37">
        <v>15.542421</v>
      </c>
    </row>
    <row r="1248" ht="14.25" customHeight="1">
      <c r="A1248" s="4" t="s">
        <v>641</v>
      </c>
      <c r="B1248" s="37">
        <v>110.0</v>
      </c>
      <c r="C1248" s="37">
        <v>125.531634</v>
      </c>
      <c r="D1248" s="37">
        <v>15.531634</v>
      </c>
    </row>
    <row r="1249" ht="14.25" customHeight="1">
      <c r="A1249" s="4" t="s">
        <v>5856</v>
      </c>
      <c r="B1249" s="37">
        <v>9.0</v>
      </c>
      <c r="C1249" s="37">
        <v>24.530513</v>
      </c>
      <c r="D1249" s="37">
        <v>15.530513</v>
      </c>
    </row>
    <row r="1250" ht="14.25" customHeight="1">
      <c r="A1250" s="4" t="s">
        <v>5214</v>
      </c>
      <c r="B1250" s="37">
        <v>13.0</v>
      </c>
      <c r="C1250" s="37">
        <v>28.501605</v>
      </c>
      <c r="D1250" s="37">
        <v>15.501605</v>
      </c>
    </row>
    <row r="1251" ht="14.25" customHeight="1">
      <c r="A1251" s="4" t="s">
        <v>5641</v>
      </c>
      <c r="B1251" s="37">
        <v>10.0</v>
      </c>
      <c r="C1251" s="37">
        <v>25.46448</v>
      </c>
      <c r="D1251" s="37">
        <v>15.46448</v>
      </c>
    </row>
    <row r="1252" ht="14.25" customHeight="1">
      <c r="A1252" s="4" t="s">
        <v>4200</v>
      </c>
      <c r="B1252" s="37">
        <v>20.0</v>
      </c>
      <c r="C1252" s="37">
        <v>35.422828</v>
      </c>
      <c r="D1252" s="37">
        <v>15.422828</v>
      </c>
    </row>
    <row r="1253" ht="14.25" customHeight="1">
      <c r="A1253" s="4" t="s">
        <v>4003</v>
      </c>
      <c r="B1253" s="37">
        <v>22.7</v>
      </c>
      <c r="C1253" s="37">
        <v>38.119483</v>
      </c>
      <c r="D1253" s="37">
        <v>15.419483</v>
      </c>
    </row>
    <row r="1254" ht="14.25" customHeight="1">
      <c r="A1254" s="4" t="s">
        <v>4540</v>
      </c>
      <c r="B1254" s="37">
        <v>18.0</v>
      </c>
      <c r="C1254" s="37">
        <v>33.404871</v>
      </c>
      <c r="D1254" s="37">
        <v>15.404871</v>
      </c>
    </row>
    <row r="1255" ht="14.25" customHeight="1">
      <c r="A1255" s="4" t="s">
        <v>5283</v>
      </c>
      <c r="B1255" s="37">
        <v>13.0</v>
      </c>
      <c r="C1255" s="37">
        <v>28.399192</v>
      </c>
      <c r="D1255" s="37">
        <v>15.399192</v>
      </c>
    </row>
    <row r="1256" ht="14.25" customHeight="1">
      <c r="A1256" s="4" t="s">
        <v>1642</v>
      </c>
      <c r="B1256" s="37">
        <v>60.0</v>
      </c>
      <c r="C1256" s="37">
        <v>75.370763</v>
      </c>
      <c r="D1256" s="37">
        <v>15.370763</v>
      </c>
    </row>
    <row r="1257" ht="14.25" customHeight="1">
      <c r="A1257" s="4" t="s">
        <v>5631</v>
      </c>
      <c r="B1257" s="37">
        <v>10.0</v>
      </c>
      <c r="C1257" s="37">
        <v>25.339117</v>
      </c>
      <c r="D1257" s="37">
        <v>15.339117</v>
      </c>
    </row>
    <row r="1258" ht="14.25" customHeight="1">
      <c r="A1258" s="4" t="s">
        <v>636</v>
      </c>
      <c r="B1258" s="37">
        <v>110.0</v>
      </c>
      <c r="C1258" s="37">
        <v>125.332007</v>
      </c>
      <c r="D1258" s="37">
        <v>15.332007</v>
      </c>
    </row>
    <row r="1259" ht="14.25" customHeight="1">
      <c r="A1259" s="4" t="s">
        <v>5369</v>
      </c>
      <c r="B1259" s="37">
        <v>12.0</v>
      </c>
      <c r="C1259" s="37">
        <v>27.281507</v>
      </c>
      <c r="D1259" s="37">
        <v>15.281507</v>
      </c>
    </row>
    <row r="1260" ht="14.25" customHeight="1">
      <c r="A1260" s="4" t="s">
        <v>1661</v>
      </c>
      <c r="B1260" s="37">
        <v>60.0</v>
      </c>
      <c r="C1260" s="37">
        <v>75.280058</v>
      </c>
      <c r="D1260" s="37">
        <v>15.280058</v>
      </c>
    </row>
    <row r="1261" ht="14.25" customHeight="1">
      <c r="A1261" s="4" t="s">
        <v>4900</v>
      </c>
      <c r="B1261" s="37">
        <v>15.0</v>
      </c>
      <c r="C1261" s="37">
        <v>30.259652</v>
      </c>
      <c r="D1261" s="37">
        <v>15.259652</v>
      </c>
    </row>
    <row r="1262" ht="14.25" customHeight="1">
      <c r="A1262" s="4" t="s">
        <v>386</v>
      </c>
      <c r="B1262" s="37">
        <v>150.0</v>
      </c>
      <c r="C1262" s="37">
        <v>165.230261</v>
      </c>
      <c r="D1262" s="37">
        <v>15.230261</v>
      </c>
    </row>
    <row r="1263" ht="14.25" customHeight="1">
      <c r="A1263" s="4" t="s">
        <v>4902</v>
      </c>
      <c r="B1263" s="37">
        <v>15.0</v>
      </c>
      <c r="C1263" s="37">
        <v>30.226144</v>
      </c>
      <c r="D1263" s="37">
        <v>15.226144</v>
      </c>
    </row>
    <row r="1264" ht="14.25" customHeight="1">
      <c r="A1264" s="4" t="s">
        <v>3729</v>
      </c>
      <c r="B1264" s="37">
        <v>25.0</v>
      </c>
      <c r="C1264" s="37">
        <v>40.218903</v>
      </c>
      <c r="D1264" s="37">
        <v>15.218903</v>
      </c>
    </row>
    <row r="1265" ht="14.25" customHeight="1">
      <c r="A1265" s="4" t="s">
        <v>7396</v>
      </c>
      <c r="B1265" s="37">
        <v>0.9</v>
      </c>
      <c r="C1265" s="37">
        <v>16.097842</v>
      </c>
      <c r="D1265" s="37">
        <v>15.197842</v>
      </c>
    </row>
    <row r="1266" ht="14.25" customHeight="1">
      <c r="A1266" s="4" t="s">
        <v>2931</v>
      </c>
      <c r="B1266" s="37">
        <v>33.0</v>
      </c>
      <c r="C1266" s="37">
        <v>48.169908</v>
      </c>
      <c r="D1266" s="37">
        <v>15.169908</v>
      </c>
    </row>
    <row r="1267" ht="14.25" customHeight="1">
      <c r="A1267" s="4" t="s">
        <v>4912</v>
      </c>
      <c r="B1267" s="37">
        <v>15.0</v>
      </c>
      <c r="C1267" s="37">
        <v>30.127963</v>
      </c>
      <c r="D1267" s="37">
        <v>15.127963</v>
      </c>
    </row>
    <row r="1268" ht="14.25" customHeight="1">
      <c r="A1268" s="4" t="s">
        <v>4769</v>
      </c>
      <c r="B1268" s="37">
        <v>15.0</v>
      </c>
      <c r="C1268" s="37">
        <v>30.102717</v>
      </c>
      <c r="D1268" s="37">
        <v>15.102717</v>
      </c>
    </row>
    <row r="1269" ht="14.25" customHeight="1">
      <c r="A1269" s="4" t="s">
        <v>3501</v>
      </c>
      <c r="B1269" s="37">
        <v>28.0</v>
      </c>
      <c r="C1269" s="37">
        <v>43.097652</v>
      </c>
      <c r="D1269" s="37">
        <v>15.097652</v>
      </c>
    </row>
    <row r="1270" ht="14.25" customHeight="1">
      <c r="A1270" s="4" t="s">
        <v>1579</v>
      </c>
      <c r="B1270" s="37">
        <v>62.0</v>
      </c>
      <c r="C1270" s="37">
        <v>77.08603</v>
      </c>
      <c r="D1270" s="37">
        <v>15.08603</v>
      </c>
    </row>
    <row r="1271" ht="14.25" customHeight="1">
      <c r="A1271" s="4" t="s">
        <v>6254</v>
      </c>
      <c r="B1271" s="37">
        <v>6.0</v>
      </c>
      <c r="C1271" s="37">
        <v>21.005329</v>
      </c>
      <c r="D1271" s="37">
        <v>15.005329</v>
      </c>
    </row>
    <row r="1272" ht="14.25" customHeight="1">
      <c r="A1272" s="4" t="s">
        <v>2562</v>
      </c>
      <c r="B1272" s="37">
        <v>40.0</v>
      </c>
      <c r="C1272" s="37">
        <v>54.967359</v>
      </c>
      <c r="D1272" s="37">
        <v>14.967359</v>
      </c>
    </row>
    <row r="1273" ht="14.25" customHeight="1">
      <c r="A1273" s="4" t="s">
        <v>7283</v>
      </c>
      <c r="B1273" s="37">
        <v>1.1</v>
      </c>
      <c r="C1273" s="37">
        <v>16.067035</v>
      </c>
      <c r="D1273" s="37">
        <v>14.967035</v>
      </c>
    </row>
    <row r="1274" ht="14.25" customHeight="1">
      <c r="A1274" s="4" t="s">
        <v>2287</v>
      </c>
      <c r="B1274" s="37">
        <v>46.0</v>
      </c>
      <c r="C1274" s="37">
        <v>60.962878</v>
      </c>
      <c r="D1274" s="37">
        <v>14.962878</v>
      </c>
    </row>
    <row r="1275" ht="14.25" customHeight="1">
      <c r="A1275" s="4" t="s">
        <v>1955</v>
      </c>
      <c r="B1275" s="37">
        <v>55.0</v>
      </c>
      <c r="C1275" s="37">
        <v>69.951824</v>
      </c>
      <c r="D1275" s="37">
        <v>14.951824</v>
      </c>
    </row>
    <row r="1276" ht="14.25" customHeight="1">
      <c r="A1276" s="4" t="s">
        <v>1202</v>
      </c>
      <c r="B1276" s="37">
        <v>78.0</v>
      </c>
      <c r="C1276" s="37">
        <v>92.930005</v>
      </c>
      <c r="D1276" s="37">
        <v>14.930005</v>
      </c>
    </row>
    <row r="1277" ht="14.25" customHeight="1">
      <c r="A1277" s="4" t="s">
        <v>3731</v>
      </c>
      <c r="B1277" s="37">
        <v>25.0</v>
      </c>
      <c r="C1277" s="37">
        <v>39.880476</v>
      </c>
      <c r="D1277" s="37">
        <v>14.880476</v>
      </c>
    </row>
    <row r="1278" ht="14.25" customHeight="1">
      <c r="A1278" s="4" t="s">
        <v>4901</v>
      </c>
      <c r="B1278" s="37">
        <v>16.0</v>
      </c>
      <c r="C1278" s="37">
        <v>30.857814</v>
      </c>
      <c r="D1278" s="37">
        <v>14.857814</v>
      </c>
    </row>
    <row r="1279" ht="14.25" customHeight="1">
      <c r="A1279" s="4" t="s">
        <v>1099</v>
      </c>
      <c r="B1279" s="37">
        <v>80.0</v>
      </c>
      <c r="C1279" s="37">
        <v>94.822707</v>
      </c>
      <c r="D1279" s="37">
        <v>14.822707</v>
      </c>
    </row>
    <row r="1280" ht="14.25" customHeight="1">
      <c r="A1280" s="4" t="s">
        <v>6592</v>
      </c>
      <c r="B1280" s="37">
        <v>6.0</v>
      </c>
      <c r="C1280" s="37">
        <v>20.772796</v>
      </c>
      <c r="D1280" s="37">
        <v>14.772796</v>
      </c>
    </row>
    <row r="1281" ht="14.25" customHeight="1">
      <c r="A1281" s="4" t="s">
        <v>7699</v>
      </c>
      <c r="B1281" s="37">
        <v>0.5</v>
      </c>
      <c r="C1281" s="37">
        <v>15.18</v>
      </c>
      <c r="D1281" s="37">
        <v>14.68</v>
      </c>
    </row>
    <row r="1282" ht="14.25" customHeight="1">
      <c r="A1282" s="4" t="s">
        <v>1619</v>
      </c>
      <c r="B1282" s="37">
        <v>61.0</v>
      </c>
      <c r="C1282" s="37">
        <v>75.5733</v>
      </c>
      <c r="D1282" s="37">
        <v>14.5733</v>
      </c>
    </row>
    <row r="1283" ht="14.25" customHeight="1">
      <c r="A1283" s="4" t="s">
        <v>5952</v>
      </c>
      <c r="B1283" s="37">
        <v>8.0</v>
      </c>
      <c r="C1283" s="37">
        <v>22.551</v>
      </c>
      <c r="D1283" s="37">
        <v>14.551</v>
      </c>
    </row>
    <row r="1284" ht="14.25" customHeight="1">
      <c r="A1284" s="4" t="s">
        <v>4204</v>
      </c>
      <c r="B1284" s="37">
        <v>19.8</v>
      </c>
      <c r="C1284" s="37">
        <v>34.290142</v>
      </c>
      <c r="D1284" s="37">
        <v>14.490142</v>
      </c>
    </row>
    <row r="1285" ht="14.25" customHeight="1">
      <c r="A1285" s="4" t="s">
        <v>2934</v>
      </c>
      <c r="B1285" s="37">
        <v>35.0</v>
      </c>
      <c r="C1285" s="37">
        <v>49.474048</v>
      </c>
      <c r="D1285" s="37">
        <v>14.474048</v>
      </c>
    </row>
    <row r="1286" ht="14.25" customHeight="1">
      <c r="A1286" s="4" t="s">
        <v>6422</v>
      </c>
      <c r="B1286" s="37">
        <v>5.0</v>
      </c>
      <c r="C1286" s="37">
        <v>19.421271</v>
      </c>
      <c r="D1286" s="37">
        <v>14.421271</v>
      </c>
    </row>
    <row r="1287" ht="14.25" customHeight="1">
      <c r="A1287" s="4" t="s">
        <v>3733</v>
      </c>
      <c r="B1287" s="37">
        <v>25.0</v>
      </c>
      <c r="C1287" s="37">
        <v>39.39975</v>
      </c>
      <c r="D1287" s="37">
        <v>14.39975</v>
      </c>
    </row>
    <row r="1288" ht="14.25" customHeight="1">
      <c r="A1288" s="4" t="s">
        <v>2308</v>
      </c>
      <c r="B1288" s="37">
        <v>45.0</v>
      </c>
      <c r="C1288" s="37">
        <v>59.365105</v>
      </c>
      <c r="D1288" s="37">
        <v>14.365105</v>
      </c>
    </row>
    <row r="1289" ht="14.25" customHeight="1">
      <c r="A1289" s="4" t="s">
        <v>4907</v>
      </c>
      <c r="B1289" s="37">
        <v>15.0</v>
      </c>
      <c r="C1289" s="37">
        <v>29.302097</v>
      </c>
      <c r="D1289" s="37">
        <v>14.302097</v>
      </c>
    </row>
    <row r="1290" ht="14.25" customHeight="1">
      <c r="A1290" s="4" t="s">
        <v>6420</v>
      </c>
      <c r="B1290" s="37">
        <v>5.0</v>
      </c>
      <c r="C1290" s="37">
        <v>19.281235</v>
      </c>
      <c r="D1290" s="37">
        <v>14.281235</v>
      </c>
    </row>
    <row r="1291" ht="14.25" customHeight="1">
      <c r="A1291" s="4" t="s">
        <v>2858</v>
      </c>
      <c r="B1291" s="37">
        <v>36.0</v>
      </c>
      <c r="C1291" s="37">
        <v>50.213619</v>
      </c>
      <c r="D1291" s="37">
        <v>14.213619</v>
      </c>
    </row>
    <row r="1292" ht="14.25" customHeight="1">
      <c r="A1292" s="4" t="s">
        <v>6891</v>
      </c>
      <c r="B1292" s="37">
        <v>8.0</v>
      </c>
      <c r="C1292" s="37">
        <v>22.201636</v>
      </c>
      <c r="D1292" s="37">
        <v>14.201636</v>
      </c>
    </row>
    <row r="1293" ht="14.25" customHeight="1">
      <c r="A1293" s="4" t="s">
        <v>6253</v>
      </c>
      <c r="B1293" s="37">
        <v>8.0</v>
      </c>
      <c r="C1293" s="37">
        <v>22.168359</v>
      </c>
      <c r="D1293" s="37">
        <v>14.168359</v>
      </c>
    </row>
    <row r="1294" ht="14.25" customHeight="1">
      <c r="A1294" s="4" t="s">
        <v>3622</v>
      </c>
      <c r="B1294" s="37">
        <v>26.0</v>
      </c>
      <c r="C1294" s="37">
        <v>40.16808</v>
      </c>
      <c r="D1294" s="37">
        <v>14.16808</v>
      </c>
    </row>
    <row r="1295" ht="14.25" customHeight="1">
      <c r="A1295" s="4" t="s">
        <v>2852</v>
      </c>
      <c r="B1295" s="37">
        <v>36.0</v>
      </c>
      <c r="C1295" s="37">
        <v>50.129186</v>
      </c>
      <c r="D1295" s="37">
        <v>14.129186</v>
      </c>
    </row>
    <row r="1296" ht="14.25" customHeight="1">
      <c r="A1296" s="4" t="s">
        <v>4233</v>
      </c>
      <c r="B1296" s="37">
        <v>20.0</v>
      </c>
      <c r="C1296" s="37">
        <v>34.126138</v>
      </c>
      <c r="D1296" s="37">
        <v>14.126138</v>
      </c>
    </row>
    <row r="1297" ht="14.25" customHeight="1">
      <c r="A1297" s="4" t="s">
        <v>4908</v>
      </c>
      <c r="B1297" s="37">
        <v>15.0</v>
      </c>
      <c r="C1297" s="37">
        <v>29.106737</v>
      </c>
      <c r="D1297" s="37">
        <v>14.106737</v>
      </c>
    </row>
    <row r="1298" ht="14.25" customHeight="1">
      <c r="A1298" s="4" t="s">
        <v>4250</v>
      </c>
      <c r="B1298" s="37">
        <v>9.0</v>
      </c>
      <c r="C1298" s="37">
        <v>23.078294</v>
      </c>
      <c r="D1298" s="37">
        <v>14.078294</v>
      </c>
    </row>
    <row r="1299" ht="14.25" customHeight="1">
      <c r="A1299" s="4" t="s">
        <v>3472</v>
      </c>
      <c r="B1299" s="37">
        <v>60.0</v>
      </c>
      <c r="C1299" s="37">
        <v>74.058698</v>
      </c>
      <c r="D1299" s="37">
        <v>14.058698</v>
      </c>
    </row>
    <row r="1300" ht="14.25" customHeight="1">
      <c r="A1300" s="4" t="s">
        <v>5209</v>
      </c>
      <c r="B1300" s="37">
        <v>13.0</v>
      </c>
      <c r="C1300" s="37">
        <v>27.052167</v>
      </c>
      <c r="D1300" s="37">
        <v>14.052167</v>
      </c>
    </row>
    <row r="1301" ht="14.25" customHeight="1">
      <c r="A1301" s="4" t="s">
        <v>1508</v>
      </c>
      <c r="B1301" s="37">
        <v>70.0</v>
      </c>
      <c r="C1301" s="37">
        <v>84.049211</v>
      </c>
      <c r="D1301" s="37">
        <v>14.049211</v>
      </c>
    </row>
    <row r="1302" ht="14.25" customHeight="1">
      <c r="A1302" s="4" t="s">
        <v>4025</v>
      </c>
      <c r="B1302" s="37">
        <v>22.0</v>
      </c>
      <c r="C1302" s="37">
        <v>36.020063</v>
      </c>
      <c r="D1302" s="37">
        <v>14.020063</v>
      </c>
    </row>
    <row r="1303" ht="14.25" customHeight="1">
      <c r="A1303" s="4" t="s">
        <v>3736</v>
      </c>
      <c r="B1303" s="37">
        <v>25.0</v>
      </c>
      <c r="C1303" s="37">
        <v>39.008741</v>
      </c>
      <c r="D1303" s="37">
        <v>14.008741</v>
      </c>
    </row>
    <row r="1304" ht="14.25" customHeight="1">
      <c r="A1304" s="4" t="s">
        <v>3593</v>
      </c>
      <c r="B1304" s="37">
        <v>27.0</v>
      </c>
      <c r="C1304" s="37">
        <v>41.008532</v>
      </c>
      <c r="D1304" s="37">
        <v>14.008532</v>
      </c>
    </row>
    <row r="1305" ht="14.25" customHeight="1">
      <c r="A1305" s="4" t="s">
        <v>3197</v>
      </c>
      <c r="B1305" s="37">
        <v>31.0</v>
      </c>
      <c r="C1305" s="37">
        <v>44.983704</v>
      </c>
      <c r="D1305" s="37">
        <v>13.983704</v>
      </c>
    </row>
    <row r="1306" ht="14.25" customHeight="1">
      <c r="A1306" s="4" t="s">
        <v>2559</v>
      </c>
      <c r="B1306" s="37">
        <v>40.0</v>
      </c>
      <c r="C1306" s="37">
        <v>53.955614</v>
      </c>
      <c r="D1306" s="37">
        <v>13.955614</v>
      </c>
    </row>
    <row r="1307" ht="14.25" customHeight="1">
      <c r="A1307" s="4" t="s">
        <v>2941</v>
      </c>
      <c r="B1307" s="37">
        <v>30.0</v>
      </c>
      <c r="C1307" s="37">
        <v>43.894863</v>
      </c>
      <c r="D1307" s="37">
        <v>13.894863</v>
      </c>
    </row>
    <row r="1308" ht="14.25" customHeight="1">
      <c r="A1308" s="4" t="s">
        <v>1386</v>
      </c>
      <c r="B1308" s="37">
        <v>66.0</v>
      </c>
      <c r="C1308" s="37">
        <v>79.883359</v>
      </c>
      <c r="D1308" s="37">
        <v>13.883359</v>
      </c>
    </row>
    <row r="1309" ht="14.25" customHeight="1">
      <c r="A1309" s="4" t="s">
        <v>5370</v>
      </c>
      <c r="B1309" s="37">
        <v>12.0</v>
      </c>
      <c r="C1309" s="37">
        <v>25.776062</v>
      </c>
      <c r="D1309" s="37">
        <v>13.776062</v>
      </c>
    </row>
    <row r="1310" ht="14.25" customHeight="1">
      <c r="A1310" s="4" t="s">
        <v>1892</v>
      </c>
      <c r="B1310" s="37">
        <v>55.0</v>
      </c>
      <c r="C1310" s="37">
        <v>68.75</v>
      </c>
      <c r="D1310" s="37">
        <v>13.75</v>
      </c>
    </row>
    <row r="1311" ht="14.25" customHeight="1">
      <c r="A1311" s="4" t="s">
        <v>3320</v>
      </c>
      <c r="B1311" s="37">
        <v>25.0</v>
      </c>
      <c r="C1311" s="37">
        <v>38.747385</v>
      </c>
      <c r="D1311" s="37">
        <v>13.747385</v>
      </c>
    </row>
    <row r="1312" ht="14.25" customHeight="1">
      <c r="A1312" s="4" t="s">
        <v>2062</v>
      </c>
      <c r="B1312" s="37">
        <v>60.0</v>
      </c>
      <c r="C1312" s="37">
        <v>73.701902</v>
      </c>
      <c r="D1312" s="37">
        <v>13.701902</v>
      </c>
    </row>
    <row r="1313" ht="14.25" customHeight="1">
      <c r="A1313" s="4" t="s">
        <v>5601</v>
      </c>
      <c r="B1313" s="37">
        <v>23.0</v>
      </c>
      <c r="C1313" s="37">
        <v>36.696761</v>
      </c>
      <c r="D1313" s="37">
        <v>13.696761</v>
      </c>
    </row>
    <row r="1314" ht="14.25" customHeight="1">
      <c r="A1314" s="4" t="s">
        <v>3752</v>
      </c>
      <c r="B1314" s="37">
        <v>20.0</v>
      </c>
      <c r="C1314" s="37">
        <v>33.68763</v>
      </c>
      <c r="D1314" s="37">
        <v>13.68763</v>
      </c>
    </row>
    <row r="1315" ht="14.25" customHeight="1">
      <c r="A1315" s="4" t="s">
        <v>6434</v>
      </c>
      <c r="B1315" s="37">
        <v>5.0</v>
      </c>
      <c r="C1315" s="37">
        <v>18.6564</v>
      </c>
      <c r="D1315" s="37">
        <v>13.6564</v>
      </c>
    </row>
    <row r="1316" ht="14.25" customHeight="1">
      <c r="A1316" s="4" t="s">
        <v>1649</v>
      </c>
      <c r="B1316" s="37">
        <v>60.0</v>
      </c>
      <c r="C1316" s="37">
        <v>73.648142</v>
      </c>
      <c r="D1316" s="37">
        <v>13.648142</v>
      </c>
    </row>
    <row r="1317" ht="14.25" customHeight="1">
      <c r="A1317" s="4" t="s">
        <v>4910</v>
      </c>
      <c r="B1317" s="37">
        <v>15.0</v>
      </c>
      <c r="C1317" s="37">
        <v>28.637507</v>
      </c>
      <c r="D1317" s="37">
        <v>13.637507</v>
      </c>
    </row>
    <row r="1318" ht="14.25" customHeight="1">
      <c r="A1318" s="4" t="s">
        <v>7288</v>
      </c>
      <c r="B1318" s="37">
        <v>1.0</v>
      </c>
      <c r="C1318" s="37">
        <v>14.564027</v>
      </c>
      <c r="D1318" s="37">
        <v>13.564027</v>
      </c>
    </row>
    <row r="1319" ht="14.25" customHeight="1">
      <c r="A1319" s="4" t="s">
        <v>1379</v>
      </c>
      <c r="B1319" s="37">
        <v>70.0</v>
      </c>
      <c r="C1319" s="37">
        <v>83.552429</v>
      </c>
      <c r="D1319" s="37">
        <v>13.552429</v>
      </c>
    </row>
    <row r="1320" ht="14.25" customHeight="1">
      <c r="A1320" s="4" t="s">
        <v>5211</v>
      </c>
      <c r="B1320" s="37">
        <v>13.0</v>
      </c>
      <c r="C1320" s="37">
        <v>26.539321</v>
      </c>
      <c r="D1320" s="37">
        <v>13.539321</v>
      </c>
    </row>
    <row r="1321" ht="14.25" customHeight="1">
      <c r="A1321" s="4" t="s">
        <v>5106</v>
      </c>
      <c r="B1321" s="37">
        <v>14.0</v>
      </c>
      <c r="C1321" s="37">
        <v>27.515786</v>
      </c>
      <c r="D1321" s="37">
        <v>13.515786</v>
      </c>
    </row>
    <row r="1322" ht="14.25" customHeight="1">
      <c r="A1322" s="4" t="s">
        <v>6809</v>
      </c>
      <c r="B1322" s="37">
        <v>2.5</v>
      </c>
      <c r="C1322" s="37">
        <v>15.935068</v>
      </c>
      <c r="D1322" s="37">
        <v>13.435068</v>
      </c>
    </row>
    <row r="1323" ht="14.25" customHeight="1">
      <c r="A1323" s="4" t="s">
        <v>4206</v>
      </c>
      <c r="B1323" s="37">
        <v>20.0</v>
      </c>
      <c r="C1323" s="37">
        <v>33.422556</v>
      </c>
      <c r="D1323" s="37">
        <v>13.422556</v>
      </c>
    </row>
    <row r="1324" ht="14.25" customHeight="1">
      <c r="A1324" s="4" t="s">
        <v>3294</v>
      </c>
      <c r="B1324" s="37">
        <v>40.0</v>
      </c>
      <c r="C1324" s="37">
        <v>53.337608</v>
      </c>
      <c r="D1324" s="37">
        <v>13.337608</v>
      </c>
    </row>
    <row r="1325" ht="14.25" customHeight="1">
      <c r="A1325" s="4" t="s">
        <v>4675</v>
      </c>
      <c r="B1325" s="37">
        <v>17.0</v>
      </c>
      <c r="C1325" s="37">
        <v>30.324946</v>
      </c>
      <c r="D1325" s="37">
        <v>13.324946</v>
      </c>
    </row>
    <row r="1326" ht="14.25" customHeight="1">
      <c r="A1326" s="4" t="s">
        <v>6636</v>
      </c>
      <c r="B1326" s="37">
        <v>4.0</v>
      </c>
      <c r="C1326" s="37">
        <v>17.314483</v>
      </c>
      <c r="D1326" s="37">
        <v>13.314483</v>
      </c>
    </row>
    <row r="1327" ht="14.25" customHeight="1">
      <c r="A1327" s="4" t="s">
        <v>5377</v>
      </c>
      <c r="B1327" s="37">
        <v>12.0</v>
      </c>
      <c r="C1327" s="37">
        <v>25.277561</v>
      </c>
      <c r="D1327" s="37">
        <v>13.277561</v>
      </c>
    </row>
    <row r="1328" ht="14.25" customHeight="1">
      <c r="A1328" s="4" t="s">
        <v>1455</v>
      </c>
      <c r="B1328" s="37">
        <v>68.0</v>
      </c>
      <c r="C1328" s="37">
        <v>81.2575</v>
      </c>
      <c r="D1328" s="37">
        <v>13.2575</v>
      </c>
    </row>
    <row r="1329" ht="14.25" customHeight="1">
      <c r="A1329" s="4" t="s">
        <v>6092</v>
      </c>
      <c r="B1329" s="37">
        <v>7.0</v>
      </c>
      <c r="C1329" s="37">
        <v>20.257</v>
      </c>
      <c r="D1329" s="37">
        <v>13.257</v>
      </c>
    </row>
    <row r="1330" ht="14.25" customHeight="1">
      <c r="A1330" s="4" t="s">
        <v>5373</v>
      </c>
      <c r="B1330" s="37">
        <v>12.0</v>
      </c>
      <c r="C1330" s="37">
        <v>25.240988</v>
      </c>
      <c r="D1330" s="37">
        <v>13.240988</v>
      </c>
    </row>
    <row r="1331" ht="14.25" customHeight="1">
      <c r="A1331" s="4" t="s">
        <v>3735</v>
      </c>
      <c r="B1331" s="37">
        <v>25.0</v>
      </c>
      <c r="C1331" s="37">
        <v>38.230435</v>
      </c>
      <c r="D1331" s="37">
        <v>13.230435</v>
      </c>
    </row>
    <row r="1332" ht="14.25" customHeight="1">
      <c r="A1332" s="4" t="s">
        <v>1894</v>
      </c>
      <c r="B1332" s="37">
        <v>55.0</v>
      </c>
      <c r="C1332" s="37">
        <v>68.218041</v>
      </c>
      <c r="D1332" s="37">
        <v>13.218041</v>
      </c>
    </row>
    <row r="1333" ht="14.25" customHeight="1">
      <c r="A1333" s="4" t="s">
        <v>2238</v>
      </c>
      <c r="B1333" s="37">
        <v>47.0</v>
      </c>
      <c r="C1333" s="37">
        <v>60.154431</v>
      </c>
      <c r="D1333" s="37">
        <v>13.154431</v>
      </c>
    </row>
    <row r="1334" ht="14.25" customHeight="1">
      <c r="A1334" s="4" t="s">
        <v>7260</v>
      </c>
      <c r="B1334" s="37">
        <v>3.0</v>
      </c>
      <c r="C1334" s="37">
        <v>16.101109</v>
      </c>
      <c r="D1334" s="37">
        <v>13.101109</v>
      </c>
    </row>
    <row r="1335" ht="14.25" customHeight="1">
      <c r="A1335" s="4" t="s">
        <v>2567</v>
      </c>
      <c r="B1335" s="37">
        <v>40.0</v>
      </c>
      <c r="C1335" s="37">
        <v>53.082743</v>
      </c>
      <c r="D1335" s="37">
        <v>13.082743</v>
      </c>
    </row>
    <row r="1336" ht="14.25" customHeight="1">
      <c r="A1336" s="4" t="s">
        <v>5907</v>
      </c>
      <c r="B1336" s="37">
        <v>8.5</v>
      </c>
      <c r="C1336" s="37">
        <v>21.564616</v>
      </c>
      <c r="D1336" s="37">
        <v>13.064616</v>
      </c>
    </row>
    <row r="1337" ht="14.25" customHeight="1">
      <c r="A1337" s="4" t="s">
        <v>5626</v>
      </c>
      <c r="B1337" s="37">
        <v>17.0</v>
      </c>
      <c r="C1337" s="37">
        <v>30.050028</v>
      </c>
      <c r="D1337" s="37">
        <v>13.050028</v>
      </c>
    </row>
    <row r="1338" ht="14.25" customHeight="1">
      <c r="A1338" s="4" t="s">
        <v>4916</v>
      </c>
      <c r="B1338" s="37">
        <v>15.0</v>
      </c>
      <c r="C1338" s="37">
        <v>28.014536</v>
      </c>
      <c r="D1338" s="37">
        <v>13.014536</v>
      </c>
    </row>
    <row r="1339" ht="14.25" customHeight="1">
      <c r="A1339" s="4" t="s">
        <v>6783</v>
      </c>
      <c r="B1339" s="37">
        <v>3.5</v>
      </c>
      <c r="C1339" s="37">
        <v>16.501785</v>
      </c>
      <c r="D1339" s="37">
        <v>13.001785</v>
      </c>
    </row>
    <row r="1340" ht="14.25" customHeight="1">
      <c r="A1340" s="4" t="s">
        <v>5608</v>
      </c>
      <c r="B1340" s="37">
        <v>20.0</v>
      </c>
      <c r="C1340" s="37">
        <v>32.983713</v>
      </c>
      <c r="D1340" s="37">
        <v>12.983713</v>
      </c>
    </row>
    <row r="1341" ht="14.25" customHeight="1">
      <c r="A1341" s="4" t="s">
        <v>5508</v>
      </c>
      <c r="B1341" s="37">
        <v>11.0</v>
      </c>
      <c r="C1341" s="37">
        <v>23.978402</v>
      </c>
      <c r="D1341" s="37">
        <v>12.978402</v>
      </c>
    </row>
    <row r="1342" ht="14.25" customHeight="1">
      <c r="A1342" s="4" t="s">
        <v>1102</v>
      </c>
      <c r="B1342" s="37">
        <v>80.0</v>
      </c>
      <c r="C1342" s="37">
        <v>92.969824</v>
      </c>
      <c r="D1342" s="37">
        <v>12.969824</v>
      </c>
    </row>
    <row r="1343" ht="14.25" customHeight="1">
      <c r="A1343" s="4" t="s">
        <v>2262</v>
      </c>
      <c r="B1343" s="37">
        <v>46.0</v>
      </c>
      <c r="C1343" s="37">
        <v>58.918501</v>
      </c>
      <c r="D1343" s="37">
        <v>12.918501</v>
      </c>
    </row>
    <row r="1344" ht="14.25" customHeight="1">
      <c r="A1344" s="4" t="s">
        <v>6452</v>
      </c>
      <c r="B1344" s="37">
        <v>5.0</v>
      </c>
      <c r="C1344" s="37">
        <v>17.768</v>
      </c>
      <c r="D1344" s="37">
        <v>12.768</v>
      </c>
    </row>
    <row r="1345" ht="14.25" customHeight="1">
      <c r="A1345" s="4" t="s">
        <v>3784</v>
      </c>
      <c r="B1345" s="37">
        <v>25.0</v>
      </c>
      <c r="C1345" s="37">
        <v>37.7384</v>
      </c>
      <c r="D1345" s="37">
        <v>12.7384</v>
      </c>
    </row>
    <row r="1346" ht="14.25" customHeight="1">
      <c r="A1346" s="4" t="s">
        <v>4762</v>
      </c>
      <c r="B1346" s="37">
        <v>16.0</v>
      </c>
      <c r="C1346" s="37">
        <v>28.734552</v>
      </c>
      <c r="D1346" s="37">
        <v>12.734552</v>
      </c>
    </row>
    <row r="1347" ht="14.25" customHeight="1">
      <c r="A1347" s="4" t="s">
        <v>7463</v>
      </c>
      <c r="B1347" s="37">
        <v>0.6</v>
      </c>
      <c r="C1347" s="37">
        <v>13.3</v>
      </c>
      <c r="D1347" s="37">
        <v>12.7</v>
      </c>
    </row>
    <row r="1348" ht="14.25" customHeight="1">
      <c r="A1348" s="4" t="s">
        <v>6460</v>
      </c>
      <c r="B1348" s="37">
        <v>5.0</v>
      </c>
      <c r="C1348" s="37">
        <v>17.68367</v>
      </c>
      <c r="D1348" s="37">
        <v>12.68367</v>
      </c>
    </row>
    <row r="1349" ht="14.25" customHeight="1">
      <c r="A1349" s="4" t="s">
        <v>1958</v>
      </c>
      <c r="B1349" s="37">
        <v>54.0</v>
      </c>
      <c r="C1349" s="37">
        <v>66.676062</v>
      </c>
      <c r="D1349" s="37">
        <v>12.676062</v>
      </c>
    </row>
    <row r="1350" ht="14.25" customHeight="1">
      <c r="A1350" s="4" t="s">
        <v>5252</v>
      </c>
      <c r="B1350" s="37">
        <v>13.0</v>
      </c>
      <c r="C1350" s="37">
        <v>25.675765</v>
      </c>
      <c r="D1350" s="37">
        <v>12.675765</v>
      </c>
    </row>
    <row r="1351" ht="14.25" customHeight="1">
      <c r="A1351" s="4" t="s">
        <v>6998</v>
      </c>
      <c r="B1351" s="37">
        <v>2.0</v>
      </c>
      <c r="C1351" s="37">
        <v>14.673301</v>
      </c>
      <c r="D1351" s="37">
        <v>12.673301</v>
      </c>
    </row>
    <row r="1352" ht="14.25" customHeight="1">
      <c r="A1352" s="4" t="s">
        <v>2787</v>
      </c>
      <c r="B1352" s="37">
        <v>38.0</v>
      </c>
      <c r="C1352" s="37">
        <v>50.668906</v>
      </c>
      <c r="D1352" s="37">
        <v>12.668906</v>
      </c>
    </row>
    <row r="1353" ht="14.25" customHeight="1">
      <c r="A1353" s="4" t="s">
        <v>2222</v>
      </c>
      <c r="B1353" s="37">
        <v>48.0</v>
      </c>
      <c r="C1353" s="37">
        <v>60.652036</v>
      </c>
      <c r="D1353" s="37">
        <v>12.652036</v>
      </c>
    </row>
    <row r="1354" ht="14.25" customHeight="1">
      <c r="A1354" s="4" t="s">
        <v>6258</v>
      </c>
      <c r="B1354" s="37">
        <v>6.0</v>
      </c>
      <c r="C1354" s="37">
        <v>18.621249</v>
      </c>
      <c r="D1354" s="37">
        <v>12.621249</v>
      </c>
    </row>
    <row r="1355" ht="14.25" customHeight="1">
      <c r="A1355" s="4" t="s">
        <v>5717</v>
      </c>
      <c r="B1355" s="37">
        <v>9.0</v>
      </c>
      <c r="C1355" s="37">
        <v>21.569041</v>
      </c>
      <c r="D1355" s="37">
        <v>12.569041</v>
      </c>
    </row>
    <row r="1356" ht="14.25" customHeight="1">
      <c r="A1356" s="4" t="s">
        <v>607</v>
      </c>
      <c r="B1356" s="37">
        <v>120.0</v>
      </c>
      <c r="C1356" s="37">
        <v>132.55096</v>
      </c>
      <c r="D1356" s="37">
        <v>12.55096</v>
      </c>
    </row>
    <row r="1357" ht="14.25" customHeight="1">
      <c r="A1357" s="4" t="s">
        <v>910</v>
      </c>
      <c r="B1357" s="37">
        <v>90.0</v>
      </c>
      <c r="C1357" s="37">
        <v>102.515793</v>
      </c>
      <c r="D1357" s="37">
        <v>12.515793</v>
      </c>
    </row>
    <row r="1358" ht="14.25" customHeight="1">
      <c r="A1358" s="4" t="s">
        <v>4915</v>
      </c>
      <c r="B1358" s="37">
        <v>15.0</v>
      </c>
      <c r="C1358" s="37">
        <v>27.441122</v>
      </c>
      <c r="D1358" s="37">
        <v>12.441122</v>
      </c>
    </row>
    <row r="1359" ht="14.25" customHeight="1">
      <c r="A1359" s="4" t="s">
        <v>2568</v>
      </c>
      <c r="B1359" s="37">
        <v>42.0</v>
      </c>
      <c r="C1359" s="37">
        <v>54.414716</v>
      </c>
      <c r="D1359" s="37">
        <v>12.414716</v>
      </c>
    </row>
    <row r="1360" ht="14.25" customHeight="1">
      <c r="A1360" s="4" t="s">
        <v>6257</v>
      </c>
      <c r="B1360" s="37">
        <v>8.0</v>
      </c>
      <c r="C1360" s="37">
        <v>20.4</v>
      </c>
      <c r="D1360" s="37">
        <v>12.4</v>
      </c>
    </row>
    <row r="1361" ht="14.25" customHeight="1">
      <c r="A1361" s="4" t="s">
        <v>3304</v>
      </c>
      <c r="B1361" s="37">
        <v>30.0</v>
      </c>
      <c r="C1361" s="37">
        <v>42.38552</v>
      </c>
      <c r="D1361" s="37">
        <v>12.38552</v>
      </c>
    </row>
    <row r="1362" ht="14.25" customHeight="1">
      <c r="A1362" s="4" t="s">
        <v>6430</v>
      </c>
      <c r="B1362" s="37">
        <v>5.0</v>
      </c>
      <c r="C1362" s="37">
        <v>17.382982</v>
      </c>
      <c r="D1362" s="37">
        <v>12.382982</v>
      </c>
    </row>
    <row r="1363" ht="14.25" customHeight="1">
      <c r="A1363" s="4" t="s">
        <v>6807</v>
      </c>
      <c r="B1363" s="37">
        <v>3.0</v>
      </c>
      <c r="C1363" s="37">
        <v>15.369573</v>
      </c>
      <c r="D1363" s="37">
        <v>12.369573</v>
      </c>
    </row>
    <row r="1364" ht="14.25" customHeight="1">
      <c r="A1364" s="4" t="s">
        <v>2312</v>
      </c>
      <c r="B1364" s="37">
        <v>45.0</v>
      </c>
      <c r="C1364" s="37">
        <v>57.362581</v>
      </c>
      <c r="D1364" s="37">
        <v>12.362581</v>
      </c>
    </row>
    <row r="1365" ht="14.25" customHeight="1">
      <c r="A1365" s="4" t="s">
        <v>151</v>
      </c>
      <c r="B1365" s="37">
        <v>190.0</v>
      </c>
      <c r="C1365" s="37">
        <v>202.351611</v>
      </c>
      <c r="D1365" s="37">
        <v>12.351611</v>
      </c>
    </row>
    <row r="1366" ht="14.25" customHeight="1">
      <c r="A1366" s="4" t="s">
        <v>2583</v>
      </c>
      <c r="B1366" s="37">
        <v>40.0</v>
      </c>
      <c r="C1366" s="37">
        <v>52.320979</v>
      </c>
      <c r="D1366" s="37">
        <v>12.320979</v>
      </c>
    </row>
    <row r="1367" ht="14.25" customHeight="1">
      <c r="A1367" s="4" t="s">
        <v>2406</v>
      </c>
      <c r="B1367" s="37">
        <v>50.0</v>
      </c>
      <c r="C1367" s="37">
        <v>62.318875</v>
      </c>
      <c r="D1367" s="37">
        <v>12.318875</v>
      </c>
    </row>
    <row r="1368" ht="14.25" customHeight="1">
      <c r="A1368" s="4" t="s">
        <v>4026</v>
      </c>
      <c r="B1368" s="37">
        <v>21.0</v>
      </c>
      <c r="C1368" s="37">
        <v>33.313582</v>
      </c>
      <c r="D1368" s="37">
        <v>12.313582</v>
      </c>
    </row>
    <row r="1369" ht="14.25" customHeight="1">
      <c r="A1369" s="4" t="s">
        <v>2022</v>
      </c>
      <c r="B1369" s="37">
        <v>50.2</v>
      </c>
      <c r="C1369" s="37">
        <v>62.453315</v>
      </c>
      <c r="D1369" s="37">
        <v>12.253315</v>
      </c>
    </row>
    <row r="1370" ht="14.25" customHeight="1">
      <c r="A1370" s="4" t="s">
        <v>1378</v>
      </c>
      <c r="B1370" s="37">
        <v>58.0</v>
      </c>
      <c r="C1370" s="37">
        <v>70.117571</v>
      </c>
      <c r="D1370" s="37">
        <v>12.117571</v>
      </c>
    </row>
    <row r="1371" ht="14.25" customHeight="1">
      <c r="A1371" s="4" t="s">
        <v>2629</v>
      </c>
      <c r="B1371" s="37">
        <v>30.0</v>
      </c>
      <c r="C1371" s="37">
        <v>42.071069</v>
      </c>
      <c r="D1371" s="37">
        <v>12.071069</v>
      </c>
    </row>
    <row r="1372" ht="14.25" customHeight="1">
      <c r="A1372" s="4" t="s">
        <v>3298</v>
      </c>
      <c r="B1372" s="37">
        <v>30.0</v>
      </c>
      <c r="C1372" s="37">
        <v>42.05734</v>
      </c>
      <c r="D1372" s="37">
        <v>12.05734</v>
      </c>
    </row>
    <row r="1373" ht="14.25" customHeight="1">
      <c r="A1373" s="4" t="s">
        <v>4212</v>
      </c>
      <c r="B1373" s="37">
        <v>20.0</v>
      </c>
      <c r="C1373" s="37">
        <v>32.051917</v>
      </c>
      <c r="D1373" s="37">
        <v>12.051917</v>
      </c>
    </row>
    <row r="1374" ht="14.25" customHeight="1">
      <c r="A1374" s="4" t="s">
        <v>3311</v>
      </c>
      <c r="B1374" s="37">
        <v>30.0</v>
      </c>
      <c r="C1374" s="37">
        <v>42.043633</v>
      </c>
      <c r="D1374" s="37">
        <v>12.043633</v>
      </c>
    </row>
    <row r="1375" ht="14.25" customHeight="1">
      <c r="A1375" s="4" t="s">
        <v>4214</v>
      </c>
      <c r="B1375" s="37">
        <v>20.0</v>
      </c>
      <c r="C1375" s="37">
        <v>32.014289</v>
      </c>
      <c r="D1375" s="37">
        <v>12.014289</v>
      </c>
    </row>
    <row r="1376" ht="14.25" customHeight="1">
      <c r="A1376" s="4" t="s">
        <v>2578</v>
      </c>
      <c r="B1376" s="37">
        <v>40.0</v>
      </c>
      <c r="C1376" s="37">
        <v>52.000688</v>
      </c>
      <c r="D1376" s="37">
        <v>12.000688</v>
      </c>
    </row>
    <row r="1377" ht="14.25" customHeight="1">
      <c r="A1377" s="4" t="s">
        <v>6924</v>
      </c>
      <c r="B1377" s="37">
        <v>2.5</v>
      </c>
      <c r="C1377" s="37">
        <v>14.4</v>
      </c>
      <c r="D1377" s="37">
        <v>11.9</v>
      </c>
    </row>
    <row r="1378" ht="14.25" customHeight="1">
      <c r="A1378" s="4" t="s">
        <v>1653</v>
      </c>
      <c r="B1378" s="37">
        <v>60.0</v>
      </c>
      <c r="C1378" s="37">
        <v>71.844424</v>
      </c>
      <c r="D1378" s="37">
        <v>11.844424</v>
      </c>
    </row>
    <row r="1379" ht="14.25" customHeight="1">
      <c r="A1379" s="4" t="s">
        <v>4215</v>
      </c>
      <c r="B1379" s="37">
        <v>20.0</v>
      </c>
      <c r="C1379" s="37">
        <v>31.838002</v>
      </c>
      <c r="D1379" s="37">
        <v>11.838002</v>
      </c>
    </row>
    <row r="1380" ht="14.25" customHeight="1">
      <c r="A1380" s="4" t="s">
        <v>3738</v>
      </c>
      <c r="B1380" s="37">
        <v>25.0</v>
      </c>
      <c r="C1380" s="37">
        <v>36.833473</v>
      </c>
      <c r="D1380" s="37">
        <v>11.833473</v>
      </c>
    </row>
    <row r="1381" ht="14.25" customHeight="1">
      <c r="A1381" s="4" t="s">
        <v>7627</v>
      </c>
      <c r="B1381" s="37">
        <v>0.25</v>
      </c>
      <c r="C1381" s="37">
        <v>12.006514</v>
      </c>
      <c r="D1381" s="37">
        <v>11.756514</v>
      </c>
    </row>
    <row r="1382" ht="14.25" customHeight="1">
      <c r="A1382" s="4" t="s">
        <v>4067</v>
      </c>
      <c r="B1382" s="37">
        <v>2.0</v>
      </c>
      <c r="C1382" s="37">
        <v>13.74655</v>
      </c>
      <c r="D1382" s="37">
        <v>11.74655</v>
      </c>
    </row>
    <row r="1383" ht="14.25" customHeight="1">
      <c r="A1383" s="4" t="s">
        <v>4691</v>
      </c>
      <c r="B1383" s="37">
        <v>4.0</v>
      </c>
      <c r="C1383" s="37">
        <v>15.655665</v>
      </c>
      <c r="D1383" s="37">
        <v>11.655665</v>
      </c>
    </row>
    <row r="1384" ht="14.25" customHeight="1">
      <c r="A1384" s="4" t="s">
        <v>703</v>
      </c>
      <c r="B1384" s="37">
        <v>90.0</v>
      </c>
      <c r="C1384" s="37">
        <v>101.643008</v>
      </c>
      <c r="D1384" s="37">
        <v>11.643008</v>
      </c>
    </row>
    <row r="1385" ht="14.25" customHeight="1">
      <c r="A1385" s="4" t="s">
        <v>6445</v>
      </c>
      <c r="B1385" s="37">
        <v>2.0</v>
      </c>
      <c r="C1385" s="37">
        <v>13.622333</v>
      </c>
      <c r="D1385" s="37">
        <v>11.622333</v>
      </c>
    </row>
    <row r="1386" ht="14.25" customHeight="1">
      <c r="A1386" s="4" t="s">
        <v>6269</v>
      </c>
      <c r="B1386" s="37">
        <v>6.0</v>
      </c>
      <c r="C1386" s="37">
        <v>17.605861</v>
      </c>
      <c r="D1386" s="37">
        <v>11.605861</v>
      </c>
    </row>
    <row r="1387" ht="14.25" customHeight="1">
      <c r="A1387" s="4" t="s">
        <v>5662</v>
      </c>
      <c r="B1387" s="37">
        <v>10.0</v>
      </c>
      <c r="C1387" s="37">
        <v>21.589307</v>
      </c>
      <c r="D1387" s="37">
        <v>11.589307</v>
      </c>
    </row>
    <row r="1388" ht="14.25" customHeight="1">
      <c r="A1388" s="4" t="s">
        <v>4245</v>
      </c>
      <c r="B1388" s="37">
        <v>20.0</v>
      </c>
      <c r="C1388" s="37">
        <v>31.584722</v>
      </c>
      <c r="D1388" s="37">
        <v>11.584722</v>
      </c>
    </row>
    <row r="1389" ht="14.25" customHeight="1">
      <c r="A1389" s="4" t="s">
        <v>5104</v>
      </c>
      <c r="B1389" s="37">
        <v>14.0</v>
      </c>
      <c r="C1389" s="37">
        <v>25.571351</v>
      </c>
      <c r="D1389" s="37">
        <v>11.571351</v>
      </c>
    </row>
    <row r="1390" ht="14.25" customHeight="1">
      <c r="A1390" s="4" t="s">
        <v>5560</v>
      </c>
      <c r="B1390" s="37">
        <v>10.6</v>
      </c>
      <c r="C1390" s="37">
        <v>22.160085</v>
      </c>
      <c r="D1390" s="37">
        <v>11.560085</v>
      </c>
    </row>
    <row r="1391" ht="14.25" customHeight="1">
      <c r="A1391" s="4" t="s">
        <v>3591</v>
      </c>
      <c r="B1391" s="37">
        <v>27.0</v>
      </c>
      <c r="C1391" s="37">
        <v>38.536376</v>
      </c>
      <c r="D1391" s="37">
        <v>11.536376</v>
      </c>
    </row>
    <row r="1392" ht="14.25" customHeight="1">
      <c r="A1392" s="4" t="s">
        <v>3499</v>
      </c>
      <c r="B1392" s="37">
        <v>28.0</v>
      </c>
      <c r="C1392" s="37">
        <v>39.514713</v>
      </c>
      <c r="D1392" s="37">
        <v>11.514713</v>
      </c>
    </row>
    <row r="1393" ht="14.25" customHeight="1">
      <c r="A1393" s="4" t="s">
        <v>5108</v>
      </c>
      <c r="B1393" s="37">
        <v>14.0</v>
      </c>
      <c r="C1393" s="37">
        <v>25.482931</v>
      </c>
      <c r="D1393" s="37">
        <v>11.482931</v>
      </c>
    </row>
    <row r="1394" ht="14.25" customHeight="1">
      <c r="A1394" s="4" t="s">
        <v>7739</v>
      </c>
      <c r="B1394" s="37">
        <v>0.065</v>
      </c>
      <c r="C1394" s="37">
        <v>11.529368</v>
      </c>
      <c r="D1394" s="37">
        <v>11.464368</v>
      </c>
    </row>
    <row r="1395" ht="14.25" customHeight="1">
      <c r="A1395" s="4" t="s">
        <v>4929</v>
      </c>
      <c r="B1395" s="37">
        <v>11.5</v>
      </c>
      <c r="C1395" s="37">
        <v>22.954968</v>
      </c>
      <c r="D1395" s="37">
        <v>11.454968</v>
      </c>
    </row>
    <row r="1396" ht="14.25" customHeight="1">
      <c r="A1396" s="4" t="s">
        <v>3741</v>
      </c>
      <c r="B1396" s="37">
        <v>25.0</v>
      </c>
      <c r="C1396" s="37">
        <v>36.447959</v>
      </c>
      <c r="D1396" s="37">
        <v>11.447959</v>
      </c>
    </row>
    <row r="1397" ht="14.25" customHeight="1">
      <c r="A1397" s="4" t="s">
        <v>4922</v>
      </c>
      <c r="B1397" s="37">
        <v>15.0</v>
      </c>
      <c r="C1397" s="37">
        <v>26.421314</v>
      </c>
      <c r="D1397" s="37">
        <v>11.421314</v>
      </c>
    </row>
    <row r="1398" ht="14.25" customHeight="1">
      <c r="A1398" s="4" t="s">
        <v>3302</v>
      </c>
      <c r="B1398" s="37">
        <v>30.0</v>
      </c>
      <c r="C1398" s="37">
        <v>41.40747</v>
      </c>
      <c r="D1398" s="37">
        <v>11.40747</v>
      </c>
    </row>
    <row r="1399" ht="14.25" customHeight="1">
      <c r="A1399" s="4" t="s">
        <v>4930</v>
      </c>
      <c r="B1399" s="37">
        <v>15.0</v>
      </c>
      <c r="C1399" s="37">
        <v>26.384919</v>
      </c>
      <c r="D1399" s="37">
        <v>11.384919</v>
      </c>
    </row>
    <row r="1400" ht="14.25" customHeight="1">
      <c r="A1400" s="4" t="s">
        <v>5647</v>
      </c>
      <c r="B1400" s="37">
        <v>10.0</v>
      </c>
      <c r="C1400" s="37">
        <v>21.371425</v>
      </c>
      <c r="D1400" s="37">
        <v>11.371425</v>
      </c>
    </row>
    <row r="1401" ht="14.25" customHeight="1">
      <c r="A1401" s="4" t="s">
        <v>1884</v>
      </c>
      <c r="B1401" s="37">
        <v>55.0</v>
      </c>
      <c r="C1401" s="37">
        <v>66.36529</v>
      </c>
      <c r="D1401" s="37">
        <v>11.36529</v>
      </c>
    </row>
    <row r="1402" ht="14.25" customHeight="1">
      <c r="A1402" s="4" t="s">
        <v>1104</v>
      </c>
      <c r="B1402" s="37">
        <v>80.0</v>
      </c>
      <c r="C1402" s="37">
        <v>91.188905</v>
      </c>
      <c r="D1402" s="37">
        <v>11.188905</v>
      </c>
    </row>
    <row r="1403" ht="14.25" customHeight="1">
      <c r="A1403" s="4" t="s">
        <v>4928</v>
      </c>
      <c r="B1403" s="37">
        <v>15.0</v>
      </c>
      <c r="C1403" s="37">
        <v>26.161406</v>
      </c>
      <c r="D1403" s="37">
        <v>11.161406</v>
      </c>
    </row>
    <row r="1404" ht="14.25" customHeight="1">
      <c r="A1404" s="4" t="s">
        <v>4226</v>
      </c>
      <c r="B1404" s="37">
        <v>20.0</v>
      </c>
      <c r="C1404" s="37">
        <v>31.14657</v>
      </c>
      <c r="D1404" s="37">
        <v>11.14657</v>
      </c>
    </row>
    <row r="1405" ht="14.25" customHeight="1">
      <c r="A1405" s="4" t="s">
        <v>3318</v>
      </c>
      <c r="B1405" s="37">
        <v>27.0</v>
      </c>
      <c r="C1405" s="37">
        <v>38.122105</v>
      </c>
      <c r="D1405" s="37">
        <v>11.122105</v>
      </c>
    </row>
    <row r="1406" ht="14.25" customHeight="1">
      <c r="A1406" s="4" t="s">
        <v>1666</v>
      </c>
      <c r="B1406" s="37">
        <v>50.0</v>
      </c>
      <c r="C1406" s="37">
        <v>61.112916</v>
      </c>
      <c r="D1406" s="37">
        <v>11.112916</v>
      </c>
    </row>
    <row r="1407" ht="14.25" customHeight="1">
      <c r="A1407" s="4" t="s">
        <v>3155</v>
      </c>
      <c r="B1407" s="37">
        <v>32.0</v>
      </c>
      <c r="C1407" s="37">
        <v>43.0956</v>
      </c>
      <c r="D1407" s="37">
        <v>11.0956</v>
      </c>
    </row>
    <row r="1408" ht="14.25" customHeight="1">
      <c r="A1408" s="4" t="s">
        <v>91</v>
      </c>
      <c r="B1408" s="37">
        <v>207.0</v>
      </c>
      <c r="C1408" s="37">
        <v>218.05126</v>
      </c>
      <c r="D1408" s="37">
        <v>11.05126</v>
      </c>
    </row>
    <row r="1409" ht="14.25" customHeight="1">
      <c r="A1409" s="4" t="s">
        <v>91</v>
      </c>
      <c r="B1409" s="37">
        <v>207.0</v>
      </c>
      <c r="C1409" s="37">
        <v>218.05126</v>
      </c>
      <c r="D1409" s="37">
        <v>11.05126</v>
      </c>
    </row>
    <row r="1410" ht="14.25" customHeight="1">
      <c r="A1410" s="4" t="s">
        <v>91</v>
      </c>
      <c r="B1410" s="37">
        <v>207.0</v>
      </c>
      <c r="C1410" s="37">
        <v>218.05126</v>
      </c>
      <c r="D1410" s="37">
        <v>11.05126</v>
      </c>
    </row>
    <row r="1411" ht="14.25" customHeight="1">
      <c r="A1411" s="4" t="s">
        <v>5860</v>
      </c>
      <c r="B1411" s="37">
        <v>9.0</v>
      </c>
      <c r="C1411" s="37">
        <v>20.03531</v>
      </c>
      <c r="D1411" s="37">
        <v>11.03531</v>
      </c>
    </row>
    <row r="1412" ht="14.25" customHeight="1">
      <c r="A1412" s="4" t="s">
        <v>5541</v>
      </c>
      <c r="B1412" s="37">
        <v>5.0</v>
      </c>
      <c r="C1412" s="37">
        <v>16.017403</v>
      </c>
      <c r="D1412" s="37">
        <v>11.017403</v>
      </c>
    </row>
    <row r="1413" ht="14.25" customHeight="1">
      <c r="A1413" s="4" t="s">
        <v>2834</v>
      </c>
      <c r="B1413" s="37">
        <v>37.0</v>
      </c>
      <c r="C1413" s="37">
        <v>48.006503</v>
      </c>
      <c r="D1413" s="37">
        <v>11.006503</v>
      </c>
    </row>
    <row r="1414" ht="14.25" customHeight="1">
      <c r="A1414" s="4" t="s">
        <v>3626</v>
      </c>
      <c r="B1414" s="37">
        <v>26.0</v>
      </c>
      <c r="C1414" s="37">
        <v>36.985501</v>
      </c>
      <c r="D1414" s="37">
        <v>10.985501</v>
      </c>
    </row>
    <row r="1415" ht="14.25" customHeight="1">
      <c r="A1415" s="4" t="s">
        <v>7109</v>
      </c>
      <c r="B1415" s="37">
        <v>1.8</v>
      </c>
      <c r="C1415" s="37">
        <v>12.784397</v>
      </c>
      <c r="D1415" s="37">
        <v>10.984397</v>
      </c>
    </row>
    <row r="1416" ht="14.25" customHeight="1">
      <c r="A1416" s="4" t="s">
        <v>5376</v>
      </c>
      <c r="B1416" s="37">
        <v>12.0</v>
      </c>
      <c r="C1416" s="37">
        <v>22.905674</v>
      </c>
      <c r="D1416" s="37">
        <v>10.905674</v>
      </c>
    </row>
    <row r="1417" ht="14.25" customHeight="1">
      <c r="A1417" s="4" t="s">
        <v>2572</v>
      </c>
      <c r="B1417" s="37">
        <v>40.0</v>
      </c>
      <c r="C1417" s="37">
        <v>50.859889</v>
      </c>
      <c r="D1417" s="37">
        <v>10.859889</v>
      </c>
    </row>
    <row r="1418" ht="14.25" customHeight="1">
      <c r="A1418" s="4" t="s">
        <v>4677</v>
      </c>
      <c r="B1418" s="37">
        <v>17.0</v>
      </c>
      <c r="C1418" s="37">
        <v>27.854896</v>
      </c>
      <c r="D1418" s="37">
        <v>10.854896</v>
      </c>
    </row>
    <row r="1419" ht="14.25" customHeight="1">
      <c r="A1419" s="4" t="s">
        <v>933</v>
      </c>
      <c r="B1419" s="37">
        <v>90.0</v>
      </c>
      <c r="C1419" s="37">
        <v>100.853835</v>
      </c>
      <c r="D1419" s="37">
        <v>10.853835</v>
      </c>
    </row>
    <row r="1420" ht="14.25" customHeight="1">
      <c r="A1420" s="4" t="s">
        <v>2937</v>
      </c>
      <c r="B1420" s="37">
        <v>35.0</v>
      </c>
      <c r="C1420" s="37">
        <v>45.802315</v>
      </c>
      <c r="D1420" s="37">
        <v>10.802315</v>
      </c>
    </row>
    <row r="1421" ht="14.25" customHeight="1">
      <c r="A1421" s="4" t="s">
        <v>7151</v>
      </c>
      <c r="B1421" s="37">
        <v>1.1</v>
      </c>
      <c r="C1421" s="37">
        <v>11.806119</v>
      </c>
      <c r="D1421" s="37">
        <v>10.706119</v>
      </c>
    </row>
    <row r="1422" ht="14.25" customHeight="1">
      <c r="A1422" s="4" t="s">
        <v>6980</v>
      </c>
      <c r="B1422" s="37">
        <v>2.3</v>
      </c>
      <c r="C1422" s="37">
        <v>12.985267</v>
      </c>
      <c r="D1422" s="37">
        <v>10.685267</v>
      </c>
    </row>
    <row r="1423" ht="14.25" customHeight="1">
      <c r="A1423" s="4" t="s">
        <v>5670</v>
      </c>
      <c r="B1423" s="37">
        <v>3.0</v>
      </c>
      <c r="C1423" s="37">
        <v>13.684949</v>
      </c>
      <c r="D1423" s="37">
        <v>10.684949</v>
      </c>
    </row>
    <row r="1424" ht="14.25" customHeight="1">
      <c r="A1424" s="4" t="s">
        <v>3572</v>
      </c>
      <c r="B1424" s="37">
        <v>30.0</v>
      </c>
      <c r="C1424" s="37">
        <v>40.566655</v>
      </c>
      <c r="D1424" s="37">
        <v>10.566655</v>
      </c>
    </row>
    <row r="1425" ht="14.25" customHeight="1">
      <c r="A1425" s="4" t="s">
        <v>7008</v>
      </c>
      <c r="B1425" s="37">
        <v>2.0</v>
      </c>
      <c r="C1425" s="37">
        <v>12.55523</v>
      </c>
      <c r="D1425" s="37">
        <v>10.55523</v>
      </c>
    </row>
    <row r="1426" ht="14.25" customHeight="1">
      <c r="A1426" s="4" t="s">
        <v>6722</v>
      </c>
      <c r="B1426" s="37">
        <v>3.5</v>
      </c>
      <c r="C1426" s="37">
        <v>14.0</v>
      </c>
      <c r="D1426" s="37">
        <v>10.5</v>
      </c>
    </row>
    <row r="1427" ht="14.25" customHeight="1">
      <c r="A1427" s="4" t="s">
        <v>6944</v>
      </c>
      <c r="B1427" s="37">
        <v>2.5</v>
      </c>
      <c r="C1427" s="37">
        <v>12.995673</v>
      </c>
      <c r="D1427" s="37">
        <v>10.495673</v>
      </c>
    </row>
    <row r="1428" ht="14.25" customHeight="1">
      <c r="A1428" s="4" t="s">
        <v>6102</v>
      </c>
      <c r="B1428" s="37">
        <v>7.0</v>
      </c>
      <c r="C1428" s="37">
        <v>17.474107</v>
      </c>
      <c r="D1428" s="37">
        <v>10.474107</v>
      </c>
    </row>
    <row r="1429" ht="14.25" customHeight="1">
      <c r="A1429" s="4" t="s">
        <v>2074</v>
      </c>
      <c r="B1429" s="37">
        <v>50.0</v>
      </c>
      <c r="C1429" s="37">
        <v>60.47022</v>
      </c>
      <c r="D1429" s="37">
        <v>10.47022</v>
      </c>
    </row>
    <row r="1430" ht="14.25" customHeight="1">
      <c r="A1430" s="4" t="s">
        <v>1107</v>
      </c>
      <c r="B1430" s="37">
        <v>80.0</v>
      </c>
      <c r="C1430" s="37">
        <v>90.443603</v>
      </c>
      <c r="D1430" s="37">
        <v>10.443603</v>
      </c>
    </row>
    <row r="1431" ht="14.25" customHeight="1">
      <c r="A1431" s="4" t="s">
        <v>5220</v>
      </c>
      <c r="B1431" s="37">
        <v>15.0</v>
      </c>
      <c r="C1431" s="37">
        <v>25.440971</v>
      </c>
      <c r="D1431" s="37">
        <v>10.440971</v>
      </c>
    </row>
    <row r="1432" ht="14.25" customHeight="1">
      <c r="A1432" s="4" t="s">
        <v>3554</v>
      </c>
      <c r="B1432" s="37">
        <v>16.0</v>
      </c>
      <c r="C1432" s="37">
        <v>26.4</v>
      </c>
      <c r="D1432" s="37">
        <v>10.4</v>
      </c>
    </row>
    <row r="1433" ht="14.25" customHeight="1">
      <c r="A1433" s="4" t="s">
        <v>4774</v>
      </c>
      <c r="B1433" s="37">
        <v>16.5</v>
      </c>
      <c r="C1433" s="37">
        <v>26.896744</v>
      </c>
      <c r="D1433" s="37">
        <v>10.396744</v>
      </c>
    </row>
    <row r="1434" ht="14.25" customHeight="1">
      <c r="A1434" s="4" t="s">
        <v>5639</v>
      </c>
      <c r="B1434" s="37">
        <v>10.0</v>
      </c>
      <c r="C1434" s="37">
        <v>20.384136</v>
      </c>
      <c r="D1434" s="37">
        <v>10.384136</v>
      </c>
    </row>
    <row r="1435" ht="14.25" customHeight="1">
      <c r="A1435" s="4" t="s">
        <v>3511</v>
      </c>
      <c r="B1435" s="37">
        <v>28.0</v>
      </c>
      <c r="C1435" s="37">
        <v>38.372662</v>
      </c>
      <c r="D1435" s="37">
        <v>10.372662</v>
      </c>
    </row>
    <row r="1436" ht="14.25" customHeight="1">
      <c r="A1436" s="4" t="s">
        <v>6197</v>
      </c>
      <c r="B1436" s="37">
        <v>6.5</v>
      </c>
      <c r="C1436" s="37">
        <v>16.842303</v>
      </c>
      <c r="D1436" s="37">
        <v>10.342303</v>
      </c>
    </row>
    <row r="1437" ht="14.25" customHeight="1">
      <c r="A1437" s="4" t="s">
        <v>5665</v>
      </c>
      <c r="B1437" s="37">
        <v>10.0</v>
      </c>
      <c r="C1437" s="37">
        <v>20.339754</v>
      </c>
      <c r="D1437" s="37">
        <v>10.339754</v>
      </c>
    </row>
    <row r="1438" ht="14.25" customHeight="1">
      <c r="A1438" s="4" t="s">
        <v>5642</v>
      </c>
      <c r="B1438" s="37">
        <v>10.0</v>
      </c>
      <c r="C1438" s="37">
        <v>20.338609</v>
      </c>
      <c r="D1438" s="37">
        <v>10.338609</v>
      </c>
    </row>
    <row r="1439" ht="14.25" customHeight="1">
      <c r="A1439" s="4" t="s">
        <v>429</v>
      </c>
      <c r="B1439" s="37">
        <v>100.0</v>
      </c>
      <c r="C1439" s="37">
        <v>110.332737</v>
      </c>
      <c r="D1439" s="37">
        <v>10.332737</v>
      </c>
    </row>
    <row r="1440" ht="14.25" customHeight="1">
      <c r="A1440" s="4" t="s">
        <v>5409</v>
      </c>
      <c r="B1440" s="37">
        <v>12.0</v>
      </c>
      <c r="C1440" s="37">
        <v>22.331028</v>
      </c>
      <c r="D1440" s="37">
        <v>10.331028</v>
      </c>
    </row>
    <row r="1441" ht="14.25" customHeight="1">
      <c r="A1441" s="4" t="s">
        <v>519</v>
      </c>
      <c r="B1441" s="37">
        <v>127.5</v>
      </c>
      <c r="C1441" s="37">
        <v>137.748063</v>
      </c>
      <c r="D1441" s="37">
        <v>10.248063</v>
      </c>
    </row>
    <row r="1442" ht="14.25" customHeight="1">
      <c r="A1442" s="4" t="s">
        <v>3322</v>
      </c>
      <c r="B1442" s="37">
        <v>30.0</v>
      </c>
      <c r="C1442" s="37">
        <v>40.247512</v>
      </c>
      <c r="D1442" s="37">
        <v>10.247512</v>
      </c>
    </row>
    <row r="1443" ht="14.25" customHeight="1">
      <c r="A1443" s="4" t="s">
        <v>7745</v>
      </c>
      <c r="B1443" s="37">
        <v>0.025</v>
      </c>
      <c r="C1443" s="37">
        <v>10.2466</v>
      </c>
      <c r="D1443" s="37">
        <v>10.2216</v>
      </c>
    </row>
    <row r="1444" ht="14.25" customHeight="1">
      <c r="A1444" s="4" t="s">
        <v>4695</v>
      </c>
      <c r="B1444" s="37">
        <v>17.0</v>
      </c>
      <c r="C1444" s="37">
        <v>27.154426</v>
      </c>
      <c r="D1444" s="37">
        <v>10.154426</v>
      </c>
    </row>
    <row r="1445" ht="14.25" customHeight="1">
      <c r="A1445" s="4" t="s">
        <v>6621</v>
      </c>
      <c r="B1445" s="37">
        <v>5.0</v>
      </c>
      <c r="C1445" s="37">
        <v>15.152879</v>
      </c>
      <c r="D1445" s="37">
        <v>10.152879</v>
      </c>
    </row>
    <row r="1446" ht="14.25" customHeight="1">
      <c r="A1446" s="4" t="s">
        <v>6443</v>
      </c>
      <c r="B1446" s="37">
        <v>5.0</v>
      </c>
      <c r="C1446" s="37">
        <v>15.126948</v>
      </c>
      <c r="D1446" s="37">
        <v>10.126948</v>
      </c>
    </row>
    <row r="1447" ht="14.25" customHeight="1">
      <c r="A1447" s="4" t="s">
        <v>3306</v>
      </c>
      <c r="B1447" s="37">
        <v>30.0</v>
      </c>
      <c r="C1447" s="37">
        <v>40.11842</v>
      </c>
      <c r="D1447" s="37">
        <v>10.11842</v>
      </c>
    </row>
    <row r="1448" ht="14.25" customHeight="1">
      <c r="A1448" s="4" t="s">
        <v>1590</v>
      </c>
      <c r="B1448" s="37">
        <v>44.0</v>
      </c>
      <c r="C1448" s="37">
        <v>54.116191</v>
      </c>
      <c r="D1448" s="37">
        <v>10.116191</v>
      </c>
    </row>
    <row r="1449" ht="14.25" customHeight="1">
      <c r="A1449" s="4" t="s">
        <v>5956</v>
      </c>
      <c r="B1449" s="37">
        <v>8.0</v>
      </c>
      <c r="C1449" s="37">
        <v>18.090181</v>
      </c>
      <c r="D1449" s="37">
        <v>10.090181</v>
      </c>
    </row>
    <row r="1450" ht="14.25" customHeight="1">
      <c r="A1450" s="4" t="s">
        <v>7721</v>
      </c>
      <c r="B1450" s="37">
        <v>0.1</v>
      </c>
      <c r="C1450" s="37">
        <v>10.174663</v>
      </c>
      <c r="D1450" s="37">
        <v>10.074663</v>
      </c>
    </row>
    <row r="1451" ht="14.25" customHeight="1">
      <c r="A1451" s="4" t="s">
        <v>4232</v>
      </c>
      <c r="B1451" s="37">
        <v>20.0</v>
      </c>
      <c r="C1451" s="37">
        <v>30.028592</v>
      </c>
      <c r="D1451" s="37">
        <v>10.028592</v>
      </c>
    </row>
    <row r="1452" ht="14.25" customHeight="1">
      <c r="A1452" s="4" t="s">
        <v>924</v>
      </c>
      <c r="B1452" s="37">
        <v>90.0</v>
      </c>
      <c r="C1452" s="37">
        <v>100.018837</v>
      </c>
      <c r="D1452" s="37">
        <v>10.018837</v>
      </c>
    </row>
    <row r="1453" ht="14.25" customHeight="1">
      <c r="A1453" s="4" t="s">
        <v>911</v>
      </c>
      <c r="B1453" s="37">
        <v>90.0</v>
      </c>
      <c r="C1453" s="37">
        <v>100.0125</v>
      </c>
      <c r="D1453" s="37">
        <v>10.0125</v>
      </c>
    </row>
    <row r="1454" ht="14.25" customHeight="1">
      <c r="A1454" s="4" t="s">
        <v>3749</v>
      </c>
      <c r="B1454" s="37">
        <v>25.0</v>
      </c>
      <c r="C1454" s="37">
        <v>35.000629</v>
      </c>
      <c r="D1454" s="37">
        <v>10.000629</v>
      </c>
    </row>
    <row r="1455" ht="14.25" customHeight="1">
      <c r="A1455" s="4" t="s">
        <v>4952</v>
      </c>
      <c r="B1455" s="37">
        <v>15.0</v>
      </c>
      <c r="C1455" s="37">
        <v>24.984868</v>
      </c>
      <c r="D1455" s="37">
        <v>9.984868</v>
      </c>
    </row>
    <row r="1456" ht="14.25" customHeight="1">
      <c r="A1456" s="4" t="s">
        <v>4243</v>
      </c>
      <c r="B1456" s="37">
        <v>20.0</v>
      </c>
      <c r="C1456" s="37">
        <v>29.975979</v>
      </c>
      <c r="D1456" s="37">
        <v>9.975979</v>
      </c>
    </row>
    <row r="1457" ht="14.25" customHeight="1">
      <c r="A1457" s="4" t="s">
        <v>6100</v>
      </c>
      <c r="B1457" s="37">
        <v>7.0</v>
      </c>
      <c r="C1457" s="37">
        <v>16.901126</v>
      </c>
      <c r="D1457" s="37">
        <v>9.901126</v>
      </c>
    </row>
    <row r="1458" ht="14.25" customHeight="1">
      <c r="A1458" s="4" t="s">
        <v>4924</v>
      </c>
      <c r="B1458" s="37">
        <v>15.0</v>
      </c>
      <c r="C1458" s="37">
        <v>24.881</v>
      </c>
      <c r="D1458" s="37">
        <v>9.881</v>
      </c>
    </row>
    <row r="1459" ht="14.25" customHeight="1">
      <c r="A1459" s="4" t="s">
        <v>5221</v>
      </c>
      <c r="B1459" s="37">
        <v>13.0</v>
      </c>
      <c r="C1459" s="37">
        <v>22.858926</v>
      </c>
      <c r="D1459" s="37">
        <v>9.858926</v>
      </c>
    </row>
    <row r="1460" ht="14.25" customHeight="1">
      <c r="A1460" s="4" t="s">
        <v>2580</v>
      </c>
      <c r="B1460" s="37">
        <v>40.0</v>
      </c>
      <c r="C1460" s="37">
        <v>49.851591</v>
      </c>
      <c r="D1460" s="37">
        <v>9.851591</v>
      </c>
    </row>
    <row r="1461" ht="14.25" customHeight="1">
      <c r="A1461" s="4" t="s">
        <v>5958</v>
      </c>
      <c r="B1461" s="37">
        <v>8.0</v>
      </c>
      <c r="C1461" s="37">
        <v>17.843379</v>
      </c>
      <c r="D1461" s="37">
        <v>9.843379</v>
      </c>
    </row>
    <row r="1462" ht="14.25" customHeight="1">
      <c r="A1462" s="4" t="s">
        <v>6766</v>
      </c>
      <c r="B1462" s="37">
        <v>3.3</v>
      </c>
      <c r="C1462" s="37">
        <v>13.092</v>
      </c>
      <c r="D1462" s="37">
        <v>9.792</v>
      </c>
    </row>
    <row r="1463" ht="14.25" customHeight="1">
      <c r="A1463" s="4" t="s">
        <v>5380</v>
      </c>
      <c r="B1463" s="37">
        <v>9.0</v>
      </c>
      <c r="C1463" s="37">
        <v>18.761993</v>
      </c>
      <c r="D1463" s="37">
        <v>9.761993</v>
      </c>
    </row>
    <row r="1464" ht="14.25" customHeight="1">
      <c r="A1464" s="4" t="s">
        <v>4225</v>
      </c>
      <c r="B1464" s="37">
        <v>20.0</v>
      </c>
      <c r="C1464" s="37">
        <v>29.753944</v>
      </c>
      <c r="D1464" s="37">
        <v>9.753944</v>
      </c>
    </row>
    <row r="1465" ht="14.25" customHeight="1">
      <c r="A1465" s="4" t="s">
        <v>1511</v>
      </c>
      <c r="B1465" s="37">
        <v>60.0</v>
      </c>
      <c r="C1465" s="37">
        <v>69.688384</v>
      </c>
      <c r="D1465" s="37">
        <v>9.688384</v>
      </c>
    </row>
    <row r="1466" ht="14.25" customHeight="1">
      <c r="A1466" s="4" t="s">
        <v>1977</v>
      </c>
      <c r="B1466" s="37">
        <v>53.0</v>
      </c>
      <c r="C1466" s="37">
        <v>62.563543</v>
      </c>
      <c r="D1466" s="37">
        <v>9.563543</v>
      </c>
    </row>
    <row r="1467" ht="14.25" customHeight="1">
      <c r="A1467" s="4" t="s">
        <v>7003</v>
      </c>
      <c r="B1467" s="37">
        <v>2.0</v>
      </c>
      <c r="C1467" s="37">
        <v>11.546543</v>
      </c>
      <c r="D1467" s="37">
        <v>9.546543</v>
      </c>
    </row>
    <row r="1468" ht="14.25" customHeight="1">
      <c r="A1468" s="4" t="s">
        <v>5969</v>
      </c>
      <c r="B1468" s="37">
        <v>8.0</v>
      </c>
      <c r="C1468" s="37">
        <v>17.536788</v>
      </c>
      <c r="D1468" s="37">
        <v>9.536788</v>
      </c>
    </row>
    <row r="1469" ht="14.25" customHeight="1">
      <c r="A1469" s="4" t="s">
        <v>7005</v>
      </c>
      <c r="B1469" s="37">
        <v>2.0</v>
      </c>
      <c r="C1469" s="37">
        <v>11.533945</v>
      </c>
      <c r="D1469" s="37">
        <v>9.533945</v>
      </c>
    </row>
    <row r="1470" ht="14.25" customHeight="1">
      <c r="A1470" s="4" t="s">
        <v>6447</v>
      </c>
      <c r="B1470" s="37">
        <v>4.0</v>
      </c>
      <c r="C1470" s="37">
        <v>13.464388</v>
      </c>
      <c r="D1470" s="37">
        <v>9.464388</v>
      </c>
    </row>
    <row r="1471" ht="14.25" customHeight="1">
      <c r="A1471" s="4" t="s">
        <v>3823</v>
      </c>
      <c r="B1471" s="37">
        <v>8.0</v>
      </c>
      <c r="C1471" s="37">
        <v>17.427926</v>
      </c>
      <c r="D1471" s="37">
        <v>9.427926</v>
      </c>
    </row>
    <row r="1472" ht="14.25" customHeight="1">
      <c r="A1472" s="4" t="s">
        <v>20</v>
      </c>
      <c r="B1472" s="37">
        <v>300.0</v>
      </c>
      <c r="C1472" s="37">
        <v>309.404152</v>
      </c>
      <c r="D1472" s="37">
        <v>9.404152</v>
      </c>
      <c r="F1472" s="38">
        <f>CORREL(B:B,C:C)</f>
        <v>0.1008235306</v>
      </c>
    </row>
    <row r="1473" ht="14.25" customHeight="1">
      <c r="A1473" s="4" t="s">
        <v>4766</v>
      </c>
      <c r="B1473" s="37">
        <v>17.7</v>
      </c>
      <c r="C1473" s="37">
        <v>27.087695</v>
      </c>
      <c r="D1473" s="37">
        <v>9.387695</v>
      </c>
    </row>
    <row r="1474" ht="14.25" customHeight="1">
      <c r="A1474" s="4" t="s">
        <v>5510</v>
      </c>
      <c r="B1474" s="37">
        <v>12.0</v>
      </c>
      <c r="C1474" s="37">
        <v>21.370057</v>
      </c>
      <c r="D1474" s="37">
        <v>9.370057</v>
      </c>
    </row>
    <row r="1475" ht="14.25" customHeight="1">
      <c r="A1475" s="4" t="s">
        <v>6438</v>
      </c>
      <c r="B1475" s="37">
        <v>5.0</v>
      </c>
      <c r="C1475" s="37">
        <v>14.343976</v>
      </c>
      <c r="D1475" s="37">
        <v>9.343976</v>
      </c>
    </row>
    <row r="1476" ht="14.25" customHeight="1">
      <c r="A1476" s="4" t="s">
        <v>2395</v>
      </c>
      <c r="B1476" s="37">
        <v>44.0</v>
      </c>
      <c r="C1476" s="37">
        <v>53.300852</v>
      </c>
      <c r="D1476" s="37">
        <v>9.300852</v>
      </c>
    </row>
    <row r="1477" ht="14.25" customHeight="1">
      <c r="A1477" s="4" t="s">
        <v>4203</v>
      </c>
      <c r="B1477" s="37">
        <v>25.0</v>
      </c>
      <c r="C1477" s="37">
        <v>34.300771</v>
      </c>
      <c r="D1477" s="37">
        <v>9.300771</v>
      </c>
    </row>
    <row r="1478" ht="14.25" customHeight="1">
      <c r="A1478" s="4" t="s">
        <v>7009</v>
      </c>
      <c r="B1478" s="37">
        <v>2.0</v>
      </c>
      <c r="C1478" s="37">
        <v>11.284657</v>
      </c>
      <c r="D1478" s="37">
        <v>9.284657</v>
      </c>
    </row>
    <row r="1479" ht="14.25" customHeight="1">
      <c r="A1479" s="4" t="s">
        <v>4571</v>
      </c>
      <c r="B1479" s="37">
        <v>17.0</v>
      </c>
      <c r="C1479" s="37">
        <v>26.284475</v>
      </c>
      <c r="D1479" s="37">
        <v>9.284475</v>
      </c>
    </row>
    <row r="1480" ht="14.25" customHeight="1">
      <c r="A1480" s="4" t="s">
        <v>5959</v>
      </c>
      <c r="B1480" s="37">
        <v>8.0</v>
      </c>
      <c r="C1480" s="37">
        <v>17.27898</v>
      </c>
      <c r="D1480" s="37">
        <v>9.27898</v>
      </c>
    </row>
    <row r="1481" ht="14.25" customHeight="1">
      <c r="A1481" s="4" t="s">
        <v>7703</v>
      </c>
      <c r="B1481" s="37">
        <v>0.18</v>
      </c>
      <c r="C1481" s="37">
        <v>9.437933</v>
      </c>
      <c r="D1481" s="37">
        <v>9.257933</v>
      </c>
    </row>
    <row r="1482" ht="14.25" customHeight="1">
      <c r="A1482" s="4" t="s">
        <v>5861</v>
      </c>
      <c r="B1482" s="37">
        <v>9.0</v>
      </c>
      <c r="C1482" s="37">
        <v>18.225165</v>
      </c>
      <c r="D1482" s="37">
        <v>9.225165</v>
      </c>
    </row>
    <row r="1483" ht="14.25" customHeight="1">
      <c r="A1483" s="4" t="s">
        <v>5207</v>
      </c>
      <c r="B1483" s="37">
        <v>18.0</v>
      </c>
      <c r="C1483" s="37">
        <v>27.141959</v>
      </c>
      <c r="D1483" s="37">
        <v>9.141959</v>
      </c>
    </row>
    <row r="1484" ht="14.25" customHeight="1">
      <c r="A1484" s="4" t="s">
        <v>5378</v>
      </c>
      <c r="B1484" s="37">
        <v>12.0</v>
      </c>
      <c r="C1484" s="37">
        <v>21.133087</v>
      </c>
      <c r="D1484" s="37">
        <v>9.133087</v>
      </c>
    </row>
    <row r="1485" ht="14.25" customHeight="1">
      <c r="A1485" s="4" t="s">
        <v>6441</v>
      </c>
      <c r="B1485" s="37">
        <v>5.0</v>
      </c>
      <c r="C1485" s="37">
        <v>14.123773</v>
      </c>
      <c r="D1485" s="37">
        <v>9.123773</v>
      </c>
    </row>
    <row r="1486" ht="14.25" customHeight="1">
      <c r="A1486" s="4" t="s">
        <v>6455</v>
      </c>
      <c r="B1486" s="37">
        <v>5.0</v>
      </c>
      <c r="C1486" s="37">
        <v>14.1</v>
      </c>
      <c r="D1486" s="37">
        <v>9.1</v>
      </c>
    </row>
    <row r="1487" ht="14.25" customHeight="1">
      <c r="A1487" s="4" t="s">
        <v>3505</v>
      </c>
      <c r="B1487" s="37">
        <v>28.0</v>
      </c>
      <c r="C1487" s="37">
        <v>37.053924</v>
      </c>
      <c r="D1487" s="37">
        <v>9.053924</v>
      </c>
    </row>
    <row r="1488" ht="14.25" customHeight="1">
      <c r="A1488" s="4" t="s">
        <v>1463</v>
      </c>
      <c r="B1488" s="37">
        <v>36.0</v>
      </c>
      <c r="C1488" s="37">
        <v>45.045037</v>
      </c>
      <c r="D1488" s="37">
        <v>9.045037</v>
      </c>
    </row>
    <row r="1489" ht="14.25" customHeight="1">
      <c r="A1489" s="4" t="s">
        <v>7292</v>
      </c>
      <c r="B1489" s="37">
        <v>1.0</v>
      </c>
      <c r="C1489" s="37">
        <v>10.042266</v>
      </c>
      <c r="D1489" s="37">
        <v>9.042266</v>
      </c>
    </row>
    <row r="1490" ht="14.25" customHeight="1">
      <c r="A1490" s="4" t="s">
        <v>5964</v>
      </c>
      <c r="B1490" s="37">
        <v>5.0</v>
      </c>
      <c r="C1490" s="37">
        <v>14.015786</v>
      </c>
      <c r="D1490" s="37">
        <v>9.015786</v>
      </c>
    </row>
    <row r="1491" ht="14.25" customHeight="1">
      <c r="A1491" s="4" t="s">
        <v>6619</v>
      </c>
      <c r="B1491" s="37">
        <v>4.0</v>
      </c>
      <c r="C1491" s="37">
        <v>13.008928</v>
      </c>
      <c r="D1491" s="37">
        <v>9.008928</v>
      </c>
    </row>
    <row r="1492" ht="14.25" customHeight="1">
      <c r="A1492" s="4" t="s">
        <v>5864</v>
      </c>
      <c r="B1492" s="37">
        <v>8.0</v>
      </c>
      <c r="C1492" s="37">
        <v>16.938179</v>
      </c>
      <c r="D1492" s="37">
        <v>8.938179</v>
      </c>
    </row>
    <row r="1493" ht="14.25" customHeight="1">
      <c r="A1493" s="4" t="s">
        <v>4548</v>
      </c>
      <c r="B1493" s="37">
        <v>18.0</v>
      </c>
      <c r="C1493" s="37">
        <v>26.906039</v>
      </c>
      <c r="D1493" s="37">
        <v>8.906039</v>
      </c>
    </row>
    <row r="1494" ht="14.25" customHeight="1">
      <c r="A1494" s="4" t="s">
        <v>4263</v>
      </c>
      <c r="B1494" s="37">
        <v>20.0</v>
      </c>
      <c r="C1494" s="37">
        <v>28.876924</v>
      </c>
      <c r="D1494" s="37">
        <v>8.876924</v>
      </c>
    </row>
    <row r="1495" ht="14.25" customHeight="1">
      <c r="A1495" s="4" t="s">
        <v>2314</v>
      </c>
      <c r="B1495" s="37">
        <v>45.0</v>
      </c>
      <c r="C1495" s="37">
        <v>53.854588</v>
      </c>
      <c r="D1495" s="37">
        <v>8.854588</v>
      </c>
    </row>
    <row r="1496" ht="14.25" customHeight="1">
      <c r="A1496" s="4" t="s">
        <v>3420</v>
      </c>
      <c r="B1496" s="37">
        <v>18.0</v>
      </c>
      <c r="C1496" s="37">
        <v>26.83</v>
      </c>
      <c r="D1496" s="37">
        <v>8.83</v>
      </c>
    </row>
    <row r="1497" ht="14.25" customHeight="1">
      <c r="A1497" s="4" t="s">
        <v>3420</v>
      </c>
      <c r="B1497" s="37">
        <v>18.0</v>
      </c>
      <c r="C1497" s="37">
        <v>26.83</v>
      </c>
      <c r="D1497" s="37">
        <v>8.83</v>
      </c>
    </row>
    <row r="1498" ht="14.25" customHeight="1">
      <c r="A1498" s="4" t="s">
        <v>6432</v>
      </c>
      <c r="B1498" s="37">
        <v>6.0</v>
      </c>
      <c r="C1498" s="37">
        <v>14.821531</v>
      </c>
      <c r="D1498" s="37">
        <v>8.821531</v>
      </c>
    </row>
    <row r="1499" ht="14.25" customHeight="1">
      <c r="A1499" s="4" t="s">
        <v>6096</v>
      </c>
      <c r="B1499" s="37">
        <v>7.0</v>
      </c>
      <c r="C1499" s="37">
        <v>15.818967</v>
      </c>
      <c r="D1499" s="37">
        <v>8.818967</v>
      </c>
    </row>
    <row r="1500" ht="14.25" customHeight="1">
      <c r="A1500" s="4" t="s">
        <v>2842</v>
      </c>
      <c r="B1500" s="37">
        <v>38.0</v>
      </c>
      <c r="C1500" s="37">
        <v>46.813366</v>
      </c>
      <c r="D1500" s="37">
        <v>8.813366</v>
      </c>
    </row>
    <row r="1501" ht="14.25" customHeight="1">
      <c r="A1501" s="4" t="s">
        <v>2938</v>
      </c>
      <c r="B1501" s="37">
        <v>35.0</v>
      </c>
      <c r="C1501" s="37">
        <v>43.792641</v>
      </c>
      <c r="D1501" s="37">
        <v>8.792641</v>
      </c>
    </row>
    <row r="1502" ht="14.25" customHeight="1">
      <c r="A1502" s="4" t="s">
        <v>2410</v>
      </c>
      <c r="B1502" s="37">
        <v>43.0</v>
      </c>
      <c r="C1502" s="37">
        <v>51.768623</v>
      </c>
      <c r="D1502" s="37">
        <v>8.768623</v>
      </c>
    </row>
    <row r="1503" ht="14.25" customHeight="1">
      <c r="A1503" s="4" t="s">
        <v>4466</v>
      </c>
      <c r="B1503" s="37">
        <v>19.0</v>
      </c>
      <c r="C1503" s="37">
        <v>27.758465</v>
      </c>
      <c r="D1503" s="37">
        <v>8.758465</v>
      </c>
    </row>
    <row r="1504" ht="14.25" customHeight="1">
      <c r="A1504" s="4" t="s">
        <v>5961</v>
      </c>
      <c r="B1504" s="37">
        <v>8.0</v>
      </c>
      <c r="C1504" s="37">
        <v>16.699684</v>
      </c>
      <c r="D1504" s="37">
        <v>8.699684</v>
      </c>
    </row>
    <row r="1505" ht="14.25" customHeight="1">
      <c r="A1505" s="4" t="s">
        <v>6812</v>
      </c>
      <c r="B1505" s="37">
        <v>3.0</v>
      </c>
      <c r="C1505" s="37">
        <v>11.694528</v>
      </c>
      <c r="D1505" s="37">
        <v>8.694528</v>
      </c>
    </row>
    <row r="1506" ht="14.25" customHeight="1">
      <c r="A1506" s="4" t="s">
        <v>7384</v>
      </c>
      <c r="B1506" s="37">
        <v>0.91</v>
      </c>
      <c r="C1506" s="37">
        <v>9.6</v>
      </c>
      <c r="D1506" s="37">
        <v>8.69</v>
      </c>
    </row>
    <row r="1507" ht="14.25" customHeight="1">
      <c r="A1507" s="4" t="s">
        <v>3923</v>
      </c>
      <c r="B1507" s="37">
        <v>24.0</v>
      </c>
      <c r="C1507" s="37">
        <v>32.662299</v>
      </c>
      <c r="D1507" s="37">
        <v>8.662299</v>
      </c>
    </row>
    <row r="1508" ht="14.25" customHeight="1">
      <c r="A1508" s="4" t="s">
        <v>6271</v>
      </c>
      <c r="B1508" s="37">
        <v>3.0</v>
      </c>
      <c r="C1508" s="37">
        <v>11.642254</v>
      </c>
      <c r="D1508" s="37">
        <v>8.642254</v>
      </c>
    </row>
    <row r="1509" ht="14.25" customHeight="1">
      <c r="A1509" s="4" t="s">
        <v>3782</v>
      </c>
      <c r="B1509" s="37">
        <v>25.0</v>
      </c>
      <c r="C1509" s="37">
        <v>33.631221</v>
      </c>
      <c r="D1509" s="37">
        <v>8.631221</v>
      </c>
    </row>
    <row r="1510" ht="14.25" customHeight="1">
      <c r="A1510" s="4" t="s">
        <v>3782</v>
      </c>
      <c r="B1510" s="37">
        <v>25.0</v>
      </c>
      <c r="C1510" s="37">
        <v>33.631221</v>
      </c>
      <c r="D1510" s="37">
        <v>8.631221</v>
      </c>
    </row>
    <row r="1511" ht="14.25" customHeight="1">
      <c r="A1511" s="4" t="s">
        <v>2225</v>
      </c>
      <c r="B1511" s="37">
        <v>48.0</v>
      </c>
      <c r="C1511" s="37">
        <v>56.607223</v>
      </c>
      <c r="D1511" s="37">
        <v>8.607223</v>
      </c>
    </row>
    <row r="1512" ht="14.25" customHeight="1">
      <c r="A1512" s="4" t="s">
        <v>5287</v>
      </c>
      <c r="B1512" s="37">
        <v>12.5</v>
      </c>
      <c r="C1512" s="37">
        <v>21.078145</v>
      </c>
      <c r="D1512" s="37">
        <v>8.578145</v>
      </c>
    </row>
    <row r="1513" ht="14.25" customHeight="1">
      <c r="A1513" s="4" t="s">
        <v>1286</v>
      </c>
      <c r="B1513" s="37">
        <v>75.0</v>
      </c>
      <c r="C1513" s="37">
        <v>83.503161</v>
      </c>
      <c r="D1513" s="37">
        <v>8.503161</v>
      </c>
    </row>
    <row r="1514" ht="14.25" customHeight="1">
      <c r="A1514" s="4" t="s">
        <v>3333</v>
      </c>
      <c r="B1514" s="37">
        <v>30.0</v>
      </c>
      <c r="C1514" s="37">
        <v>38.432823</v>
      </c>
      <c r="D1514" s="37">
        <v>8.432823</v>
      </c>
    </row>
    <row r="1515" ht="14.25" customHeight="1">
      <c r="A1515" s="4" t="s">
        <v>3315</v>
      </c>
      <c r="B1515" s="37">
        <v>30.0</v>
      </c>
      <c r="C1515" s="37">
        <v>38.413606</v>
      </c>
      <c r="D1515" s="37">
        <v>8.413606</v>
      </c>
    </row>
    <row r="1516" ht="14.25" customHeight="1">
      <c r="A1516" s="4" t="s">
        <v>1886</v>
      </c>
      <c r="B1516" s="37">
        <v>55.0</v>
      </c>
      <c r="C1516" s="37">
        <v>63.408614</v>
      </c>
      <c r="D1516" s="37">
        <v>8.408614</v>
      </c>
    </row>
    <row r="1517" ht="14.25" customHeight="1">
      <c r="A1517" s="4" t="s">
        <v>4556</v>
      </c>
      <c r="B1517" s="37">
        <v>18.0</v>
      </c>
      <c r="C1517" s="37">
        <v>26.4</v>
      </c>
      <c r="D1517" s="37">
        <v>8.4</v>
      </c>
    </row>
    <row r="1518" ht="14.25" customHeight="1">
      <c r="A1518" s="4" t="s">
        <v>499</v>
      </c>
      <c r="B1518" s="37">
        <v>130.0</v>
      </c>
      <c r="C1518" s="37">
        <v>138.396624</v>
      </c>
      <c r="D1518" s="37">
        <v>8.396624</v>
      </c>
    </row>
    <row r="1519" ht="14.25" customHeight="1">
      <c r="A1519" s="4" t="s">
        <v>6450</v>
      </c>
      <c r="B1519" s="37">
        <v>5.0</v>
      </c>
      <c r="C1519" s="37">
        <v>13.350177</v>
      </c>
      <c r="D1519" s="37">
        <v>8.350177</v>
      </c>
    </row>
    <row r="1520" ht="14.25" customHeight="1">
      <c r="A1520" s="4" t="s">
        <v>2076</v>
      </c>
      <c r="B1520" s="37">
        <v>50.0</v>
      </c>
      <c r="C1520" s="37">
        <v>58.336565</v>
      </c>
      <c r="D1520" s="37">
        <v>8.336565</v>
      </c>
    </row>
    <row r="1521" ht="14.25" customHeight="1">
      <c r="A1521" s="4" t="s">
        <v>504</v>
      </c>
      <c r="B1521" s="37">
        <v>110.0</v>
      </c>
      <c r="C1521" s="37">
        <v>118.311368</v>
      </c>
      <c r="D1521" s="37">
        <v>8.311368</v>
      </c>
    </row>
    <row r="1522" ht="14.25" customHeight="1">
      <c r="A1522" s="4" t="s">
        <v>1972</v>
      </c>
      <c r="B1522" s="37">
        <v>50.0</v>
      </c>
      <c r="C1522" s="37">
        <v>58.29783</v>
      </c>
      <c r="D1522" s="37">
        <v>8.29783</v>
      </c>
    </row>
    <row r="1523" ht="14.25" customHeight="1">
      <c r="A1523" s="4" t="s">
        <v>5644</v>
      </c>
      <c r="B1523" s="37">
        <v>10.0</v>
      </c>
      <c r="C1523" s="37">
        <v>18.272447</v>
      </c>
      <c r="D1523" s="37">
        <v>8.272447</v>
      </c>
    </row>
    <row r="1524" ht="14.25" customHeight="1">
      <c r="A1524" s="4" t="s">
        <v>6451</v>
      </c>
      <c r="B1524" s="37">
        <v>5.0</v>
      </c>
      <c r="C1524" s="37">
        <v>13.269963</v>
      </c>
      <c r="D1524" s="37">
        <v>8.269963</v>
      </c>
    </row>
    <row r="1525" ht="14.25" customHeight="1">
      <c r="A1525" s="4" t="s">
        <v>3314</v>
      </c>
      <c r="B1525" s="37">
        <v>30.0</v>
      </c>
      <c r="C1525" s="37">
        <v>38.232624</v>
      </c>
      <c r="D1525" s="37">
        <v>8.232624</v>
      </c>
    </row>
    <row r="1526" ht="14.25" customHeight="1">
      <c r="A1526" s="4" t="s">
        <v>5671</v>
      </c>
      <c r="B1526" s="37">
        <v>6.4</v>
      </c>
      <c r="C1526" s="37">
        <v>14.597405</v>
      </c>
      <c r="D1526" s="37">
        <v>8.197405</v>
      </c>
    </row>
    <row r="1527" ht="14.25" customHeight="1">
      <c r="A1527" s="4" t="s">
        <v>2597</v>
      </c>
      <c r="B1527" s="37">
        <v>36.0</v>
      </c>
      <c r="C1527" s="37">
        <v>44.175394</v>
      </c>
      <c r="D1527" s="37">
        <v>8.175394</v>
      </c>
    </row>
    <row r="1528" ht="14.25" customHeight="1">
      <c r="A1528" s="4" t="s">
        <v>5997</v>
      </c>
      <c r="B1528" s="37">
        <v>8.0</v>
      </c>
      <c r="C1528" s="37">
        <v>16.168741</v>
      </c>
      <c r="D1528" s="37">
        <v>8.168741</v>
      </c>
    </row>
    <row r="1529" ht="14.25" customHeight="1">
      <c r="A1529" s="4" t="s">
        <v>7605</v>
      </c>
      <c r="B1529" s="37">
        <v>8.0</v>
      </c>
      <c r="C1529" s="37">
        <v>16.115878</v>
      </c>
      <c r="D1529" s="37">
        <v>8.115878</v>
      </c>
    </row>
    <row r="1530" ht="14.25" customHeight="1">
      <c r="A1530" s="4" t="s">
        <v>7302</v>
      </c>
      <c r="B1530" s="37">
        <v>0.9</v>
      </c>
      <c r="C1530" s="37">
        <v>9.0</v>
      </c>
      <c r="D1530" s="37">
        <v>8.1</v>
      </c>
    </row>
    <row r="1531" ht="14.25" customHeight="1">
      <c r="A1531" s="4" t="s">
        <v>5645</v>
      </c>
      <c r="B1531" s="37">
        <v>9.0</v>
      </c>
      <c r="C1531" s="37">
        <v>17.096053</v>
      </c>
      <c r="D1531" s="37">
        <v>8.096053</v>
      </c>
    </row>
    <row r="1532" ht="14.25" customHeight="1">
      <c r="A1532" s="4" t="s">
        <v>4925</v>
      </c>
      <c r="B1532" s="37">
        <v>15.0</v>
      </c>
      <c r="C1532" s="37">
        <v>23.089926</v>
      </c>
      <c r="D1532" s="37">
        <v>8.089926</v>
      </c>
    </row>
    <row r="1533" ht="14.25" customHeight="1">
      <c r="A1533" s="4" t="s">
        <v>5389</v>
      </c>
      <c r="B1533" s="37">
        <v>13.0</v>
      </c>
      <c r="C1533" s="37">
        <v>21.088568</v>
      </c>
      <c r="D1533" s="37">
        <v>8.088568</v>
      </c>
    </row>
    <row r="1534" ht="14.25" customHeight="1">
      <c r="A1534" s="4" t="s">
        <v>921</v>
      </c>
      <c r="B1534" s="37">
        <v>75.0</v>
      </c>
      <c r="C1534" s="37">
        <v>83.07747</v>
      </c>
      <c r="D1534" s="37">
        <v>8.07747</v>
      </c>
    </row>
    <row r="1535" ht="14.25" customHeight="1">
      <c r="A1535" s="4" t="s">
        <v>6037</v>
      </c>
      <c r="B1535" s="37">
        <v>4.5</v>
      </c>
      <c r="C1535" s="37">
        <v>12.574715</v>
      </c>
      <c r="D1535" s="37">
        <v>8.074715</v>
      </c>
    </row>
    <row r="1536" ht="14.25" customHeight="1">
      <c r="A1536" s="4" t="s">
        <v>4038</v>
      </c>
      <c r="B1536" s="37">
        <v>22.0</v>
      </c>
      <c r="C1536" s="37">
        <v>30.059386</v>
      </c>
      <c r="D1536" s="37">
        <v>8.059386</v>
      </c>
    </row>
    <row r="1537" ht="14.25" customHeight="1">
      <c r="A1537" s="4" t="s">
        <v>5963</v>
      </c>
      <c r="B1537" s="37">
        <v>7.0</v>
      </c>
      <c r="C1537" s="37">
        <v>15.047419</v>
      </c>
      <c r="D1537" s="37">
        <v>8.047419</v>
      </c>
    </row>
    <row r="1538" ht="14.25" customHeight="1">
      <c r="A1538" s="4" t="s">
        <v>6261</v>
      </c>
      <c r="B1538" s="37">
        <v>6.5</v>
      </c>
      <c r="C1538" s="37">
        <v>14.545844</v>
      </c>
      <c r="D1538" s="37">
        <v>8.045844</v>
      </c>
    </row>
    <row r="1539" ht="14.25" customHeight="1">
      <c r="A1539" s="4" t="s">
        <v>1388</v>
      </c>
      <c r="B1539" s="37">
        <v>70.0</v>
      </c>
      <c r="C1539" s="37">
        <v>78.03162</v>
      </c>
      <c r="D1539" s="37">
        <v>8.03162</v>
      </c>
    </row>
    <row r="1540" ht="14.25" customHeight="1">
      <c r="A1540" s="4" t="s">
        <v>7298</v>
      </c>
      <c r="B1540" s="37">
        <v>1.0</v>
      </c>
      <c r="C1540" s="37">
        <v>9.013113</v>
      </c>
      <c r="D1540" s="37">
        <v>8.013113</v>
      </c>
    </row>
    <row r="1541" ht="14.25" customHeight="1">
      <c r="A1541" s="4" t="s">
        <v>6091</v>
      </c>
      <c r="B1541" s="37">
        <v>13.0</v>
      </c>
      <c r="C1541" s="37">
        <v>21.0</v>
      </c>
      <c r="D1541" s="37">
        <v>8.0</v>
      </c>
    </row>
    <row r="1542" ht="14.25" customHeight="1">
      <c r="A1542" s="4" t="s">
        <v>4042</v>
      </c>
      <c r="B1542" s="37">
        <v>22.0</v>
      </c>
      <c r="C1542" s="37">
        <v>29.997095</v>
      </c>
      <c r="D1542" s="37">
        <v>7.997095</v>
      </c>
    </row>
    <row r="1543" ht="14.25" customHeight="1">
      <c r="A1543" s="4" t="s">
        <v>7235</v>
      </c>
      <c r="B1543" s="37">
        <v>1.2</v>
      </c>
      <c r="C1543" s="37">
        <v>9.180275</v>
      </c>
      <c r="D1543" s="37">
        <v>7.980275</v>
      </c>
    </row>
    <row r="1544" ht="14.25" customHeight="1">
      <c r="A1544" s="4" t="s">
        <v>6454</v>
      </c>
      <c r="B1544" s="37">
        <v>5.0</v>
      </c>
      <c r="C1544" s="37">
        <v>12.947763</v>
      </c>
      <c r="D1544" s="37">
        <v>7.947763</v>
      </c>
    </row>
    <row r="1545" ht="14.25" customHeight="1">
      <c r="A1545" s="4" t="s">
        <v>6097</v>
      </c>
      <c r="B1545" s="37">
        <v>7.0</v>
      </c>
      <c r="C1545" s="37">
        <v>14.891</v>
      </c>
      <c r="D1545" s="37">
        <v>7.891</v>
      </c>
    </row>
    <row r="1546" ht="14.25" customHeight="1">
      <c r="A1546" s="4" t="s">
        <v>2558</v>
      </c>
      <c r="B1546" s="37">
        <v>50.0</v>
      </c>
      <c r="C1546" s="37">
        <v>57.887882</v>
      </c>
      <c r="D1546" s="37">
        <v>7.887882</v>
      </c>
    </row>
    <row r="1547" ht="14.25" customHeight="1">
      <c r="A1547" s="4" t="s">
        <v>2840</v>
      </c>
      <c r="B1547" s="37">
        <v>37.0</v>
      </c>
      <c r="C1547" s="37">
        <v>44.867349</v>
      </c>
      <c r="D1547" s="37">
        <v>7.867349</v>
      </c>
    </row>
    <row r="1548" ht="14.25" customHeight="1">
      <c r="A1548" s="4" t="s">
        <v>1664</v>
      </c>
      <c r="B1548" s="37">
        <v>70.0</v>
      </c>
      <c r="C1548" s="37">
        <v>77.862546</v>
      </c>
      <c r="D1548" s="37">
        <v>7.862546</v>
      </c>
    </row>
    <row r="1549" ht="14.25" customHeight="1">
      <c r="A1549" s="4" t="s">
        <v>2581</v>
      </c>
      <c r="B1549" s="37">
        <v>40.0</v>
      </c>
      <c r="C1549" s="37">
        <v>47.781388</v>
      </c>
      <c r="D1549" s="37">
        <v>7.781388</v>
      </c>
    </row>
    <row r="1550" ht="14.25" customHeight="1">
      <c r="A1550" s="4" t="s">
        <v>4775</v>
      </c>
      <c r="B1550" s="37">
        <v>15.5</v>
      </c>
      <c r="C1550" s="37">
        <v>23.213577</v>
      </c>
      <c r="D1550" s="37">
        <v>7.713577</v>
      </c>
    </row>
    <row r="1551" ht="14.25" customHeight="1">
      <c r="A1551" s="4" t="s">
        <v>1611</v>
      </c>
      <c r="B1551" s="37">
        <v>95.0</v>
      </c>
      <c r="C1551" s="37">
        <v>102.678089</v>
      </c>
      <c r="D1551" s="37">
        <v>7.678089</v>
      </c>
    </row>
    <row r="1552" ht="14.25" customHeight="1">
      <c r="A1552" s="4" t="s">
        <v>5651</v>
      </c>
      <c r="B1552" s="37">
        <v>10.0</v>
      </c>
      <c r="C1552" s="37">
        <v>17.655201</v>
      </c>
      <c r="D1552" s="37">
        <v>7.655201</v>
      </c>
    </row>
    <row r="1553" ht="14.25" customHeight="1">
      <c r="A1553" s="4" t="s">
        <v>2964</v>
      </c>
      <c r="B1553" s="37">
        <v>30.0</v>
      </c>
      <c r="C1553" s="37">
        <v>37.617947</v>
      </c>
      <c r="D1553" s="37">
        <v>7.617947</v>
      </c>
    </row>
    <row r="1554" ht="14.25" customHeight="1">
      <c r="A1554" s="4" t="s">
        <v>6110</v>
      </c>
      <c r="B1554" s="37">
        <v>7.0</v>
      </c>
      <c r="C1554" s="37">
        <v>14.61284</v>
      </c>
      <c r="D1554" s="37">
        <v>7.61284</v>
      </c>
    </row>
    <row r="1555" ht="14.25" customHeight="1">
      <c r="A1555" s="4" t="s">
        <v>5217</v>
      </c>
      <c r="B1555" s="37">
        <v>18.0</v>
      </c>
      <c r="C1555" s="37">
        <v>25.592632</v>
      </c>
      <c r="D1555" s="37">
        <v>7.592632</v>
      </c>
    </row>
    <row r="1556" ht="14.25" customHeight="1">
      <c r="A1556" s="4" t="s">
        <v>2316</v>
      </c>
      <c r="B1556" s="37">
        <v>45.0</v>
      </c>
      <c r="C1556" s="37">
        <v>52.580895</v>
      </c>
      <c r="D1556" s="37">
        <v>7.580895</v>
      </c>
    </row>
    <row r="1557" ht="14.25" customHeight="1">
      <c r="A1557" s="4" t="s">
        <v>3309</v>
      </c>
      <c r="B1557" s="37">
        <v>32.0</v>
      </c>
      <c r="C1557" s="37">
        <v>39.568996</v>
      </c>
      <c r="D1557" s="37">
        <v>7.568996</v>
      </c>
    </row>
    <row r="1558" ht="14.25" customHeight="1">
      <c r="A1558" s="4" t="s">
        <v>3517</v>
      </c>
      <c r="B1558" s="37">
        <v>21.0</v>
      </c>
      <c r="C1558" s="37">
        <v>28.563179</v>
      </c>
      <c r="D1558" s="37">
        <v>7.563179</v>
      </c>
    </row>
    <row r="1559" ht="14.25" customHeight="1">
      <c r="A1559" s="4" t="s">
        <v>3755</v>
      </c>
      <c r="B1559" s="37">
        <v>25.0</v>
      </c>
      <c r="C1559" s="37">
        <v>32.55321</v>
      </c>
      <c r="D1559" s="37">
        <v>7.55321</v>
      </c>
    </row>
    <row r="1560" ht="14.25" customHeight="1">
      <c r="A1560" s="4" t="s">
        <v>6036</v>
      </c>
      <c r="B1560" s="37">
        <v>10.0</v>
      </c>
      <c r="C1560" s="37">
        <v>17.544812</v>
      </c>
      <c r="D1560" s="37">
        <v>7.544812</v>
      </c>
    </row>
    <row r="1561" ht="14.25" customHeight="1">
      <c r="A1561" s="4" t="s">
        <v>754</v>
      </c>
      <c r="B1561" s="37">
        <v>100.0</v>
      </c>
      <c r="C1561" s="37">
        <v>107.515297</v>
      </c>
      <c r="D1561" s="37">
        <v>7.515297</v>
      </c>
    </row>
    <row r="1562" ht="14.25" customHeight="1">
      <c r="A1562" s="4" t="s">
        <v>4939</v>
      </c>
      <c r="B1562" s="37">
        <v>14.0</v>
      </c>
      <c r="C1562" s="37">
        <v>21.468807</v>
      </c>
      <c r="D1562" s="37">
        <v>7.468807</v>
      </c>
    </row>
    <row r="1563" ht="14.25" customHeight="1">
      <c r="A1563" s="4" t="s">
        <v>3925</v>
      </c>
      <c r="B1563" s="37">
        <v>24.0</v>
      </c>
      <c r="C1563" s="37">
        <v>31.452765</v>
      </c>
      <c r="D1563" s="37">
        <v>7.452765</v>
      </c>
    </row>
    <row r="1564" ht="14.25" customHeight="1">
      <c r="A1564" s="4" t="s">
        <v>3930</v>
      </c>
      <c r="B1564" s="37">
        <v>25.0</v>
      </c>
      <c r="C1564" s="37">
        <v>32.416109</v>
      </c>
      <c r="D1564" s="37">
        <v>7.416109</v>
      </c>
    </row>
    <row r="1565" ht="14.25" customHeight="1">
      <c r="A1565" s="4" t="s">
        <v>5638</v>
      </c>
      <c r="B1565" s="37">
        <v>17.0</v>
      </c>
      <c r="C1565" s="37">
        <v>24.397469</v>
      </c>
      <c r="D1565" s="37">
        <v>7.397469</v>
      </c>
    </row>
    <row r="1566" ht="14.25" customHeight="1">
      <c r="A1566" s="4" t="s">
        <v>5521</v>
      </c>
      <c r="B1566" s="37">
        <v>11.0</v>
      </c>
      <c r="C1566" s="37">
        <v>18.381787</v>
      </c>
      <c r="D1566" s="37">
        <v>7.381787</v>
      </c>
    </row>
    <row r="1567" ht="14.25" customHeight="1">
      <c r="A1567" s="4" t="s">
        <v>3767</v>
      </c>
      <c r="B1567" s="37">
        <v>25.0</v>
      </c>
      <c r="C1567" s="37">
        <v>32.36896</v>
      </c>
      <c r="D1567" s="37">
        <v>7.36896</v>
      </c>
    </row>
    <row r="1568" ht="14.25" customHeight="1">
      <c r="A1568" s="4" t="s">
        <v>4227</v>
      </c>
      <c r="B1568" s="37">
        <v>20.0</v>
      </c>
      <c r="C1568" s="37">
        <v>27.277055</v>
      </c>
      <c r="D1568" s="37">
        <v>7.277055</v>
      </c>
    </row>
    <row r="1569" ht="14.25" customHeight="1">
      <c r="A1569" s="4" t="s">
        <v>1512</v>
      </c>
      <c r="B1569" s="37">
        <v>63.0</v>
      </c>
      <c r="C1569" s="37">
        <v>70.236496</v>
      </c>
      <c r="D1569" s="37">
        <v>7.236496</v>
      </c>
    </row>
    <row r="1570" ht="14.25" customHeight="1">
      <c r="A1570" s="4" t="s">
        <v>5865</v>
      </c>
      <c r="B1570" s="37">
        <v>9.0</v>
      </c>
      <c r="C1570" s="37">
        <v>16.235293</v>
      </c>
      <c r="D1570" s="37">
        <v>7.235293</v>
      </c>
    </row>
    <row r="1571" ht="14.25" customHeight="1">
      <c r="A1571" s="4" t="s">
        <v>6263</v>
      </c>
      <c r="B1571" s="37">
        <v>6.0</v>
      </c>
      <c r="C1571" s="37">
        <v>13.235267</v>
      </c>
      <c r="D1571" s="37">
        <v>7.235267</v>
      </c>
    </row>
    <row r="1572" ht="14.25" customHeight="1">
      <c r="A1572" s="4" t="s">
        <v>3628</v>
      </c>
      <c r="B1572" s="37">
        <v>26.0</v>
      </c>
      <c r="C1572" s="37">
        <v>33.2</v>
      </c>
      <c r="D1572" s="37">
        <v>7.2</v>
      </c>
    </row>
    <row r="1573" ht="14.25" customHeight="1">
      <c r="A1573" s="4" t="s">
        <v>6457</v>
      </c>
      <c r="B1573" s="37">
        <v>5.0</v>
      </c>
      <c r="C1573" s="37">
        <v>12.2</v>
      </c>
      <c r="D1573" s="37">
        <v>7.2</v>
      </c>
    </row>
    <row r="1574" ht="14.25" customHeight="1">
      <c r="A1574" s="4" t="s">
        <v>4932</v>
      </c>
      <c r="B1574" s="37">
        <v>15.0</v>
      </c>
      <c r="C1574" s="37">
        <v>22.189039</v>
      </c>
      <c r="D1574" s="37">
        <v>7.189039</v>
      </c>
    </row>
    <row r="1575" ht="14.25" customHeight="1">
      <c r="A1575" s="4" t="s">
        <v>3551</v>
      </c>
      <c r="B1575" s="37">
        <v>35.0</v>
      </c>
      <c r="C1575" s="37">
        <v>42.168445</v>
      </c>
      <c r="D1575" s="37">
        <v>7.168445</v>
      </c>
    </row>
    <row r="1576" ht="14.25" customHeight="1">
      <c r="A1576" s="4" t="s">
        <v>7443</v>
      </c>
      <c r="B1576" s="37">
        <v>0.7</v>
      </c>
      <c r="C1576" s="37">
        <v>7.830611</v>
      </c>
      <c r="D1576" s="37">
        <v>7.130611</v>
      </c>
    </row>
    <row r="1577" ht="14.25" customHeight="1">
      <c r="A1577" s="4" t="s">
        <v>3344</v>
      </c>
      <c r="B1577" s="37">
        <v>19.0</v>
      </c>
      <c r="C1577" s="37">
        <v>26.096584</v>
      </c>
      <c r="D1577" s="37">
        <v>7.096584</v>
      </c>
    </row>
    <row r="1578" ht="14.25" customHeight="1">
      <c r="A1578" s="4" t="s">
        <v>2634</v>
      </c>
      <c r="B1578" s="37">
        <v>25.0</v>
      </c>
      <c r="C1578" s="37">
        <v>32.055248</v>
      </c>
      <c r="D1578" s="37">
        <v>7.055248</v>
      </c>
    </row>
    <row r="1579" ht="14.25" customHeight="1">
      <c r="A1579" s="4" t="s">
        <v>3451</v>
      </c>
      <c r="B1579" s="37">
        <v>30.0</v>
      </c>
      <c r="C1579" s="37">
        <v>37.036404</v>
      </c>
      <c r="D1579" s="37">
        <v>7.036404</v>
      </c>
    </row>
    <row r="1580" ht="14.25" customHeight="1">
      <c r="A1580" s="4" t="s">
        <v>2593</v>
      </c>
      <c r="B1580" s="37">
        <v>40.0</v>
      </c>
      <c r="C1580" s="37">
        <v>47.034272</v>
      </c>
      <c r="D1580" s="37">
        <v>7.034272</v>
      </c>
    </row>
    <row r="1581" ht="14.25" customHeight="1">
      <c r="A1581" s="4" t="s">
        <v>6814</v>
      </c>
      <c r="B1581" s="37">
        <v>3.0</v>
      </c>
      <c r="C1581" s="37">
        <v>10.017041</v>
      </c>
      <c r="D1581" s="37">
        <v>7.017041</v>
      </c>
    </row>
    <row r="1582" ht="14.25" customHeight="1">
      <c r="A1582" s="4" t="s">
        <v>690</v>
      </c>
      <c r="B1582" s="37">
        <v>133.0</v>
      </c>
      <c r="C1582" s="37">
        <v>140.015224</v>
      </c>
      <c r="D1582" s="37">
        <v>7.015224</v>
      </c>
    </row>
    <row r="1583" ht="14.25" customHeight="1">
      <c r="A1583" s="4" t="s">
        <v>2333</v>
      </c>
      <c r="B1583" s="37">
        <v>25.0</v>
      </c>
      <c r="C1583" s="37">
        <v>32.00362</v>
      </c>
      <c r="D1583" s="37">
        <v>7.00362</v>
      </c>
    </row>
    <row r="1584" ht="14.25" customHeight="1">
      <c r="A1584" s="4" t="s">
        <v>6103</v>
      </c>
      <c r="B1584" s="37">
        <v>7.0</v>
      </c>
      <c r="C1584" s="37">
        <v>14.003141</v>
      </c>
      <c r="D1584" s="37">
        <v>7.003141</v>
      </c>
    </row>
    <row r="1585" ht="14.25" customHeight="1">
      <c r="A1585" s="4" t="s">
        <v>7000</v>
      </c>
      <c r="B1585" s="37">
        <v>2.0</v>
      </c>
      <c r="C1585" s="37">
        <v>9.003011</v>
      </c>
      <c r="D1585" s="37">
        <v>7.003011</v>
      </c>
    </row>
    <row r="1586" ht="14.25" customHeight="1">
      <c r="A1586" s="4" t="s">
        <v>2967</v>
      </c>
      <c r="B1586" s="37">
        <v>27.0</v>
      </c>
      <c r="C1586" s="37">
        <v>33.987757</v>
      </c>
      <c r="D1586" s="37">
        <v>6.987757</v>
      </c>
    </row>
    <row r="1587" ht="14.25" customHeight="1">
      <c r="A1587" s="4" t="s">
        <v>7694</v>
      </c>
      <c r="B1587" s="37">
        <v>0.175</v>
      </c>
      <c r="C1587" s="37">
        <v>7.137502</v>
      </c>
      <c r="D1587" s="37">
        <v>6.962502</v>
      </c>
    </row>
    <row r="1588" ht="14.25" customHeight="1">
      <c r="A1588" s="4" t="s">
        <v>2942</v>
      </c>
      <c r="B1588" s="37">
        <v>35.0</v>
      </c>
      <c r="C1588" s="37">
        <v>41.954997</v>
      </c>
      <c r="D1588" s="37">
        <v>6.954997</v>
      </c>
    </row>
    <row r="1589" ht="14.25" customHeight="1">
      <c r="A1589" s="4" t="s">
        <v>5908</v>
      </c>
      <c r="B1589" s="37">
        <v>8.0</v>
      </c>
      <c r="C1589" s="37">
        <v>14.879556</v>
      </c>
      <c r="D1589" s="37">
        <v>6.879556</v>
      </c>
    </row>
    <row r="1590" ht="14.25" customHeight="1">
      <c r="A1590" s="4" t="s">
        <v>7234</v>
      </c>
      <c r="B1590" s="37">
        <v>7.0</v>
      </c>
      <c r="C1590" s="37">
        <v>13.876974</v>
      </c>
      <c r="D1590" s="37">
        <v>6.876974</v>
      </c>
    </row>
    <row r="1591" ht="14.25" customHeight="1">
      <c r="A1591" s="4" t="s">
        <v>6199</v>
      </c>
      <c r="B1591" s="37">
        <v>6.5</v>
      </c>
      <c r="C1591" s="37">
        <v>13.367101</v>
      </c>
      <c r="D1591" s="37">
        <v>6.867101</v>
      </c>
    </row>
    <row r="1592" ht="14.25" customHeight="1">
      <c r="A1592" s="4" t="s">
        <v>6727</v>
      </c>
      <c r="B1592" s="37">
        <v>3.5</v>
      </c>
      <c r="C1592" s="37">
        <v>10.305534</v>
      </c>
      <c r="D1592" s="37">
        <v>6.805534</v>
      </c>
    </row>
    <row r="1593" ht="14.25" customHeight="1">
      <c r="A1593" s="4" t="s">
        <v>5598</v>
      </c>
      <c r="B1593" s="37">
        <v>10.0</v>
      </c>
      <c r="C1593" s="37">
        <v>16.8</v>
      </c>
      <c r="D1593" s="37">
        <v>6.8</v>
      </c>
    </row>
    <row r="1594" ht="14.25" customHeight="1">
      <c r="A1594" s="4" t="s">
        <v>6264</v>
      </c>
      <c r="B1594" s="37">
        <v>6.0</v>
      </c>
      <c r="C1594" s="37">
        <v>12.793213</v>
      </c>
      <c r="D1594" s="37">
        <v>6.793213</v>
      </c>
    </row>
    <row r="1595" ht="14.25" customHeight="1">
      <c r="A1595" s="4" t="s">
        <v>4286</v>
      </c>
      <c r="B1595" s="37">
        <v>19.0</v>
      </c>
      <c r="C1595" s="37">
        <v>25.75384</v>
      </c>
      <c r="D1595" s="37">
        <v>6.75384</v>
      </c>
    </row>
    <row r="1596" ht="14.25" customHeight="1">
      <c r="A1596" s="4" t="s">
        <v>1658</v>
      </c>
      <c r="B1596" s="37">
        <v>60.0</v>
      </c>
      <c r="C1596" s="37">
        <v>66.734992</v>
      </c>
      <c r="D1596" s="37">
        <v>6.734992</v>
      </c>
    </row>
    <row r="1597" ht="14.25" customHeight="1">
      <c r="A1597" s="4" t="s">
        <v>2109</v>
      </c>
      <c r="B1597" s="37">
        <v>50.0</v>
      </c>
      <c r="C1597" s="37">
        <v>56.72408</v>
      </c>
      <c r="D1597" s="37">
        <v>6.72408</v>
      </c>
    </row>
    <row r="1598" ht="14.25" customHeight="1">
      <c r="A1598" s="4" t="s">
        <v>6467</v>
      </c>
      <c r="B1598" s="37">
        <v>5.0</v>
      </c>
      <c r="C1598" s="37">
        <v>11.675178</v>
      </c>
      <c r="D1598" s="37">
        <v>6.675178</v>
      </c>
    </row>
    <row r="1599" ht="14.25" customHeight="1">
      <c r="A1599" s="4" t="s">
        <v>5125</v>
      </c>
      <c r="B1599" s="37">
        <v>8.5</v>
      </c>
      <c r="C1599" s="37">
        <v>15.171475</v>
      </c>
      <c r="D1599" s="37">
        <v>6.671475</v>
      </c>
    </row>
    <row r="1600" ht="14.25" customHeight="1">
      <c r="A1600" s="4" t="s">
        <v>7413</v>
      </c>
      <c r="B1600" s="37">
        <v>0.5</v>
      </c>
      <c r="C1600" s="37">
        <v>7.098492</v>
      </c>
      <c r="D1600" s="37">
        <v>6.598492</v>
      </c>
    </row>
    <row r="1601" ht="14.25" customHeight="1">
      <c r="A1601" s="4" t="s">
        <v>5382</v>
      </c>
      <c r="B1601" s="37">
        <v>12.0</v>
      </c>
      <c r="C1601" s="37">
        <v>18.595716</v>
      </c>
      <c r="D1601" s="37">
        <v>6.595716</v>
      </c>
    </row>
    <row r="1602" ht="14.25" customHeight="1">
      <c r="A1602" s="4" t="s">
        <v>7717</v>
      </c>
      <c r="B1602" s="37">
        <v>0.16</v>
      </c>
      <c r="C1602" s="37">
        <v>6.706368</v>
      </c>
      <c r="D1602" s="37">
        <v>6.546368</v>
      </c>
    </row>
    <row r="1603" ht="14.25" customHeight="1">
      <c r="A1603" s="4" t="s">
        <v>2943</v>
      </c>
      <c r="B1603" s="37">
        <v>33.0</v>
      </c>
      <c r="C1603" s="37">
        <v>39.532308</v>
      </c>
      <c r="D1603" s="37">
        <v>6.532308</v>
      </c>
    </row>
    <row r="1604" ht="14.25" customHeight="1">
      <c r="A1604" s="4" t="s">
        <v>3758</v>
      </c>
      <c r="B1604" s="37">
        <v>25.0</v>
      </c>
      <c r="C1604" s="37">
        <v>31.526393</v>
      </c>
      <c r="D1604" s="37">
        <v>6.526393</v>
      </c>
    </row>
    <row r="1605" ht="14.25" customHeight="1">
      <c r="A1605" s="4" t="s">
        <v>6624</v>
      </c>
      <c r="B1605" s="37">
        <v>4.0</v>
      </c>
      <c r="C1605" s="37">
        <v>10.515579</v>
      </c>
      <c r="D1605" s="37">
        <v>6.515579</v>
      </c>
    </row>
    <row r="1606" ht="14.25" customHeight="1">
      <c r="A1606" s="4" t="s">
        <v>4235</v>
      </c>
      <c r="B1606" s="37">
        <v>20.0</v>
      </c>
      <c r="C1606" s="37">
        <v>26.415649</v>
      </c>
      <c r="D1606" s="37">
        <v>6.415649</v>
      </c>
    </row>
    <row r="1607" ht="14.25" customHeight="1">
      <c r="A1607" s="4" t="s">
        <v>4951</v>
      </c>
      <c r="B1607" s="37">
        <v>15.0</v>
      </c>
      <c r="C1607" s="37">
        <v>21.383298</v>
      </c>
      <c r="D1607" s="37">
        <v>6.383298</v>
      </c>
    </row>
    <row r="1608" ht="14.25" customHeight="1">
      <c r="A1608" s="4" t="s">
        <v>6904</v>
      </c>
      <c r="B1608" s="37">
        <v>2.7</v>
      </c>
      <c r="C1608" s="37">
        <v>9.054736</v>
      </c>
      <c r="D1608" s="37">
        <v>6.354736</v>
      </c>
    </row>
    <row r="1609" ht="14.25" customHeight="1">
      <c r="A1609" s="4" t="s">
        <v>2324</v>
      </c>
      <c r="B1609" s="37">
        <v>40.0</v>
      </c>
      <c r="C1609" s="37">
        <v>46.280507</v>
      </c>
      <c r="D1609" s="37">
        <v>6.280507</v>
      </c>
    </row>
    <row r="1610" ht="14.25" customHeight="1">
      <c r="A1610" s="4" t="s">
        <v>5117</v>
      </c>
      <c r="B1610" s="37">
        <v>14.0</v>
      </c>
      <c r="C1610" s="37">
        <v>20.246959</v>
      </c>
      <c r="D1610" s="37">
        <v>6.246959</v>
      </c>
    </row>
    <row r="1611" ht="14.25" customHeight="1">
      <c r="A1611" s="4" t="s">
        <v>7296</v>
      </c>
      <c r="B1611" s="37">
        <v>3.5</v>
      </c>
      <c r="C1611" s="37">
        <v>9.701559</v>
      </c>
      <c r="D1611" s="37">
        <v>6.201559</v>
      </c>
    </row>
    <row r="1612" ht="14.25" customHeight="1">
      <c r="A1612" s="4" t="s">
        <v>5654</v>
      </c>
      <c r="B1612" s="37">
        <v>10.0</v>
      </c>
      <c r="C1612" s="37">
        <v>16.1536</v>
      </c>
      <c r="D1612" s="37">
        <v>6.1536</v>
      </c>
    </row>
    <row r="1613" ht="14.25" customHeight="1">
      <c r="A1613" s="4" t="s">
        <v>6627</v>
      </c>
      <c r="B1613" s="37">
        <v>4.0</v>
      </c>
      <c r="C1613" s="37">
        <v>10.097096</v>
      </c>
      <c r="D1613" s="37">
        <v>6.097096</v>
      </c>
    </row>
    <row r="1614" ht="14.25" customHeight="1">
      <c r="A1614" s="4" t="s">
        <v>5655</v>
      </c>
      <c r="B1614" s="37">
        <v>10.0</v>
      </c>
      <c r="C1614" s="37">
        <v>16.033556</v>
      </c>
      <c r="D1614" s="37">
        <v>6.033556</v>
      </c>
    </row>
    <row r="1615" ht="14.25" customHeight="1">
      <c r="A1615" s="4" t="s">
        <v>7157</v>
      </c>
      <c r="B1615" s="37">
        <v>1.0</v>
      </c>
      <c r="C1615" s="37">
        <v>7.02294</v>
      </c>
      <c r="D1615" s="37">
        <v>6.02294</v>
      </c>
    </row>
    <row r="1616" ht="14.25" customHeight="1">
      <c r="A1616" s="4" t="s">
        <v>2859</v>
      </c>
      <c r="B1616" s="37">
        <v>36.0</v>
      </c>
      <c r="C1616" s="37">
        <v>42.019483</v>
      </c>
      <c r="D1616" s="37">
        <v>6.019483</v>
      </c>
    </row>
    <row r="1617" ht="14.25" customHeight="1">
      <c r="A1617" s="4" t="s">
        <v>2590</v>
      </c>
      <c r="B1617" s="37">
        <v>40.0</v>
      </c>
      <c r="C1617" s="37">
        <v>46.012734</v>
      </c>
      <c r="D1617" s="37">
        <v>6.012734</v>
      </c>
    </row>
    <row r="1618" ht="14.25" customHeight="1">
      <c r="A1618" s="4" t="s">
        <v>4236</v>
      </c>
      <c r="B1618" s="37">
        <v>20.0</v>
      </c>
      <c r="C1618" s="37">
        <v>26.003149</v>
      </c>
      <c r="D1618" s="37">
        <v>6.003149</v>
      </c>
    </row>
    <row r="1619" ht="14.25" customHeight="1">
      <c r="A1619" s="4" t="s">
        <v>4934</v>
      </c>
      <c r="B1619" s="37">
        <v>15.0</v>
      </c>
      <c r="C1619" s="37">
        <v>20.998709</v>
      </c>
      <c r="D1619" s="37">
        <v>5.998709</v>
      </c>
    </row>
    <row r="1620" ht="14.25" customHeight="1">
      <c r="A1620" s="4" t="s">
        <v>4555</v>
      </c>
      <c r="B1620" s="37">
        <v>18.0</v>
      </c>
      <c r="C1620" s="37">
        <v>23.993605</v>
      </c>
      <c r="D1620" s="37">
        <v>5.993605</v>
      </c>
    </row>
    <row r="1621" ht="14.25" customHeight="1">
      <c r="A1621" s="4" t="s">
        <v>4639</v>
      </c>
      <c r="B1621" s="37">
        <v>17.5</v>
      </c>
      <c r="C1621" s="37">
        <v>23.4729</v>
      </c>
      <c r="D1621" s="37">
        <v>5.9729</v>
      </c>
    </row>
    <row r="1622" ht="14.25" customHeight="1">
      <c r="A1622" s="4" t="s">
        <v>6730</v>
      </c>
      <c r="B1622" s="37">
        <v>3.5</v>
      </c>
      <c r="C1622" s="37">
        <v>9.449219</v>
      </c>
      <c r="D1622" s="37">
        <v>5.949219</v>
      </c>
    </row>
    <row r="1623" ht="14.25" customHeight="1">
      <c r="A1623" s="4" t="s">
        <v>3325</v>
      </c>
      <c r="B1623" s="37">
        <v>30.0</v>
      </c>
      <c r="C1623" s="37">
        <v>35.927406</v>
      </c>
      <c r="D1623" s="37">
        <v>5.927406</v>
      </c>
    </row>
    <row r="1624" ht="14.25" customHeight="1">
      <c r="A1624" s="4" t="s">
        <v>3570</v>
      </c>
      <c r="B1624" s="37">
        <v>25.0</v>
      </c>
      <c r="C1624" s="37">
        <v>30.920167</v>
      </c>
      <c r="D1624" s="37">
        <v>5.920167</v>
      </c>
    </row>
    <row r="1625" ht="14.25" customHeight="1">
      <c r="A1625" s="4" t="s">
        <v>7153</v>
      </c>
      <c r="B1625" s="37">
        <v>1.5</v>
      </c>
      <c r="C1625" s="37">
        <v>7.41721</v>
      </c>
      <c r="D1625" s="37">
        <v>5.91721</v>
      </c>
    </row>
    <row r="1626" ht="14.25" customHeight="1">
      <c r="A1626" s="4" t="s">
        <v>3143</v>
      </c>
      <c r="B1626" s="37">
        <v>32.0</v>
      </c>
      <c r="C1626" s="37">
        <v>37.911876</v>
      </c>
      <c r="D1626" s="37">
        <v>5.911876</v>
      </c>
    </row>
    <row r="1627" ht="14.25" customHeight="1">
      <c r="A1627" s="4" t="s">
        <v>7155</v>
      </c>
      <c r="B1627" s="37">
        <v>1.5</v>
      </c>
      <c r="C1627" s="37">
        <v>7.3621</v>
      </c>
      <c r="D1627" s="37">
        <v>5.8621</v>
      </c>
    </row>
    <row r="1628" ht="14.25" customHeight="1">
      <c r="A1628" s="4" t="s">
        <v>2594</v>
      </c>
      <c r="B1628" s="37">
        <v>40.0</v>
      </c>
      <c r="C1628" s="37">
        <v>45.856732</v>
      </c>
      <c r="D1628" s="37">
        <v>5.856732</v>
      </c>
    </row>
    <row r="1629" ht="14.25" customHeight="1">
      <c r="A1629" s="4" t="s">
        <v>570</v>
      </c>
      <c r="B1629" s="37">
        <v>110.0</v>
      </c>
      <c r="C1629" s="37">
        <v>115.802596</v>
      </c>
      <c r="D1629" s="37">
        <v>5.802596</v>
      </c>
    </row>
    <row r="1630" ht="14.25" customHeight="1">
      <c r="A1630" s="4" t="s">
        <v>4937</v>
      </c>
      <c r="B1630" s="37">
        <v>15.0</v>
      </c>
      <c r="C1630" s="37">
        <v>20.801344</v>
      </c>
      <c r="D1630" s="37">
        <v>5.801344</v>
      </c>
    </row>
    <row r="1631" ht="14.25" customHeight="1">
      <c r="A1631" s="4" t="s">
        <v>6267</v>
      </c>
      <c r="B1631" s="37">
        <v>6.0</v>
      </c>
      <c r="C1631" s="37">
        <v>11.797927</v>
      </c>
      <c r="D1631" s="37">
        <v>5.797927</v>
      </c>
    </row>
    <row r="1632" ht="14.25" customHeight="1">
      <c r="A1632" s="4" t="s">
        <v>5899</v>
      </c>
      <c r="B1632" s="37">
        <v>8.6</v>
      </c>
      <c r="C1632" s="37">
        <v>14.373825</v>
      </c>
      <c r="D1632" s="37">
        <v>5.773825</v>
      </c>
    </row>
    <row r="1633" ht="14.25" customHeight="1">
      <c r="A1633" s="4" t="s">
        <v>2122</v>
      </c>
      <c r="B1633" s="37">
        <v>45.0</v>
      </c>
      <c r="C1633" s="37">
        <v>50.740078</v>
      </c>
      <c r="D1633" s="37">
        <v>5.740078</v>
      </c>
    </row>
    <row r="1634" ht="14.25" customHeight="1">
      <c r="A1634" s="4" t="s">
        <v>4680</v>
      </c>
      <c r="B1634" s="37">
        <v>17.0</v>
      </c>
      <c r="C1634" s="37">
        <v>22.734486</v>
      </c>
      <c r="D1634" s="37">
        <v>5.734486</v>
      </c>
    </row>
    <row r="1635" ht="14.25" customHeight="1">
      <c r="A1635" s="4" t="s">
        <v>2949</v>
      </c>
      <c r="B1635" s="37">
        <v>35.0</v>
      </c>
      <c r="C1635" s="37">
        <v>40.687294</v>
      </c>
      <c r="D1635" s="37">
        <v>5.687294</v>
      </c>
    </row>
    <row r="1636" ht="14.25" customHeight="1">
      <c r="A1636" s="4" t="s">
        <v>2084</v>
      </c>
      <c r="B1636" s="37">
        <v>50.0</v>
      </c>
      <c r="C1636" s="37">
        <v>55.68207</v>
      </c>
      <c r="D1636" s="37">
        <v>5.68207</v>
      </c>
    </row>
    <row r="1637" ht="14.25" customHeight="1">
      <c r="A1637" s="4" t="s">
        <v>4234</v>
      </c>
      <c r="B1637" s="37">
        <v>20.0</v>
      </c>
      <c r="C1637" s="37">
        <v>25.677801</v>
      </c>
      <c r="D1637" s="37">
        <v>5.677801</v>
      </c>
    </row>
    <row r="1638" ht="14.25" customHeight="1">
      <c r="A1638" s="4" t="s">
        <v>5657</v>
      </c>
      <c r="B1638" s="37">
        <v>11.0</v>
      </c>
      <c r="C1638" s="37">
        <v>16.667084</v>
      </c>
      <c r="D1638" s="37">
        <v>5.667084</v>
      </c>
    </row>
    <row r="1639" ht="14.25" customHeight="1">
      <c r="A1639" s="4" t="s">
        <v>2323</v>
      </c>
      <c r="B1639" s="37">
        <v>45.0</v>
      </c>
      <c r="C1639" s="37">
        <v>50.648679</v>
      </c>
      <c r="D1639" s="37">
        <v>5.648679</v>
      </c>
    </row>
    <row r="1640" ht="14.25" customHeight="1">
      <c r="A1640" s="4" t="s">
        <v>5387</v>
      </c>
      <c r="B1640" s="37">
        <v>12.0</v>
      </c>
      <c r="C1640" s="37">
        <v>17.61346</v>
      </c>
      <c r="D1640" s="37">
        <v>5.61346</v>
      </c>
    </row>
    <row r="1641" ht="14.25" customHeight="1">
      <c r="A1641" s="4" t="s">
        <v>4240</v>
      </c>
      <c r="B1641" s="37">
        <v>20.0</v>
      </c>
      <c r="C1641" s="37">
        <v>25.584685</v>
      </c>
      <c r="D1641" s="37">
        <v>5.584685</v>
      </c>
    </row>
    <row r="1642" ht="14.25" customHeight="1">
      <c r="A1642" s="4" t="s">
        <v>6104</v>
      </c>
      <c r="B1642" s="37">
        <v>7.0</v>
      </c>
      <c r="C1642" s="37">
        <v>12.58351</v>
      </c>
      <c r="D1642" s="37">
        <v>5.58351</v>
      </c>
    </row>
    <row r="1643" ht="14.25" customHeight="1">
      <c r="A1643" s="4" t="s">
        <v>4946</v>
      </c>
      <c r="B1643" s="37">
        <v>15.0</v>
      </c>
      <c r="C1643" s="37">
        <v>20.566327</v>
      </c>
      <c r="D1643" s="37">
        <v>5.566327</v>
      </c>
    </row>
    <row r="1644" ht="14.25" customHeight="1">
      <c r="A1644" s="4" t="s">
        <v>3326</v>
      </c>
      <c r="B1644" s="37">
        <v>30.0</v>
      </c>
      <c r="C1644" s="37">
        <v>35.565975</v>
      </c>
      <c r="D1644" s="37">
        <v>5.565975</v>
      </c>
    </row>
    <row r="1645" ht="14.25" customHeight="1">
      <c r="A1645" s="4" t="s">
        <v>2599</v>
      </c>
      <c r="B1645" s="37">
        <v>40.0</v>
      </c>
      <c r="C1645" s="37">
        <v>45.500797</v>
      </c>
      <c r="D1645" s="37">
        <v>5.500797</v>
      </c>
    </row>
    <row r="1646" ht="14.25" customHeight="1">
      <c r="A1646" s="4" t="s">
        <v>1899</v>
      </c>
      <c r="B1646" s="37">
        <v>50.0</v>
      </c>
      <c r="C1646" s="37">
        <v>55.4736</v>
      </c>
      <c r="D1646" s="37">
        <v>5.4736</v>
      </c>
    </row>
    <row r="1647" ht="14.25" customHeight="1">
      <c r="A1647" s="4" t="s">
        <v>6281</v>
      </c>
      <c r="B1647" s="37">
        <v>6.0</v>
      </c>
      <c r="C1647" s="37">
        <v>11.434867</v>
      </c>
      <c r="D1647" s="37">
        <v>5.434867</v>
      </c>
    </row>
    <row r="1648" ht="14.25" customHeight="1">
      <c r="A1648" s="4" t="s">
        <v>4498</v>
      </c>
      <c r="B1648" s="37">
        <v>15.0</v>
      </c>
      <c r="C1648" s="37">
        <v>20.43394</v>
      </c>
      <c r="D1648" s="37">
        <v>5.43394</v>
      </c>
    </row>
    <row r="1649" ht="14.25" customHeight="1">
      <c r="A1649" s="4" t="s">
        <v>6571</v>
      </c>
      <c r="B1649" s="37">
        <v>5.0</v>
      </c>
      <c r="C1649" s="37">
        <v>10.429707</v>
      </c>
      <c r="D1649" s="37">
        <v>5.429707</v>
      </c>
    </row>
    <row r="1650" ht="14.25" customHeight="1">
      <c r="A1650" s="4" t="s">
        <v>7037</v>
      </c>
      <c r="B1650" s="37">
        <v>2.0</v>
      </c>
      <c r="C1650" s="37">
        <v>7.369373</v>
      </c>
      <c r="D1650" s="37">
        <v>5.369373</v>
      </c>
    </row>
    <row r="1651" ht="14.25" customHeight="1">
      <c r="A1651" s="4" t="s">
        <v>2791</v>
      </c>
      <c r="B1651" s="37">
        <v>35.0</v>
      </c>
      <c r="C1651" s="37">
        <v>40.334024</v>
      </c>
      <c r="D1651" s="37">
        <v>5.334024</v>
      </c>
    </row>
    <row r="1652" ht="14.25" customHeight="1">
      <c r="A1652" s="4" t="s">
        <v>5391</v>
      </c>
      <c r="B1652" s="37">
        <v>12.0</v>
      </c>
      <c r="C1652" s="37">
        <v>17.292381</v>
      </c>
      <c r="D1652" s="37">
        <v>5.292381</v>
      </c>
    </row>
    <row r="1653" ht="14.25" customHeight="1">
      <c r="A1653" s="4" t="s">
        <v>3328</v>
      </c>
      <c r="B1653" s="37">
        <v>30.0</v>
      </c>
      <c r="C1653" s="37">
        <v>35.266619</v>
      </c>
      <c r="D1653" s="37">
        <v>5.266619</v>
      </c>
    </row>
    <row r="1654" ht="14.25" customHeight="1">
      <c r="A1654" s="4" t="s">
        <v>3328</v>
      </c>
      <c r="B1654" s="37">
        <v>30.0</v>
      </c>
      <c r="C1654" s="37">
        <v>35.266619</v>
      </c>
      <c r="D1654" s="37">
        <v>5.266619</v>
      </c>
    </row>
    <row r="1655" ht="14.25" customHeight="1">
      <c r="A1655" s="4" t="s">
        <v>7482</v>
      </c>
      <c r="B1655" s="37">
        <v>0.5</v>
      </c>
      <c r="C1655" s="37">
        <v>5.739376</v>
      </c>
      <c r="D1655" s="37">
        <v>5.239376</v>
      </c>
    </row>
    <row r="1656" ht="14.25" customHeight="1">
      <c r="A1656" s="4" t="s">
        <v>4545</v>
      </c>
      <c r="B1656" s="37">
        <v>25.0</v>
      </c>
      <c r="C1656" s="37">
        <v>30.22264</v>
      </c>
      <c r="D1656" s="37">
        <v>5.22264</v>
      </c>
    </row>
    <row r="1657" ht="14.25" customHeight="1">
      <c r="A1657" s="4" t="s">
        <v>4947</v>
      </c>
      <c r="B1657" s="37">
        <v>15.0</v>
      </c>
      <c r="C1657" s="37">
        <v>20.218921</v>
      </c>
      <c r="D1657" s="37">
        <v>5.218921</v>
      </c>
    </row>
    <row r="1658" ht="14.25" customHeight="1">
      <c r="A1658" s="4" t="s">
        <v>7726</v>
      </c>
      <c r="B1658" s="37">
        <v>0.1</v>
      </c>
      <c r="C1658" s="37">
        <v>5.228617</v>
      </c>
      <c r="D1658" s="37">
        <v>5.128617</v>
      </c>
    </row>
    <row r="1659" ht="14.25" customHeight="1">
      <c r="A1659" s="4" t="s">
        <v>6818</v>
      </c>
      <c r="B1659" s="37">
        <v>3.0</v>
      </c>
      <c r="C1659" s="37">
        <v>8.114507</v>
      </c>
      <c r="D1659" s="37">
        <v>5.114507</v>
      </c>
    </row>
    <row r="1660" ht="14.25" customHeight="1">
      <c r="A1660" s="4" t="s">
        <v>6070</v>
      </c>
      <c r="B1660" s="37">
        <v>7.5</v>
      </c>
      <c r="C1660" s="37">
        <v>12.610552</v>
      </c>
      <c r="D1660" s="37">
        <v>5.110552</v>
      </c>
    </row>
    <row r="1661" ht="14.25" customHeight="1">
      <c r="A1661" s="4" t="s">
        <v>76</v>
      </c>
      <c r="B1661" s="37">
        <v>250.0</v>
      </c>
      <c r="C1661" s="37">
        <v>255.10837</v>
      </c>
      <c r="D1661" s="37">
        <v>5.10837</v>
      </c>
    </row>
    <row r="1662" ht="14.25" customHeight="1">
      <c r="A1662" s="4" t="s">
        <v>4255</v>
      </c>
      <c r="B1662" s="37">
        <v>20.0</v>
      </c>
      <c r="C1662" s="37">
        <v>25.077977</v>
      </c>
      <c r="D1662" s="37">
        <v>5.077977</v>
      </c>
    </row>
    <row r="1663" ht="14.25" customHeight="1">
      <c r="A1663" s="4" t="s">
        <v>6630</v>
      </c>
      <c r="B1663" s="37">
        <v>3.2</v>
      </c>
      <c r="C1663" s="37">
        <v>8.24388</v>
      </c>
      <c r="D1663" s="37">
        <v>5.04388</v>
      </c>
    </row>
    <row r="1664" ht="14.25" customHeight="1">
      <c r="A1664" s="4" t="s">
        <v>3461</v>
      </c>
      <c r="B1664" s="37">
        <v>12.0</v>
      </c>
      <c r="C1664" s="37">
        <v>17.01619</v>
      </c>
      <c r="D1664" s="37">
        <v>5.01619</v>
      </c>
    </row>
    <row r="1665" ht="14.25" customHeight="1">
      <c r="A1665" s="4" t="s">
        <v>3764</v>
      </c>
      <c r="B1665" s="37">
        <v>25.0</v>
      </c>
      <c r="C1665" s="37">
        <v>30.01299</v>
      </c>
      <c r="D1665" s="37">
        <v>5.01299</v>
      </c>
    </row>
    <row r="1666" ht="14.25" customHeight="1">
      <c r="A1666" s="4" t="s">
        <v>5256</v>
      </c>
      <c r="B1666" s="37">
        <v>13.0</v>
      </c>
      <c r="C1666" s="37">
        <v>18.004225</v>
      </c>
      <c r="D1666" s="37">
        <v>5.004225</v>
      </c>
    </row>
    <row r="1667" ht="14.25" customHeight="1">
      <c r="A1667" s="4" t="s">
        <v>3507</v>
      </c>
      <c r="B1667" s="37">
        <v>28.0</v>
      </c>
      <c r="C1667" s="37">
        <v>33.000377</v>
      </c>
      <c r="D1667" s="37">
        <v>5.000377</v>
      </c>
    </row>
    <row r="1668" ht="14.25" customHeight="1">
      <c r="A1668" s="4" t="s">
        <v>2082</v>
      </c>
      <c r="B1668" s="37">
        <v>50.0</v>
      </c>
      <c r="C1668" s="37">
        <v>54.997476</v>
      </c>
      <c r="D1668" s="37">
        <v>4.997476</v>
      </c>
    </row>
    <row r="1669" ht="14.25" customHeight="1">
      <c r="A1669" s="4" t="s">
        <v>7306</v>
      </c>
      <c r="B1669" s="37">
        <v>1.0</v>
      </c>
      <c r="C1669" s="37">
        <v>5.997134</v>
      </c>
      <c r="D1669" s="37">
        <v>4.997134</v>
      </c>
    </row>
    <row r="1670" ht="14.25" customHeight="1">
      <c r="A1670" s="4" t="s">
        <v>567</v>
      </c>
      <c r="B1670" s="37">
        <v>120.0</v>
      </c>
      <c r="C1670" s="37">
        <v>124.976634</v>
      </c>
      <c r="D1670" s="37">
        <v>4.976634</v>
      </c>
    </row>
    <row r="1671" ht="14.25" customHeight="1">
      <c r="A1671" s="4" t="s">
        <v>4559</v>
      </c>
      <c r="B1671" s="37">
        <v>18.0</v>
      </c>
      <c r="C1671" s="37">
        <v>22.92739</v>
      </c>
      <c r="D1671" s="37">
        <v>4.92739</v>
      </c>
    </row>
    <row r="1672" ht="14.25" customHeight="1">
      <c r="A1672" s="4" t="s">
        <v>7241</v>
      </c>
      <c r="B1672" s="37">
        <v>1.2</v>
      </c>
      <c r="C1672" s="37">
        <v>6.1</v>
      </c>
      <c r="D1672" s="37">
        <v>4.9</v>
      </c>
    </row>
    <row r="1673" ht="14.25" customHeight="1">
      <c r="A1673" s="4" t="s">
        <v>6821</v>
      </c>
      <c r="B1673" s="37">
        <v>3.0</v>
      </c>
      <c r="C1673" s="37">
        <v>7.888703</v>
      </c>
      <c r="D1673" s="37">
        <v>4.888703</v>
      </c>
    </row>
    <row r="1674" ht="14.25" customHeight="1">
      <c r="A1674" s="4" t="s">
        <v>1974</v>
      </c>
      <c r="B1674" s="37">
        <v>52.5</v>
      </c>
      <c r="C1674" s="37">
        <v>57.386369</v>
      </c>
      <c r="D1674" s="37">
        <v>4.886369</v>
      </c>
    </row>
    <row r="1675" ht="14.25" customHeight="1">
      <c r="A1675" s="4" t="s">
        <v>3933</v>
      </c>
      <c r="B1675" s="37">
        <v>24.0</v>
      </c>
      <c r="C1675" s="37">
        <v>28.87119</v>
      </c>
      <c r="D1675" s="37">
        <v>4.87119</v>
      </c>
    </row>
    <row r="1676" ht="14.25" customHeight="1">
      <c r="A1676" s="4" t="s">
        <v>4096</v>
      </c>
      <c r="B1676" s="37">
        <v>20.0</v>
      </c>
      <c r="C1676" s="37">
        <v>24.848292</v>
      </c>
      <c r="D1676" s="37">
        <v>4.848292</v>
      </c>
    </row>
    <row r="1677" ht="14.25" customHeight="1">
      <c r="A1677" s="4" t="s">
        <v>6773</v>
      </c>
      <c r="B1677" s="37">
        <v>3.3</v>
      </c>
      <c r="C1677" s="37">
        <v>8.108247</v>
      </c>
      <c r="D1677" s="37">
        <v>4.808247</v>
      </c>
    </row>
    <row r="1678" ht="14.25" customHeight="1">
      <c r="A1678" s="4" t="s">
        <v>2585</v>
      </c>
      <c r="B1678" s="37">
        <v>43.0</v>
      </c>
      <c r="C1678" s="37">
        <v>47.806295</v>
      </c>
      <c r="D1678" s="37">
        <v>4.806295</v>
      </c>
    </row>
    <row r="1679" ht="14.25" customHeight="1">
      <c r="A1679" s="4" t="s">
        <v>7668</v>
      </c>
      <c r="B1679" s="37">
        <v>0.21</v>
      </c>
      <c r="C1679" s="37">
        <v>5.0</v>
      </c>
      <c r="D1679" s="37">
        <v>4.79</v>
      </c>
    </row>
    <row r="1680" ht="14.25" customHeight="1">
      <c r="A1680" s="4" t="s">
        <v>7432</v>
      </c>
      <c r="B1680" s="37">
        <v>0.75</v>
      </c>
      <c r="C1680" s="37">
        <v>5.518918</v>
      </c>
      <c r="D1680" s="37">
        <v>4.768918</v>
      </c>
    </row>
    <row r="1681" ht="14.25" customHeight="1">
      <c r="A1681" s="4" t="s">
        <v>3573</v>
      </c>
      <c r="B1681" s="37">
        <v>27.0</v>
      </c>
      <c r="C1681" s="37">
        <v>31.768374</v>
      </c>
      <c r="D1681" s="37">
        <v>4.768374</v>
      </c>
    </row>
    <row r="1682" ht="14.25" customHeight="1">
      <c r="A1682" s="4" t="s">
        <v>5264</v>
      </c>
      <c r="B1682" s="37">
        <v>13.0</v>
      </c>
      <c r="C1682" s="37">
        <v>17.73857</v>
      </c>
      <c r="D1682" s="37">
        <v>4.73857</v>
      </c>
    </row>
    <row r="1683" ht="14.25" customHeight="1">
      <c r="A1683" s="4" t="s">
        <v>3146</v>
      </c>
      <c r="B1683" s="37">
        <v>32.0</v>
      </c>
      <c r="C1683" s="37">
        <v>36.733909</v>
      </c>
      <c r="D1683" s="37">
        <v>4.733909</v>
      </c>
    </row>
    <row r="1684" ht="14.25" customHeight="1">
      <c r="A1684" s="4" t="s">
        <v>7018</v>
      </c>
      <c r="B1684" s="37">
        <v>2.0</v>
      </c>
      <c r="C1684" s="37">
        <v>6.7193</v>
      </c>
      <c r="D1684" s="37">
        <v>4.7193</v>
      </c>
    </row>
    <row r="1685" ht="14.25" customHeight="1">
      <c r="A1685" s="4" t="s">
        <v>3330</v>
      </c>
      <c r="B1685" s="37">
        <v>30.0</v>
      </c>
      <c r="C1685" s="37">
        <v>34.703228</v>
      </c>
      <c r="D1685" s="37">
        <v>4.703228</v>
      </c>
    </row>
    <row r="1686" ht="14.25" customHeight="1">
      <c r="A1686" s="4" t="s">
        <v>2948</v>
      </c>
      <c r="B1686" s="37">
        <v>35.0</v>
      </c>
      <c r="C1686" s="37">
        <v>39.692139</v>
      </c>
      <c r="D1686" s="37">
        <v>4.692139</v>
      </c>
    </row>
    <row r="1687" ht="14.25" customHeight="1">
      <c r="A1687" s="4" t="s">
        <v>4032</v>
      </c>
      <c r="B1687" s="37">
        <v>26.0</v>
      </c>
      <c r="C1687" s="37">
        <v>30.659817</v>
      </c>
      <c r="D1687" s="37">
        <v>4.659817</v>
      </c>
    </row>
    <row r="1688" ht="14.25" customHeight="1">
      <c r="A1688" s="4" t="s">
        <v>6469</v>
      </c>
      <c r="B1688" s="37">
        <v>5.0</v>
      </c>
      <c r="C1688" s="37">
        <v>9.65837</v>
      </c>
      <c r="D1688" s="37">
        <v>4.65837</v>
      </c>
    </row>
    <row r="1689" ht="14.25" customHeight="1">
      <c r="A1689" s="4" t="s">
        <v>6472</v>
      </c>
      <c r="B1689" s="37">
        <v>5.0</v>
      </c>
      <c r="C1689" s="37">
        <v>9.628751</v>
      </c>
      <c r="D1689" s="37">
        <v>4.628751</v>
      </c>
    </row>
    <row r="1690" ht="14.25" customHeight="1">
      <c r="A1690" s="4" t="s">
        <v>4777</v>
      </c>
      <c r="B1690" s="37">
        <v>16.0</v>
      </c>
      <c r="C1690" s="37">
        <v>20.627372</v>
      </c>
      <c r="D1690" s="37">
        <v>4.627372</v>
      </c>
    </row>
    <row r="1691" ht="14.25" customHeight="1">
      <c r="A1691" s="4" t="s">
        <v>3750</v>
      </c>
      <c r="B1691" s="37">
        <v>30.0</v>
      </c>
      <c r="C1691" s="37">
        <v>34.604054</v>
      </c>
      <c r="D1691" s="37">
        <v>4.604054</v>
      </c>
    </row>
    <row r="1692" ht="14.25" customHeight="1">
      <c r="A1692" s="4" t="s">
        <v>5556</v>
      </c>
      <c r="B1692" s="37">
        <v>14.0</v>
      </c>
      <c r="C1692" s="37">
        <v>18.535191</v>
      </c>
      <c r="D1692" s="37">
        <v>4.535191</v>
      </c>
    </row>
    <row r="1693" ht="14.25" customHeight="1">
      <c r="A1693" s="4" t="s">
        <v>7025</v>
      </c>
      <c r="B1693" s="37">
        <v>2.0</v>
      </c>
      <c r="C1693" s="37">
        <v>6.531491</v>
      </c>
      <c r="D1693" s="37">
        <v>4.531491</v>
      </c>
    </row>
    <row r="1694" ht="14.25" customHeight="1">
      <c r="A1694" s="4" t="s">
        <v>5686</v>
      </c>
      <c r="B1694" s="37">
        <v>10.0</v>
      </c>
      <c r="C1694" s="37">
        <v>14.479776</v>
      </c>
      <c r="D1694" s="37">
        <v>4.479776</v>
      </c>
    </row>
    <row r="1695" ht="14.25" customHeight="1">
      <c r="A1695" s="4" t="s">
        <v>4565</v>
      </c>
      <c r="B1695" s="37">
        <v>18.0</v>
      </c>
      <c r="C1695" s="37">
        <v>22.452209</v>
      </c>
      <c r="D1695" s="37">
        <v>4.452209</v>
      </c>
    </row>
    <row r="1696" ht="14.25" customHeight="1">
      <c r="A1696" s="4" t="s">
        <v>3780</v>
      </c>
      <c r="B1696" s="37">
        <v>21.15</v>
      </c>
      <c r="C1696" s="37">
        <v>25.590119</v>
      </c>
      <c r="D1696" s="37">
        <v>4.440119</v>
      </c>
    </row>
    <row r="1697" ht="14.25" customHeight="1">
      <c r="A1697" s="4" t="s">
        <v>6939</v>
      </c>
      <c r="B1697" s="37">
        <v>2.5</v>
      </c>
      <c r="C1697" s="37">
        <v>6.851969</v>
      </c>
      <c r="D1697" s="37">
        <v>4.351969</v>
      </c>
    </row>
    <row r="1698" ht="14.25" customHeight="1">
      <c r="A1698" s="4" t="s">
        <v>3969</v>
      </c>
      <c r="B1698" s="37">
        <v>23.0</v>
      </c>
      <c r="C1698" s="37">
        <v>27.338033</v>
      </c>
      <c r="D1698" s="37">
        <v>4.338033</v>
      </c>
    </row>
    <row r="1699" ht="14.25" customHeight="1">
      <c r="A1699" s="4" t="s">
        <v>1119</v>
      </c>
      <c r="B1699" s="37">
        <v>70.0</v>
      </c>
      <c r="C1699" s="37">
        <v>74.329966</v>
      </c>
      <c r="D1699" s="37">
        <v>4.329966</v>
      </c>
    </row>
    <row r="1700" ht="14.25" customHeight="1">
      <c r="A1700" s="4" t="s">
        <v>7669</v>
      </c>
      <c r="B1700" s="37">
        <v>0.2</v>
      </c>
      <c r="C1700" s="37">
        <v>4.505922</v>
      </c>
      <c r="D1700" s="37">
        <v>4.305922</v>
      </c>
    </row>
    <row r="1701" ht="14.25" customHeight="1">
      <c r="A1701" s="4" t="s">
        <v>5392</v>
      </c>
      <c r="B1701" s="37">
        <v>12.0</v>
      </c>
      <c r="C1701" s="37">
        <v>16.300302</v>
      </c>
      <c r="D1701" s="37">
        <v>4.300302</v>
      </c>
    </row>
    <row r="1702" ht="14.25" customHeight="1">
      <c r="A1702" s="4" t="s">
        <v>4095</v>
      </c>
      <c r="B1702" s="37">
        <v>21.0</v>
      </c>
      <c r="C1702" s="37">
        <v>25.296447</v>
      </c>
      <c r="D1702" s="37">
        <v>4.296447</v>
      </c>
    </row>
    <row r="1703" ht="14.25" customHeight="1">
      <c r="A1703" s="4" t="s">
        <v>6824</v>
      </c>
      <c r="B1703" s="37">
        <v>3.0</v>
      </c>
      <c r="C1703" s="37">
        <v>7.282851</v>
      </c>
      <c r="D1703" s="37">
        <v>4.282851</v>
      </c>
    </row>
    <row r="1704" ht="14.25" customHeight="1">
      <c r="A1704" s="4" t="s">
        <v>6767</v>
      </c>
      <c r="B1704" s="37">
        <v>3.3</v>
      </c>
      <c r="C1704" s="37">
        <v>7.563397</v>
      </c>
      <c r="D1704" s="37">
        <v>4.263397</v>
      </c>
    </row>
    <row r="1705" ht="14.25" customHeight="1">
      <c r="A1705" s="4" t="s">
        <v>3773</v>
      </c>
      <c r="B1705" s="37">
        <v>25.0</v>
      </c>
      <c r="C1705" s="37">
        <v>29.247405</v>
      </c>
      <c r="D1705" s="37">
        <v>4.247405</v>
      </c>
    </row>
    <row r="1706" ht="14.25" customHeight="1">
      <c r="A1706" s="4" t="s">
        <v>6704</v>
      </c>
      <c r="B1706" s="37">
        <v>3.768785</v>
      </c>
      <c r="C1706" s="37">
        <v>8.0</v>
      </c>
      <c r="D1706" s="37">
        <v>4.231215</v>
      </c>
    </row>
    <row r="1707" ht="14.25" customHeight="1">
      <c r="A1707" s="4" t="s">
        <v>6272</v>
      </c>
      <c r="B1707" s="37">
        <v>5.0</v>
      </c>
      <c r="C1707" s="37">
        <v>9.203192</v>
      </c>
      <c r="D1707" s="37">
        <v>4.203192</v>
      </c>
    </row>
    <row r="1708" ht="14.25" customHeight="1">
      <c r="A1708" s="4" t="s">
        <v>3675</v>
      </c>
      <c r="B1708" s="37">
        <v>80.0</v>
      </c>
      <c r="C1708" s="37">
        <v>84.185387</v>
      </c>
      <c r="D1708" s="37">
        <v>4.185387</v>
      </c>
    </row>
    <row r="1709" ht="14.25" customHeight="1">
      <c r="A1709" s="4" t="s">
        <v>4941</v>
      </c>
      <c r="B1709" s="37">
        <v>15.0</v>
      </c>
      <c r="C1709" s="37">
        <v>19.158074</v>
      </c>
      <c r="D1709" s="37">
        <v>4.158074</v>
      </c>
    </row>
    <row r="1710" ht="14.25" customHeight="1">
      <c r="A1710" s="4" t="s">
        <v>4105</v>
      </c>
      <c r="B1710" s="37">
        <v>20.0</v>
      </c>
      <c r="C1710" s="37">
        <v>24.104113</v>
      </c>
      <c r="D1710" s="37">
        <v>4.104113</v>
      </c>
    </row>
    <row r="1711" ht="14.25" customHeight="1">
      <c r="A1711" s="4" t="s">
        <v>6816</v>
      </c>
      <c r="B1711" s="37">
        <v>3.0</v>
      </c>
      <c r="C1711" s="37">
        <v>7.059537</v>
      </c>
      <c r="D1711" s="37">
        <v>4.059537</v>
      </c>
    </row>
    <row r="1712" ht="14.25" customHeight="1">
      <c r="A1712" s="4" t="s">
        <v>6462</v>
      </c>
      <c r="B1712" s="37">
        <v>8.0</v>
      </c>
      <c r="C1712" s="37">
        <v>12.055108</v>
      </c>
      <c r="D1712" s="37">
        <v>4.055108</v>
      </c>
    </row>
    <row r="1713" ht="14.25" customHeight="1">
      <c r="A1713" s="4" t="s">
        <v>7136</v>
      </c>
      <c r="B1713" s="37">
        <v>2.0</v>
      </c>
      <c r="C1713" s="37">
        <v>6.026908</v>
      </c>
      <c r="D1713" s="37">
        <v>4.026908</v>
      </c>
    </row>
    <row r="1714" ht="14.25" customHeight="1">
      <c r="A1714" s="4" t="s">
        <v>2956</v>
      </c>
      <c r="B1714" s="37">
        <v>35.0</v>
      </c>
      <c r="C1714" s="37">
        <v>39.026186</v>
      </c>
      <c r="D1714" s="37">
        <v>4.026186</v>
      </c>
    </row>
    <row r="1715" ht="14.25" customHeight="1">
      <c r="A1715" s="4" t="s">
        <v>2810</v>
      </c>
      <c r="B1715" s="37">
        <v>38.0</v>
      </c>
      <c r="C1715" s="37">
        <v>41.99779</v>
      </c>
      <c r="D1715" s="37">
        <v>3.99779</v>
      </c>
    </row>
    <row r="1716" ht="14.25" customHeight="1">
      <c r="A1716" s="4" t="s">
        <v>1833</v>
      </c>
      <c r="B1716" s="37">
        <v>57.0</v>
      </c>
      <c r="C1716" s="37">
        <v>60.984028</v>
      </c>
      <c r="D1716" s="37">
        <v>3.984028</v>
      </c>
    </row>
    <row r="1717" ht="14.25" customHeight="1">
      <c r="A1717" s="4" t="s">
        <v>7415</v>
      </c>
      <c r="B1717" s="37">
        <v>0.8</v>
      </c>
      <c r="C1717" s="37">
        <v>4.771</v>
      </c>
      <c r="D1717" s="37">
        <v>3.971</v>
      </c>
    </row>
    <row r="1718" ht="14.25" customHeight="1">
      <c r="A1718" s="4" t="s">
        <v>7312</v>
      </c>
      <c r="B1718" s="37">
        <v>1.0</v>
      </c>
      <c r="C1718" s="37">
        <v>4.94625</v>
      </c>
      <c r="D1718" s="37">
        <v>3.94625</v>
      </c>
    </row>
    <row r="1719" ht="14.25" customHeight="1">
      <c r="A1719" s="4" t="s">
        <v>7629</v>
      </c>
      <c r="B1719" s="37">
        <v>0.25</v>
      </c>
      <c r="C1719" s="37">
        <v>4.186931</v>
      </c>
      <c r="D1719" s="37">
        <v>3.936931</v>
      </c>
    </row>
    <row r="1720" ht="14.25" customHeight="1">
      <c r="A1720" s="4" t="s">
        <v>7107</v>
      </c>
      <c r="B1720" s="37">
        <v>1.8</v>
      </c>
      <c r="C1720" s="37">
        <v>5.709616</v>
      </c>
      <c r="D1720" s="37">
        <v>3.909616</v>
      </c>
    </row>
    <row r="1721" ht="14.25" customHeight="1">
      <c r="A1721" s="4" t="s">
        <v>6928</v>
      </c>
      <c r="B1721" s="37">
        <v>2.5</v>
      </c>
      <c r="C1721" s="37">
        <v>6.401336</v>
      </c>
      <c r="D1721" s="37">
        <v>3.901336</v>
      </c>
    </row>
    <row r="1722" ht="14.25" customHeight="1">
      <c r="A1722" s="4" t="s">
        <v>4027</v>
      </c>
      <c r="B1722" s="37">
        <v>22.0</v>
      </c>
      <c r="C1722" s="37">
        <v>25.842</v>
      </c>
      <c r="D1722" s="37">
        <v>3.842</v>
      </c>
    </row>
    <row r="1723" ht="14.25" customHeight="1">
      <c r="A1723" s="4" t="s">
        <v>3841</v>
      </c>
      <c r="B1723" s="37">
        <v>25.0</v>
      </c>
      <c r="C1723" s="37">
        <v>28.831145</v>
      </c>
      <c r="D1723" s="37">
        <v>3.831145</v>
      </c>
    </row>
    <row r="1724" ht="14.25" customHeight="1">
      <c r="A1724" s="4" t="s">
        <v>6632</v>
      </c>
      <c r="B1724" s="37">
        <v>4.0</v>
      </c>
      <c r="C1724" s="37">
        <v>7.82582</v>
      </c>
      <c r="D1724" s="37">
        <v>3.82582</v>
      </c>
    </row>
    <row r="1725" ht="14.25" customHeight="1">
      <c r="A1725" s="4" t="s">
        <v>6628</v>
      </c>
      <c r="B1725" s="37">
        <v>6.0</v>
      </c>
      <c r="C1725" s="37">
        <v>9.821335</v>
      </c>
      <c r="D1725" s="37">
        <v>3.821335</v>
      </c>
    </row>
    <row r="1726" ht="14.25" customHeight="1">
      <c r="A1726" s="4" t="s">
        <v>6474</v>
      </c>
      <c r="B1726" s="37">
        <v>5.0</v>
      </c>
      <c r="C1726" s="37">
        <v>8.786715</v>
      </c>
      <c r="D1726" s="37">
        <v>3.786715</v>
      </c>
    </row>
    <row r="1727" ht="14.25" customHeight="1">
      <c r="A1727" s="4" t="s">
        <v>7117</v>
      </c>
      <c r="B1727" s="37">
        <v>3.5</v>
      </c>
      <c r="C1727" s="37">
        <v>7.267324</v>
      </c>
      <c r="D1727" s="37">
        <v>3.767324</v>
      </c>
    </row>
    <row r="1728" ht="14.25" customHeight="1">
      <c r="A1728" s="4" t="s">
        <v>6634</v>
      </c>
      <c r="B1728" s="37">
        <v>3.4</v>
      </c>
      <c r="C1728" s="37">
        <v>7.159147</v>
      </c>
      <c r="D1728" s="37">
        <v>3.759147</v>
      </c>
    </row>
    <row r="1729" ht="14.25" customHeight="1">
      <c r="A1729" s="4" t="s">
        <v>1524</v>
      </c>
      <c r="B1729" s="37">
        <v>50.1</v>
      </c>
      <c r="C1729" s="37">
        <v>53.846915</v>
      </c>
      <c r="D1729" s="37">
        <v>3.746915</v>
      </c>
    </row>
    <row r="1730" ht="14.25" customHeight="1">
      <c r="A1730" s="4" t="s">
        <v>2242</v>
      </c>
      <c r="B1730" s="37">
        <v>100.0</v>
      </c>
      <c r="C1730" s="37">
        <v>103.738726</v>
      </c>
      <c r="D1730" s="37">
        <v>3.738726</v>
      </c>
    </row>
    <row r="1731" ht="14.25" customHeight="1">
      <c r="A1731" s="4" t="s">
        <v>7600</v>
      </c>
      <c r="B1731" s="37">
        <v>0.35</v>
      </c>
      <c r="C1731" s="37">
        <v>4.0</v>
      </c>
      <c r="D1731" s="37">
        <v>3.65</v>
      </c>
    </row>
    <row r="1732" ht="14.25" customHeight="1">
      <c r="A1732" s="4" t="s">
        <v>6202</v>
      </c>
      <c r="B1732" s="37">
        <v>6.5</v>
      </c>
      <c r="C1732" s="37">
        <v>10.149779</v>
      </c>
      <c r="D1732" s="37">
        <v>3.649779</v>
      </c>
    </row>
    <row r="1733" ht="14.25" customHeight="1">
      <c r="A1733" s="4" t="s">
        <v>360</v>
      </c>
      <c r="B1733" s="37">
        <v>150.0</v>
      </c>
      <c r="C1733" s="37">
        <v>153.629485</v>
      </c>
      <c r="D1733" s="37">
        <v>3.629485</v>
      </c>
    </row>
    <row r="1734" ht="14.25" customHeight="1">
      <c r="A1734" s="4" t="s">
        <v>5832</v>
      </c>
      <c r="B1734" s="37">
        <v>10.5</v>
      </c>
      <c r="C1734" s="37">
        <v>14.114488</v>
      </c>
      <c r="D1734" s="37">
        <v>3.614488</v>
      </c>
    </row>
    <row r="1735" ht="14.25" customHeight="1">
      <c r="A1735" s="4" t="s">
        <v>1325</v>
      </c>
      <c r="B1735" s="37">
        <v>72.0</v>
      </c>
      <c r="C1735" s="37">
        <v>75.6</v>
      </c>
      <c r="D1735" s="37">
        <v>3.6</v>
      </c>
    </row>
    <row r="1736" ht="14.25" customHeight="1">
      <c r="A1736" s="4" t="s">
        <v>3514</v>
      </c>
      <c r="B1736" s="37">
        <v>28.0</v>
      </c>
      <c r="C1736" s="37">
        <v>31.6</v>
      </c>
      <c r="D1736" s="37">
        <v>3.6</v>
      </c>
    </row>
    <row r="1737" ht="14.25" customHeight="1">
      <c r="A1737" s="4" t="s">
        <v>5245</v>
      </c>
      <c r="B1737" s="37">
        <v>13.0</v>
      </c>
      <c r="C1737" s="37">
        <v>16.574731</v>
      </c>
      <c r="D1737" s="37">
        <v>3.574731</v>
      </c>
    </row>
    <row r="1738" ht="14.25" customHeight="1">
      <c r="A1738" s="4" t="s">
        <v>7631</v>
      </c>
      <c r="B1738" s="37">
        <v>0.25</v>
      </c>
      <c r="C1738" s="37">
        <v>3.799339</v>
      </c>
      <c r="D1738" s="37">
        <v>3.549339</v>
      </c>
    </row>
    <row r="1739" ht="14.25" customHeight="1">
      <c r="A1739" s="4" t="s">
        <v>6778</v>
      </c>
      <c r="B1739" s="37">
        <v>3.0</v>
      </c>
      <c r="C1739" s="37">
        <v>6.517198</v>
      </c>
      <c r="D1739" s="37">
        <v>3.517198</v>
      </c>
    </row>
    <row r="1740" ht="14.25" customHeight="1">
      <c r="A1740" s="4" t="s">
        <v>1714</v>
      </c>
      <c r="B1740" s="37">
        <v>45.0</v>
      </c>
      <c r="C1740" s="37">
        <v>48.472213</v>
      </c>
      <c r="D1740" s="37">
        <v>3.472213</v>
      </c>
    </row>
    <row r="1741" ht="14.25" customHeight="1">
      <c r="A1741" s="4" t="s">
        <v>3079</v>
      </c>
      <c r="B1741" s="37">
        <v>34.0</v>
      </c>
      <c r="C1741" s="37">
        <v>37.432299</v>
      </c>
      <c r="D1741" s="37">
        <v>3.432299</v>
      </c>
    </row>
    <row r="1742" ht="14.25" customHeight="1">
      <c r="A1742" s="4" t="s">
        <v>1887</v>
      </c>
      <c r="B1742" s="37">
        <v>55.0</v>
      </c>
      <c r="C1742" s="37">
        <v>58.42265</v>
      </c>
      <c r="D1742" s="37">
        <v>3.42265</v>
      </c>
    </row>
    <row r="1743" ht="14.25" customHeight="1">
      <c r="A1743" s="4" t="s">
        <v>4271</v>
      </c>
      <c r="B1743" s="37">
        <v>20.0</v>
      </c>
      <c r="C1743" s="37">
        <v>23.393765</v>
      </c>
      <c r="D1743" s="37">
        <v>3.393765</v>
      </c>
    </row>
    <row r="1744" ht="14.25" customHeight="1">
      <c r="A1744" s="4" t="s">
        <v>7022</v>
      </c>
      <c r="B1744" s="37">
        <v>2.0</v>
      </c>
      <c r="C1744" s="37">
        <v>5.383834</v>
      </c>
      <c r="D1744" s="37">
        <v>3.383834</v>
      </c>
    </row>
    <row r="1745" ht="14.25" customHeight="1">
      <c r="A1745" s="4" t="s">
        <v>4280</v>
      </c>
      <c r="B1745" s="37">
        <v>15.0</v>
      </c>
      <c r="C1745" s="37">
        <v>18.352454</v>
      </c>
      <c r="D1745" s="37">
        <v>3.352454</v>
      </c>
    </row>
    <row r="1746" ht="14.25" customHeight="1">
      <c r="A1746" s="4" t="s">
        <v>3777</v>
      </c>
      <c r="B1746" s="37">
        <v>25.0</v>
      </c>
      <c r="C1746" s="37">
        <v>28.341469</v>
      </c>
      <c r="D1746" s="37">
        <v>3.341469</v>
      </c>
    </row>
    <row r="1747" ht="14.25" customHeight="1">
      <c r="A1747" s="4" t="s">
        <v>6962</v>
      </c>
      <c r="B1747" s="37">
        <v>2.4</v>
      </c>
      <c r="C1747" s="37">
        <v>5.731103</v>
      </c>
      <c r="D1747" s="37">
        <v>3.331103</v>
      </c>
    </row>
    <row r="1748" ht="14.25" customHeight="1">
      <c r="A1748" s="4" t="s">
        <v>638</v>
      </c>
      <c r="B1748" s="37">
        <v>110.0</v>
      </c>
      <c r="C1748" s="37">
        <v>113.330342</v>
      </c>
      <c r="D1748" s="37">
        <v>3.330342</v>
      </c>
    </row>
    <row r="1749" ht="14.25" customHeight="1">
      <c r="A1749" s="4" t="s">
        <v>6552</v>
      </c>
      <c r="B1749" s="37">
        <v>4.7</v>
      </c>
      <c r="C1749" s="37">
        <v>8.025872</v>
      </c>
      <c r="D1749" s="37">
        <v>3.325872</v>
      </c>
    </row>
    <row r="1750" ht="14.25" customHeight="1">
      <c r="A1750" s="4" t="s">
        <v>7670</v>
      </c>
      <c r="B1750" s="37">
        <v>0.2</v>
      </c>
      <c r="C1750" s="37">
        <v>3.5</v>
      </c>
      <c r="D1750" s="37">
        <v>3.3</v>
      </c>
    </row>
    <row r="1751" ht="14.25" customHeight="1">
      <c r="A1751" s="4" t="s">
        <v>5402</v>
      </c>
      <c r="B1751" s="37">
        <v>12.0</v>
      </c>
      <c r="C1751" s="37">
        <v>15.294553</v>
      </c>
      <c r="D1751" s="37">
        <v>3.294553</v>
      </c>
    </row>
    <row r="1752" ht="14.25" customHeight="1">
      <c r="A1752" s="4" t="s">
        <v>4256</v>
      </c>
      <c r="B1752" s="37">
        <v>20.0</v>
      </c>
      <c r="C1752" s="37">
        <v>23.292105</v>
      </c>
      <c r="D1752" s="37">
        <v>3.292105</v>
      </c>
    </row>
    <row r="1753" ht="14.25" customHeight="1">
      <c r="A1753" s="4" t="s">
        <v>2434</v>
      </c>
      <c r="B1753" s="37">
        <v>42.0</v>
      </c>
      <c r="C1753" s="37">
        <v>45.290318</v>
      </c>
      <c r="D1753" s="37">
        <v>3.290318</v>
      </c>
    </row>
    <row r="1754" ht="14.25" customHeight="1">
      <c r="A1754" s="4" t="s">
        <v>7433</v>
      </c>
      <c r="B1754" s="37">
        <v>0.75</v>
      </c>
      <c r="C1754" s="37">
        <v>4.007792</v>
      </c>
      <c r="D1754" s="37">
        <v>3.257792</v>
      </c>
    </row>
    <row r="1755" ht="14.25" customHeight="1">
      <c r="A1755" s="4" t="s">
        <v>4495</v>
      </c>
      <c r="B1755" s="37">
        <v>19.0</v>
      </c>
      <c r="C1755" s="37">
        <v>22.245861</v>
      </c>
      <c r="D1755" s="37">
        <v>3.245861</v>
      </c>
    </row>
    <row r="1756" ht="14.25" customHeight="1">
      <c r="A1756" s="4" t="s">
        <v>7132</v>
      </c>
      <c r="B1756" s="37">
        <v>1.0</v>
      </c>
      <c r="C1756" s="37">
        <v>4.2315</v>
      </c>
      <c r="D1756" s="37">
        <v>3.2315</v>
      </c>
    </row>
    <row r="1757" ht="14.25" customHeight="1">
      <c r="A1757" s="4" t="s">
        <v>2441</v>
      </c>
      <c r="B1757" s="37">
        <v>32.0</v>
      </c>
      <c r="C1757" s="37">
        <v>35.228696</v>
      </c>
      <c r="D1757" s="37">
        <v>3.228696</v>
      </c>
    </row>
    <row r="1758" ht="14.25" customHeight="1">
      <c r="A1758" s="4" t="s">
        <v>2848</v>
      </c>
      <c r="B1758" s="37">
        <v>65.0</v>
      </c>
      <c r="C1758" s="37">
        <v>68.20819</v>
      </c>
      <c r="D1758" s="37">
        <v>3.20819</v>
      </c>
    </row>
    <row r="1759" ht="14.25" customHeight="1">
      <c r="A1759" s="4" t="s">
        <v>4248</v>
      </c>
      <c r="B1759" s="37">
        <v>20.0</v>
      </c>
      <c r="C1759" s="37">
        <v>23.179303</v>
      </c>
      <c r="D1759" s="37">
        <v>3.179303</v>
      </c>
    </row>
    <row r="1760" ht="14.25" customHeight="1">
      <c r="A1760" s="4" t="s">
        <v>7734</v>
      </c>
      <c r="B1760" s="37">
        <v>0.06</v>
      </c>
      <c r="C1760" s="37">
        <v>3.21697</v>
      </c>
      <c r="D1760" s="37">
        <v>3.15697</v>
      </c>
    </row>
    <row r="1761" ht="14.25" customHeight="1">
      <c r="A1761" s="4" t="s">
        <v>7650</v>
      </c>
      <c r="B1761" s="37">
        <v>0.25</v>
      </c>
      <c r="C1761" s="37">
        <v>3.38821</v>
      </c>
      <c r="D1761" s="37">
        <v>3.13821</v>
      </c>
    </row>
    <row r="1762" ht="14.25" customHeight="1">
      <c r="A1762" s="4" t="s">
        <v>7158</v>
      </c>
      <c r="B1762" s="37">
        <v>2.0</v>
      </c>
      <c r="C1762" s="37">
        <v>5.132222</v>
      </c>
      <c r="D1762" s="37">
        <v>3.132222</v>
      </c>
    </row>
    <row r="1763" ht="14.25" customHeight="1">
      <c r="A1763" s="4" t="s">
        <v>1374</v>
      </c>
      <c r="B1763" s="37">
        <v>75.0</v>
      </c>
      <c r="C1763" s="37">
        <v>78.120196</v>
      </c>
      <c r="D1763" s="37">
        <v>3.120196</v>
      </c>
    </row>
    <row r="1764" ht="14.25" customHeight="1">
      <c r="A1764" s="4" t="s">
        <v>7023</v>
      </c>
      <c r="B1764" s="37">
        <v>1.5</v>
      </c>
      <c r="C1764" s="37">
        <v>4.59968</v>
      </c>
      <c r="D1764" s="37">
        <v>3.09968</v>
      </c>
    </row>
    <row r="1765" ht="14.25" customHeight="1">
      <c r="A1765" s="4" t="s">
        <v>7020</v>
      </c>
      <c r="B1765" s="37">
        <v>2.7</v>
      </c>
      <c r="C1765" s="37">
        <v>5.792822</v>
      </c>
      <c r="D1765" s="37">
        <v>3.092822</v>
      </c>
    </row>
    <row r="1766" ht="14.25" customHeight="1">
      <c r="A1766" s="4" t="s">
        <v>1449</v>
      </c>
      <c r="B1766" s="37">
        <v>68.0</v>
      </c>
      <c r="C1766" s="37">
        <v>71.069884</v>
      </c>
      <c r="D1766" s="37">
        <v>3.069884</v>
      </c>
    </row>
    <row r="1767" ht="14.25" customHeight="1">
      <c r="A1767" s="4" t="s">
        <v>3147</v>
      </c>
      <c r="B1767" s="37">
        <v>32.0</v>
      </c>
      <c r="C1767" s="37">
        <v>35.063732</v>
      </c>
      <c r="D1767" s="37">
        <v>3.063732</v>
      </c>
    </row>
    <row r="1768" ht="14.25" customHeight="1">
      <c r="A1768" s="4" t="s">
        <v>4786</v>
      </c>
      <c r="B1768" s="37">
        <v>16.0</v>
      </c>
      <c r="C1768" s="37">
        <v>19.057024</v>
      </c>
      <c r="D1768" s="37">
        <v>3.057024</v>
      </c>
    </row>
    <row r="1769" ht="14.25" customHeight="1">
      <c r="A1769" s="4" t="s">
        <v>995</v>
      </c>
      <c r="B1769" s="37">
        <v>75.0</v>
      </c>
      <c r="C1769" s="37">
        <v>78.009155</v>
      </c>
      <c r="D1769" s="37">
        <v>3.009155</v>
      </c>
    </row>
    <row r="1770" ht="14.25" customHeight="1">
      <c r="A1770" s="4" t="s">
        <v>7275</v>
      </c>
      <c r="B1770" s="37">
        <v>1.1</v>
      </c>
      <c r="C1770" s="37">
        <v>4.105123</v>
      </c>
      <c r="D1770" s="37">
        <v>3.005123</v>
      </c>
    </row>
    <row r="1771" ht="14.25" customHeight="1">
      <c r="A1771" s="4" t="s">
        <v>1582</v>
      </c>
      <c r="B1771" s="37">
        <v>62.0</v>
      </c>
      <c r="C1771" s="37">
        <v>65.0</v>
      </c>
      <c r="D1771" s="37">
        <v>3.0</v>
      </c>
    </row>
    <row r="1772" ht="14.25" customHeight="1">
      <c r="A1772" s="4" t="s">
        <v>6041</v>
      </c>
      <c r="B1772" s="37">
        <v>7.5</v>
      </c>
      <c r="C1772" s="37">
        <v>10.460089</v>
      </c>
      <c r="D1772" s="37">
        <v>2.960089</v>
      </c>
    </row>
    <row r="1773" ht="14.25" customHeight="1">
      <c r="A1773" s="4" t="s">
        <v>5227</v>
      </c>
      <c r="B1773" s="37">
        <v>14.0</v>
      </c>
      <c r="C1773" s="37">
        <v>16.929123</v>
      </c>
      <c r="D1773" s="37">
        <v>2.929123</v>
      </c>
    </row>
    <row r="1774" ht="14.25" customHeight="1">
      <c r="A1774" s="4" t="s">
        <v>7755</v>
      </c>
      <c r="B1774" s="37">
        <v>0.23</v>
      </c>
      <c r="C1774" s="37">
        <v>3.15113</v>
      </c>
      <c r="D1774" s="37">
        <v>2.92113</v>
      </c>
    </row>
    <row r="1775" ht="14.25" customHeight="1">
      <c r="A1775" s="4" t="s">
        <v>5517</v>
      </c>
      <c r="B1775" s="37">
        <v>11.0</v>
      </c>
      <c r="C1775" s="37">
        <v>13.903262</v>
      </c>
      <c r="D1775" s="37">
        <v>2.903262</v>
      </c>
    </row>
    <row r="1776" ht="14.25" customHeight="1">
      <c r="A1776" s="4" t="s">
        <v>6931</v>
      </c>
      <c r="B1776" s="37">
        <v>2.5</v>
      </c>
      <c r="C1776" s="37">
        <v>5.4</v>
      </c>
      <c r="D1776" s="37">
        <v>2.9</v>
      </c>
    </row>
    <row r="1777" ht="14.25" customHeight="1">
      <c r="A1777" s="4" t="s">
        <v>6731</v>
      </c>
      <c r="B1777" s="37">
        <v>3.5</v>
      </c>
      <c r="C1777" s="37">
        <v>6.390032</v>
      </c>
      <c r="D1777" s="37">
        <v>2.890032</v>
      </c>
    </row>
    <row r="1778" ht="14.25" customHeight="1">
      <c r="A1778" s="4" t="s">
        <v>6265</v>
      </c>
      <c r="B1778" s="37">
        <v>9.0</v>
      </c>
      <c r="C1778" s="37">
        <v>11.883495</v>
      </c>
      <c r="D1778" s="37">
        <v>2.883495</v>
      </c>
    </row>
    <row r="1779" ht="14.25" customHeight="1">
      <c r="A1779" s="4" t="s">
        <v>4080</v>
      </c>
      <c r="B1779" s="37">
        <v>21.5</v>
      </c>
      <c r="C1779" s="37">
        <v>24.362501</v>
      </c>
      <c r="D1779" s="37">
        <v>2.862501</v>
      </c>
    </row>
    <row r="1780" ht="14.25" customHeight="1">
      <c r="A1780" s="4" t="s">
        <v>5877</v>
      </c>
      <c r="B1780" s="37">
        <v>9.0</v>
      </c>
      <c r="C1780" s="37">
        <v>11.860839</v>
      </c>
      <c r="D1780" s="37">
        <v>2.860839</v>
      </c>
    </row>
    <row r="1781" ht="14.25" customHeight="1">
      <c r="A1781" s="4" t="s">
        <v>128</v>
      </c>
      <c r="B1781" s="37">
        <v>200.0</v>
      </c>
      <c r="C1781" s="37">
        <v>202.853933</v>
      </c>
      <c r="D1781" s="37">
        <v>2.853933</v>
      </c>
    </row>
    <row r="1782" ht="14.25" customHeight="1">
      <c r="A1782" s="4" t="s">
        <v>6826</v>
      </c>
      <c r="B1782" s="37">
        <v>3.0</v>
      </c>
      <c r="C1782" s="37">
        <v>5.844929</v>
      </c>
      <c r="D1782" s="37">
        <v>2.844929</v>
      </c>
    </row>
    <row r="1783" ht="14.25" customHeight="1">
      <c r="A1783" s="4" t="s">
        <v>7760</v>
      </c>
      <c r="B1783" s="37">
        <v>0.025</v>
      </c>
      <c r="C1783" s="37">
        <v>2.856622</v>
      </c>
      <c r="D1783" s="37">
        <v>2.831622</v>
      </c>
    </row>
    <row r="1784" ht="14.25" customHeight="1">
      <c r="A1784" s="4" t="s">
        <v>5694</v>
      </c>
      <c r="B1784" s="37">
        <v>6.0</v>
      </c>
      <c r="C1784" s="37">
        <v>8.828771</v>
      </c>
      <c r="D1784" s="37">
        <v>2.828771</v>
      </c>
    </row>
    <row r="1785" ht="14.25" customHeight="1">
      <c r="A1785" s="4" t="s">
        <v>2092</v>
      </c>
      <c r="B1785" s="37">
        <v>50.0</v>
      </c>
      <c r="C1785" s="37">
        <v>52.822418</v>
      </c>
      <c r="D1785" s="37">
        <v>2.822418</v>
      </c>
    </row>
    <row r="1786" ht="14.25" customHeight="1">
      <c r="A1786" s="4" t="s">
        <v>5659</v>
      </c>
      <c r="B1786" s="37">
        <v>12.6</v>
      </c>
      <c r="C1786" s="37">
        <v>15.417771</v>
      </c>
      <c r="D1786" s="37">
        <v>2.817771</v>
      </c>
    </row>
    <row r="1787" ht="14.25" customHeight="1">
      <c r="A1787" s="4" t="s">
        <v>6050</v>
      </c>
      <c r="B1787" s="37">
        <v>8.0</v>
      </c>
      <c r="C1787" s="37">
        <v>10.814185</v>
      </c>
      <c r="D1787" s="37">
        <v>2.814185</v>
      </c>
    </row>
    <row r="1788" ht="14.25" customHeight="1">
      <c r="A1788" s="4" t="s">
        <v>1260</v>
      </c>
      <c r="B1788" s="37">
        <v>53.0</v>
      </c>
      <c r="C1788" s="37">
        <v>55.808744</v>
      </c>
      <c r="D1788" s="37">
        <v>2.808744</v>
      </c>
    </row>
    <row r="1789" ht="14.25" customHeight="1">
      <c r="A1789" s="4" t="s">
        <v>4208</v>
      </c>
      <c r="B1789" s="37">
        <v>30.0</v>
      </c>
      <c r="C1789" s="37">
        <v>32.774834</v>
      </c>
      <c r="D1789" s="37">
        <v>2.774834</v>
      </c>
    </row>
    <row r="1790" ht="14.25" customHeight="1">
      <c r="A1790" s="4" t="s">
        <v>7485</v>
      </c>
      <c r="B1790" s="37">
        <v>1.0</v>
      </c>
      <c r="C1790" s="37">
        <v>3.773863</v>
      </c>
      <c r="D1790" s="37">
        <v>2.773863</v>
      </c>
    </row>
    <row r="1791" ht="14.25" customHeight="1">
      <c r="A1791" s="4" t="s">
        <v>2087</v>
      </c>
      <c r="B1791" s="37">
        <v>50.0</v>
      </c>
      <c r="C1791" s="37">
        <v>52.752475</v>
      </c>
      <c r="D1791" s="37">
        <v>2.752475</v>
      </c>
    </row>
    <row r="1792" ht="14.25" customHeight="1">
      <c r="A1792" s="4" t="s">
        <v>7701</v>
      </c>
      <c r="B1792" s="37">
        <v>0.15</v>
      </c>
      <c r="C1792" s="37">
        <v>2.882062</v>
      </c>
      <c r="D1792" s="37">
        <v>2.732062</v>
      </c>
    </row>
    <row r="1793" ht="14.25" customHeight="1">
      <c r="A1793" s="4" t="s">
        <v>7554</v>
      </c>
      <c r="B1793" s="37">
        <v>0.225</v>
      </c>
      <c r="C1793" s="37">
        <v>2.938208</v>
      </c>
      <c r="D1793" s="37">
        <v>2.713208</v>
      </c>
    </row>
    <row r="1794" ht="14.25" customHeight="1">
      <c r="A1794" s="4" t="s">
        <v>7089</v>
      </c>
      <c r="B1794" s="37">
        <v>1.9</v>
      </c>
      <c r="C1794" s="37">
        <v>4.6</v>
      </c>
      <c r="D1794" s="37">
        <v>2.7</v>
      </c>
    </row>
    <row r="1795" ht="14.25" customHeight="1">
      <c r="A1795" s="4" t="s">
        <v>6881</v>
      </c>
      <c r="B1795" s="37">
        <v>2.9</v>
      </c>
      <c r="C1795" s="37">
        <v>5.595428</v>
      </c>
      <c r="D1795" s="37">
        <v>2.695428</v>
      </c>
    </row>
    <row r="1796" ht="14.25" customHeight="1">
      <c r="A1796" s="4" t="s">
        <v>7204</v>
      </c>
      <c r="B1796" s="37">
        <v>0.96</v>
      </c>
      <c r="C1796" s="37">
        <v>3.650677</v>
      </c>
      <c r="D1796" s="37">
        <v>2.690677</v>
      </c>
    </row>
    <row r="1797" ht="14.25" customHeight="1">
      <c r="A1797" s="4" t="s">
        <v>3515</v>
      </c>
      <c r="B1797" s="37">
        <v>28.0</v>
      </c>
      <c r="C1797" s="37">
        <v>30.688364</v>
      </c>
      <c r="D1797" s="37">
        <v>2.688364</v>
      </c>
    </row>
    <row r="1798" ht="14.25" customHeight="1">
      <c r="A1798" s="4" t="s">
        <v>2446</v>
      </c>
      <c r="B1798" s="37">
        <v>32.0</v>
      </c>
      <c r="C1798" s="37">
        <v>34.667015</v>
      </c>
      <c r="D1798" s="37">
        <v>2.667015</v>
      </c>
    </row>
    <row r="1799" ht="14.25" customHeight="1">
      <c r="A1799" s="4" t="s">
        <v>2632</v>
      </c>
      <c r="B1799" s="37">
        <v>40.0</v>
      </c>
      <c r="C1799" s="37">
        <v>42.615685</v>
      </c>
      <c r="D1799" s="37">
        <v>2.615685</v>
      </c>
    </row>
    <row r="1800" ht="14.25" customHeight="1">
      <c r="A1800" s="4" t="s">
        <v>6277</v>
      </c>
      <c r="B1800" s="37">
        <v>6.0</v>
      </c>
      <c r="C1800" s="37">
        <v>8.596914</v>
      </c>
      <c r="D1800" s="37">
        <v>2.596914</v>
      </c>
    </row>
    <row r="1801" ht="14.25" customHeight="1">
      <c r="A1801" s="4" t="s">
        <v>5518</v>
      </c>
      <c r="B1801" s="37">
        <v>11.0</v>
      </c>
      <c r="C1801" s="37">
        <v>13.592872</v>
      </c>
      <c r="D1801" s="37">
        <v>2.592872</v>
      </c>
    </row>
    <row r="1802" ht="14.25" customHeight="1">
      <c r="A1802" s="4" t="s">
        <v>2878</v>
      </c>
      <c r="B1802" s="37">
        <v>35.2</v>
      </c>
      <c r="C1802" s="37">
        <v>37.788228</v>
      </c>
      <c r="D1802" s="37">
        <v>2.588228</v>
      </c>
    </row>
    <row r="1803" ht="14.25" customHeight="1">
      <c r="A1803" s="4" t="s">
        <v>6779</v>
      </c>
      <c r="B1803" s="37">
        <v>3.2</v>
      </c>
      <c r="C1803" s="37">
        <v>5.776314</v>
      </c>
      <c r="D1803" s="37">
        <v>2.576314</v>
      </c>
    </row>
    <row r="1804" ht="14.25" customHeight="1">
      <c r="A1804" s="4" t="s">
        <v>2624</v>
      </c>
      <c r="B1804" s="37">
        <v>40.0</v>
      </c>
      <c r="C1804" s="37">
        <v>42.575718</v>
      </c>
      <c r="D1804" s="37">
        <v>2.575718</v>
      </c>
    </row>
    <row r="1805" ht="14.25" customHeight="1">
      <c r="A1805" s="4" t="s">
        <v>6468</v>
      </c>
      <c r="B1805" s="37">
        <v>8.0</v>
      </c>
      <c r="C1805" s="37">
        <v>10.572742</v>
      </c>
      <c r="D1805" s="37">
        <v>2.572742</v>
      </c>
    </row>
    <row r="1806" ht="14.25" customHeight="1">
      <c r="A1806" s="4" t="s">
        <v>5672</v>
      </c>
      <c r="B1806" s="37">
        <v>10.0</v>
      </c>
      <c r="C1806" s="37">
        <v>12.570442</v>
      </c>
      <c r="D1806" s="37">
        <v>2.570442</v>
      </c>
    </row>
    <row r="1807" ht="14.25" customHeight="1">
      <c r="A1807" s="4" t="s">
        <v>5523</v>
      </c>
      <c r="B1807" s="37">
        <v>11.0</v>
      </c>
      <c r="C1807" s="37">
        <v>13.558739</v>
      </c>
      <c r="D1807" s="37">
        <v>2.558739</v>
      </c>
    </row>
    <row r="1808" ht="14.25" customHeight="1">
      <c r="A1808" s="4" t="s">
        <v>3970</v>
      </c>
      <c r="B1808" s="37">
        <v>23.0</v>
      </c>
      <c r="C1808" s="37">
        <v>25.556065</v>
      </c>
      <c r="D1808" s="37">
        <v>2.556065</v>
      </c>
    </row>
    <row r="1809" ht="14.25" customHeight="1">
      <c r="A1809" s="4" t="s">
        <v>6638</v>
      </c>
      <c r="B1809" s="37">
        <v>4.0</v>
      </c>
      <c r="C1809" s="37">
        <v>6.525762</v>
      </c>
      <c r="D1809" s="37">
        <v>2.525762</v>
      </c>
    </row>
    <row r="1810" ht="14.25" customHeight="1">
      <c r="A1810" s="4" t="s">
        <v>5674</v>
      </c>
      <c r="B1810" s="37">
        <v>10.0</v>
      </c>
      <c r="C1810" s="37">
        <v>12.514138</v>
      </c>
      <c r="D1810" s="37">
        <v>2.514138</v>
      </c>
    </row>
    <row r="1811" ht="14.25" customHeight="1">
      <c r="A1811" s="4" t="s">
        <v>3557</v>
      </c>
      <c r="B1811" s="37">
        <v>15.0</v>
      </c>
      <c r="C1811" s="37">
        <v>17.50867</v>
      </c>
      <c r="D1811" s="37">
        <v>2.50867</v>
      </c>
    </row>
    <row r="1812" ht="14.25" customHeight="1">
      <c r="A1812" s="4" t="s">
        <v>3629</v>
      </c>
      <c r="B1812" s="37">
        <v>26.0</v>
      </c>
      <c r="C1812" s="37">
        <v>28.501651</v>
      </c>
      <c r="D1812" s="37">
        <v>2.501651</v>
      </c>
    </row>
    <row r="1813" ht="14.25" customHeight="1">
      <c r="A1813" s="4" t="s">
        <v>3629</v>
      </c>
      <c r="B1813" s="37">
        <v>26.0</v>
      </c>
      <c r="C1813" s="37">
        <v>28.501651</v>
      </c>
      <c r="D1813" s="37">
        <v>2.501651</v>
      </c>
    </row>
    <row r="1814" ht="14.25" customHeight="1">
      <c r="A1814" s="4" t="s">
        <v>4478</v>
      </c>
      <c r="B1814" s="37">
        <v>19.0</v>
      </c>
      <c r="C1814" s="37">
        <v>21.483154</v>
      </c>
      <c r="D1814" s="37">
        <v>2.483154</v>
      </c>
    </row>
    <row r="1815" ht="14.25" customHeight="1">
      <c r="A1815" s="4" t="s">
        <v>2953</v>
      </c>
      <c r="B1815" s="37">
        <v>35.0</v>
      </c>
      <c r="C1815" s="37">
        <v>37.481242</v>
      </c>
      <c r="D1815" s="37">
        <v>2.481242</v>
      </c>
    </row>
    <row r="1816" ht="14.25" customHeight="1">
      <c r="A1816" s="4" t="s">
        <v>4993</v>
      </c>
      <c r="B1816" s="37">
        <v>15.0</v>
      </c>
      <c r="C1816" s="37">
        <v>17.439163</v>
      </c>
      <c r="D1816" s="37">
        <v>2.439163</v>
      </c>
    </row>
    <row r="1817" ht="14.25" customHeight="1">
      <c r="A1817" s="4" t="s">
        <v>7588</v>
      </c>
      <c r="B1817" s="37">
        <v>0.379</v>
      </c>
      <c r="C1817" s="37">
        <v>2.808</v>
      </c>
      <c r="D1817" s="37">
        <v>2.429</v>
      </c>
    </row>
    <row r="1818" ht="14.25" customHeight="1">
      <c r="A1818" s="4" t="s">
        <v>4949</v>
      </c>
      <c r="B1818" s="37">
        <v>15.0</v>
      </c>
      <c r="C1818" s="37">
        <v>17.411331</v>
      </c>
      <c r="D1818" s="37">
        <v>2.411331</v>
      </c>
    </row>
    <row r="1819" ht="14.25" customHeight="1">
      <c r="A1819" s="4" t="s">
        <v>7224</v>
      </c>
      <c r="B1819" s="37">
        <v>0.427</v>
      </c>
      <c r="C1819" s="37">
        <v>2.833383</v>
      </c>
      <c r="D1819" s="37">
        <v>2.406383</v>
      </c>
    </row>
    <row r="1820" ht="14.25" customHeight="1">
      <c r="A1820" s="4" t="s">
        <v>1699</v>
      </c>
      <c r="B1820" s="37">
        <v>60.0</v>
      </c>
      <c r="C1820" s="37">
        <v>62.401264</v>
      </c>
      <c r="D1820" s="37">
        <v>2.401264</v>
      </c>
    </row>
    <row r="1821" ht="14.25" customHeight="1">
      <c r="A1821" s="4" t="s">
        <v>7456</v>
      </c>
      <c r="B1821" s="37">
        <v>0.609</v>
      </c>
      <c r="C1821" s="37">
        <v>3.0</v>
      </c>
      <c r="D1821" s="37">
        <v>2.391</v>
      </c>
    </row>
    <row r="1822" ht="14.25" customHeight="1">
      <c r="A1822" s="4" t="s">
        <v>7307</v>
      </c>
      <c r="B1822" s="37">
        <v>1.0</v>
      </c>
      <c r="C1822" s="37">
        <v>3.386698</v>
      </c>
      <c r="D1822" s="37">
        <v>2.386698</v>
      </c>
    </row>
    <row r="1823" ht="14.25" customHeight="1">
      <c r="A1823" s="4" t="s">
        <v>3808</v>
      </c>
      <c r="B1823" s="37">
        <v>13.0</v>
      </c>
      <c r="C1823" s="37">
        <v>15.361537</v>
      </c>
      <c r="D1823" s="37">
        <v>2.361537</v>
      </c>
    </row>
    <row r="1824" ht="14.25" customHeight="1">
      <c r="A1824" s="4" t="s">
        <v>3375</v>
      </c>
      <c r="B1824" s="37">
        <v>30.0</v>
      </c>
      <c r="C1824" s="37">
        <v>32.357532</v>
      </c>
      <c r="D1824" s="37">
        <v>2.357532</v>
      </c>
    </row>
    <row r="1825" ht="14.25" customHeight="1">
      <c r="A1825" s="4" t="s">
        <v>5164</v>
      </c>
      <c r="B1825" s="37">
        <v>13.5</v>
      </c>
      <c r="C1825" s="37">
        <v>15.854988</v>
      </c>
      <c r="D1825" s="37">
        <v>2.354988</v>
      </c>
    </row>
    <row r="1826" ht="14.25" customHeight="1">
      <c r="A1826" s="4" t="s">
        <v>5123</v>
      </c>
      <c r="B1826" s="37">
        <v>12.0</v>
      </c>
      <c r="C1826" s="37">
        <v>14.348123</v>
      </c>
      <c r="D1826" s="37">
        <v>2.348123</v>
      </c>
    </row>
    <row r="1827" ht="14.25" customHeight="1">
      <c r="A1827" s="4" t="s">
        <v>6736</v>
      </c>
      <c r="B1827" s="37">
        <v>3.6</v>
      </c>
      <c r="C1827" s="37">
        <v>5.923044</v>
      </c>
      <c r="D1827" s="37">
        <v>2.323044</v>
      </c>
    </row>
    <row r="1828" ht="14.25" customHeight="1">
      <c r="A1828" s="4" t="s">
        <v>2330</v>
      </c>
      <c r="B1828" s="37">
        <v>45.0</v>
      </c>
      <c r="C1828" s="37">
        <v>47.30755</v>
      </c>
      <c r="D1828" s="37">
        <v>2.30755</v>
      </c>
    </row>
    <row r="1829" ht="14.25" customHeight="1">
      <c r="A1829" s="4" t="s">
        <v>2968</v>
      </c>
      <c r="B1829" s="37">
        <v>35.0</v>
      </c>
      <c r="C1829" s="37">
        <v>37.30495</v>
      </c>
      <c r="D1829" s="37">
        <v>2.30495</v>
      </c>
    </row>
    <row r="1830" ht="14.25" customHeight="1">
      <c r="A1830" s="4" t="s">
        <v>5111</v>
      </c>
      <c r="B1830" s="37">
        <v>14.0</v>
      </c>
      <c r="C1830" s="37">
        <v>16.298046</v>
      </c>
      <c r="D1830" s="37">
        <v>2.298046</v>
      </c>
    </row>
    <row r="1831" ht="14.25" customHeight="1">
      <c r="A1831" s="4" t="s">
        <v>6828</v>
      </c>
      <c r="B1831" s="37">
        <v>1.9</v>
      </c>
      <c r="C1831" s="37">
        <v>4.170647</v>
      </c>
      <c r="D1831" s="37">
        <v>2.270647</v>
      </c>
    </row>
    <row r="1832" ht="14.25" customHeight="1">
      <c r="A1832" s="4" t="s">
        <v>5966</v>
      </c>
      <c r="B1832" s="37">
        <v>8.0</v>
      </c>
      <c r="C1832" s="37">
        <v>10.269307</v>
      </c>
      <c r="D1832" s="37">
        <v>2.269307</v>
      </c>
    </row>
    <row r="1833" ht="14.25" customHeight="1">
      <c r="A1833" s="4" t="s">
        <v>7543</v>
      </c>
      <c r="B1833" s="37">
        <v>0.45</v>
      </c>
      <c r="C1833" s="37">
        <v>2.712293</v>
      </c>
      <c r="D1833" s="37">
        <v>2.262293</v>
      </c>
    </row>
    <row r="1834" ht="14.25" customHeight="1">
      <c r="A1834" s="4" t="s">
        <v>4960</v>
      </c>
      <c r="B1834" s="37">
        <v>15.0</v>
      </c>
      <c r="C1834" s="37">
        <v>17.237244</v>
      </c>
      <c r="D1834" s="37">
        <v>2.237244</v>
      </c>
    </row>
    <row r="1835" ht="14.25" customHeight="1">
      <c r="A1835" s="4" t="s">
        <v>7676</v>
      </c>
      <c r="B1835" s="37">
        <v>0.2</v>
      </c>
      <c r="C1835" s="37">
        <v>2.428241</v>
      </c>
      <c r="D1835" s="37">
        <v>2.228241</v>
      </c>
    </row>
    <row r="1836" ht="14.25" customHeight="1">
      <c r="A1836" s="4" t="s">
        <v>5540</v>
      </c>
      <c r="B1836" s="37">
        <v>11.0</v>
      </c>
      <c r="C1836" s="37">
        <v>13.214255</v>
      </c>
      <c r="D1836" s="37">
        <v>2.214255</v>
      </c>
    </row>
    <row r="1837" ht="14.25" customHeight="1">
      <c r="A1837" s="4" t="s">
        <v>6106</v>
      </c>
      <c r="B1837" s="37">
        <v>7.0</v>
      </c>
      <c r="C1837" s="37">
        <v>9.190525</v>
      </c>
      <c r="D1837" s="37">
        <v>2.190525</v>
      </c>
    </row>
    <row r="1838" ht="14.25" customHeight="1">
      <c r="A1838" s="4" t="s">
        <v>3120</v>
      </c>
      <c r="B1838" s="37">
        <v>32.0</v>
      </c>
      <c r="C1838" s="37">
        <v>34.180954</v>
      </c>
      <c r="D1838" s="37">
        <v>2.180954</v>
      </c>
    </row>
    <row r="1839" ht="14.25" customHeight="1">
      <c r="A1839" s="4" t="s">
        <v>2227</v>
      </c>
      <c r="B1839" s="37">
        <v>48.0</v>
      </c>
      <c r="C1839" s="37">
        <v>50.17319</v>
      </c>
      <c r="D1839" s="37">
        <v>2.17319</v>
      </c>
    </row>
    <row r="1840" ht="14.25" customHeight="1">
      <c r="A1840" s="4" t="s">
        <v>6112</v>
      </c>
      <c r="B1840" s="37">
        <v>7.0</v>
      </c>
      <c r="C1840" s="37">
        <v>9.166863</v>
      </c>
      <c r="D1840" s="37">
        <v>2.166863</v>
      </c>
    </row>
    <row r="1841" ht="14.25" customHeight="1">
      <c r="A1841" s="4" t="s">
        <v>4729</v>
      </c>
      <c r="B1841" s="37">
        <v>16.5</v>
      </c>
      <c r="C1841" s="37">
        <v>18.663911</v>
      </c>
      <c r="D1841" s="37">
        <v>2.163911</v>
      </c>
    </row>
    <row r="1842" ht="14.25" customHeight="1">
      <c r="A1842" s="4" t="s">
        <v>3338</v>
      </c>
      <c r="B1842" s="37">
        <v>30.0</v>
      </c>
      <c r="C1842" s="37">
        <v>32.15441</v>
      </c>
      <c r="D1842" s="37">
        <v>2.15441</v>
      </c>
    </row>
    <row r="1843" ht="14.25" customHeight="1">
      <c r="A1843" s="4" t="s">
        <v>3338</v>
      </c>
      <c r="B1843" s="37">
        <v>30.0</v>
      </c>
      <c r="C1843" s="37">
        <v>32.15441</v>
      </c>
      <c r="D1843" s="37">
        <v>2.15441</v>
      </c>
    </row>
    <row r="1844" ht="14.25" customHeight="1">
      <c r="A1844" s="4" t="s">
        <v>3307</v>
      </c>
      <c r="B1844" s="37">
        <v>38.0</v>
      </c>
      <c r="C1844" s="37">
        <v>40.137776</v>
      </c>
      <c r="D1844" s="37">
        <v>2.137776</v>
      </c>
    </row>
    <row r="1845" ht="14.25" customHeight="1">
      <c r="A1845" s="4" t="s">
        <v>2070</v>
      </c>
      <c r="B1845" s="37">
        <v>65.0</v>
      </c>
      <c r="C1845" s="37">
        <v>67.128202</v>
      </c>
      <c r="D1845" s="37">
        <v>2.128202</v>
      </c>
    </row>
    <row r="1846" ht="14.25" customHeight="1">
      <c r="A1846" s="4" t="s">
        <v>5974</v>
      </c>
      <c r="B1846" s="37">
        <v>8.0</v>
      </c>
      <c r="C1846" s="37">
        <v>10.106233</v>
      </c>
      <c r="D1846" s="37">
        <v>2.106233</v>
      </c>
    </row>
    <row r="1847" ht="14.25" customHeight="1">
      <c r="A1847" s="4" t="s">
        <v>5525</v>
      </c>
      <c r="B1847" s="37">
        <v>11.0</v>
      </c>
      <c r="C1847" s="37">
        <v>13.103828</v>
      </c>
      <c r="D1847" s="37">
        <v>2.103828</v>
      </c>
    </row>
    <row r="1848" ht="14.25" customHeight="1">
      <c r="A1848" s="4" t="s">
        <v>6109</v>
      </c>
      <c r="B1848" s="37">
        <v>7.0</v>
      </c>
      <c r="C1848" s="37">
        <v>9.094451</v>
      </c>
      <c r="D1848" s="37">
        <v>2.094451</v>
      </c>
    </row>
    <row r="1849" ht="14.25" customHeight="1">
      <c r="A1849" s="4" t="s">
        <v>7608</v>
      </c>
      <c r="B1849" s="37">
        <v>0.3</v>
      </c>
      <c r="C1849" s="37">
        <v>2.360184</v>
      </c>
      <c r="D1849" s="37">
        <v>2.060184</v>
      </c>
    </row>
    <row r="1850" ht="14.25" customHeight="1">
      <c r="A1850" s="4" t="s">
        <v>3100</v>
      </c>
      <c r="B1850" s="37">
        <v>33.0</v>
      </c>
      <c r="C1850" s="37">
        <v>35.057332</v>
      </c>
      <c r="D1850" s="37">
        <v>2.057332</v>
      </c>
    </row>
    <row r="1851" ht="14.25" customHeight="1">
      <c r="A1851" s="4" t="s">
        <v>131</v>
      </c>
      <c r="B1851" s="37">
        <v>170.0</v>
      </c>
      <c r="C1851" s="37">
        <v>172.051787</v>
      </c>
      <c r="D1851" s="37">
        <v>2.051787</v>
      </c>
    </row>
    <row r="1852" ht="14.25" customHeight="1">
      <c r="A1852" s="4" t="s">
        <v>131</v>
      </c>
      <c r="B1852" s="37">
        <v>170.0</v>
      </c>
      <c r="C1852" s="37">
        <v>172.051787</v>
      </c>
      <c r="D1852" s="37">
        <v>2.051787</v>
      </c>
    </row>
    <row r="1853" ht="14.25" customHeight="1">
      <c r="A1853" s="4" t="s">
        <v>2966</v>
      </c>
      <c r="B1853" s="37">
        <v>30.0</v>
      </c>
      <c r="C1853" s="37">
        <v>32.048809</v>
      </c>
      <c r="D1853" s="37">
        <v>2.048809</v>
      </c>
    </row>
    <row r="1854" ht="14.25" customHeight="1">
      <c r="A1854" s="4" t="s">
        <v>2966</v>
      </c>
      <c r="B1854" s="37">
        <v>30.0</v>
      </c>
      <c r="C1854" s="37">
        <v>32.048809</v>
      </c>
      <c r="D1854" s="37">
        <v>2.048809</v>
      </c>
    </row>
    <row r="1855" ht="14.25" customHeight="1">
      <c r="A1855" s="4" t="s">
        <v>7784</v>
      </c>
      <c r="B1855" s="37">
        <v>0.007</v>
      </c>
      <c r="C1855" s="37">
        <v>2.04092</v>
      </c>
      <c r="D1855" s="37">
        <v>2.03392</v>
      </c>
    </row>
    <row r="1856" ht="14.25" customHeight="1">
      <c r="A1856" s="4" t="s">
        <v>3066</v>
      </c>
      <c r="B1856" s="37">
        <v>30.0</v>
      </c>
      <c r="C1856" s="37">
        <v>32.0</v>
      </c>
      <c r="D1856" s="37">
        <v>2.0</v>
      </c>
    </row>
    <row r="1857" ht="14.25" customHeight="1">
      <c r="A1857" s="4" t="s">
        <v>7447</v>
      </c>
      <c r="B1857" s="37">
        <v>0.7</v>
      </c>
      <c r="C1857" s="37">
        <v>2.694973</v>
      </c>
      <c r="D1857" s="37">
        <v>1.994973</v>
      </c>
    </row>
    <row r="1858" ht="14.25" customHeight="1">
      <c r="A1858" s="4" t="s">
        <v>7098</v>
      </c>
      <c r="B1858" s="37">
        <v>1.0</v>
      </c>
      <c r="C1858" s="37">
        <v>2.957978</v>
      </c>
      <c r="D1858" s="37">
        <v>1.957978</v>
      </c>
    </row>
    <row r="1859" ht="14.25" customHeight="1">
      <c r="A1859" s="4" t="s">
        <v>7168</v>
      </c>
      <c r="B1859" s="37">
        <v>1.5</v>
      </c>
      <c r="C1859" s="37">
        <v>3.447339</v>
      </c>
      <c r="D1859" s="37">
        <v>1.947339</v>
      </c>
    </row>
    <row r="1860" ht="14.25" customHeight="1">
      <c r="A1860" s="4" t="s">
        <v>1891</v>
      </c>
      <c r="B1860" s="37">
        <v>55.0</v>
      </c>
      <c r="C1860" s="37">
        <v>56.932305</v>
      </c>
      <c r="D1860" s="37">
        <v>1.932305</v>
      </c>
    </row>
    <row r="1861" ht="14.25" customHeight="1">
      <c r="A1861" s="4" t="s">
        <v>564</v>
      </c>
      <c r="B1861" s="37">
        <v>130.0</v>
      </c>
      <c r="C1861" s="37">
        <v>131.920333</v>
      </c>
      <c r="D1861" s="37">
        <v>1.920333</v>
      </c>
    </row>
    <row r="1862" ht="14.25" customHeight="1">
      <c r="A1862" s="4" t="s">
        <v>7028</v>
      </c>
      <c r="B1862" s="37">
        <v>2.0</v>
      </c>
      <c r="C1862" s="37">
        <v>3.885134</v>
      </c>
      <c r="D1862" s="37">
        <v>1.885134</v>
      </c>
    </row>
    <row r="1863" ht="14.25" customHeight="1">
      <c r="A1863" s="4" t="s">
        <v>7551</v>
      </c>
      <c r="B1863" s="37">
        <v>0.439</v>
      </c>
      <c r="C1863" s="37">
        <v>2.3</v>
      </c>
      <c r="D1863" s="37">
        <v>1.861</v>
      </c>
    </row>
    <row r="1864" ht="14.25" customHeight="1">
      <c r="A1864" s="4" t="s">
        <v>6762</v>
      </c>
      <c r="B1864" s="37">
        <v>3.5</v>
      </c>
      <c r="C1864" s="37">
        <v>5.354039</v>
      </c>
      <c r="D1864" s="37">
        <v>1.854039</v>
      </c>
    </row>
    <row r="1865" ht="14.25" customHeight="1">
      <c r="A1865" s="4" t="s">
        <v>2326</v>
      </c>
      <c r="B1865" s="37">
        <v>45.0</v>
      </c>
      <c r="C1865" s="37">
        <v>46.815748</v>
      </c>
      <c r="D1865" s="37">
        <v>1.815748</v>
      </c>
    </row>
    <row r="1866" ht="14.25" customHeight="1">
      <c r="A1866" s="4" t="s">
        <v>2602</v>
      </c>
      <c r="B1866" s="37">
        <v>40.0</v>
      </c>
      <c r="C1866" s="37">
        <v>41.797066</v>
      </c>
      <c r="D1866" s="37">
        <v>1.797066</v>
      </c>
    </row>
    <row r="1867" ht="14.25" customHeight="1">
      <c r="A1867" s="4" t="s">
        <v>6480</v>
      </c>
      <c r="B1867" s="37">
        <v>5.0</v>
      </c>
      <c r="C1867" s="37">
        <v>6.755271</v>
      </c>
      <c r="D1867" s="37">
        <v>1.755271</v>
      </c>
    </row>
    <row r="1868" ht="14.25" customHeight="1">
      <c r="A1868" s="4" t="s">
        <v>3337</v>
      </c>
      <c r="B1868" s="37">
        <v>30.0</v>
      </c>
      <c r="C1868" s="37">
        <v>31.743332</v>
      </c>
      <c r="D1868" s="37">
        <v>1.743332</v>
      </c>
    </row>
    <row r="1869" ht="14.25" customHeight="1">
      <c r="A1869" s="4" t="s">
        <v>7634</v>
      </c>
      <c r="B1869" s="37">
        <v>0.25</v>
      </c>
      <c r="C1869" s="37">
        <v>1.977544</v>
      </c>
      <c r="D1869" s="37">
        <v>1.727544</v>
      </c>
    </row>
    <row r="1870" ht="14.25" customHeight="1">
      <c r="A1870" s="4" t="s">
        <v>5679</v>
      </c>
      <c r="B1870" s="37">
        <v>10.0</v>
      </c>
      <c r="C1870" s="37">
        <v>11.703287</v>
      </c>
      <c r="D1870" s="37">
        <v>1.703287</v>
      </c>
    </row>
    <row r="1871" ht="14.25" customHeight="1">
      <c r="A1871" s="4" t="s">
        <v>4662</v>
      </c>
      <c r="B1871" s="37">
        <v>17.5</v>
      </c>
      <c r="C1871" s="37">
        <v>19.179969</v>
      </c>
      <c r="D1871" s="37">
        <v>1.679969</v>
      </c>
    </row>
    <row r="1872" ht="14.25" customHeight="1">
      <c r="A1872" s="4" t="s">
        <v>5235</v>
      </c>
      <c r="B1872" s="37">
        <v>13.0</v>
      </c>
      <c r="C1872" s="37">
        <v>14.677654</v>
      </c>
      <c r="D1872" s="37">
        <v>1.677654</v>
      </c>
    </row>
    <row r="1873" ht="14.25" customHeight="1">
      <c r="A1873" s="4" t="s">
        <v>6108</v>
      </c>
      <c r="B1873" s="37">
        <v>7.5</v>
      </c>
      <c r="C1873" s="37">
        <v>9.176553</v>
      </c>
      <c r="D1873" s="37">
        <v>1.676553</v>
      </c>
    </row>
    <row r="1874" ht="14.25" customHeight="1">
      <c r="A1874" s="4" t="s">
        <v>7239</v>
      </c>
      <c r="B1874" s="37">
        <v>1.2</v>
      </c>
      <c r="C1874" s="37">
        <v>2.859955</v>
      </c>
      <c r="D1874" s="37">
        <v>1.659955</v>
      </c>
    </row>
    <row r="1875" ht="14.25" customHeight="1">
      <c r="A1875" s="4" t="s">
        <v>3762</v>
      </c>
      <c r="B1875" s="37">
        <v>30.0</v>
      </c>
      <c r="C1875" s="37">
        <v>31.655091</v>
      </c>
      <c r="D1875" s="37">
        <v>1.655091</v>
      </c>
    </row>
    <row r="1876" ht="14.25" customHeight="1">
      <c r="A1876" s="4" t="s">
        <v>7453</v>
      </c>
      <c r="B1876" s="37">
        <v>0.65</v>
      </c>
      <c r="C1876" s="37">
        <v>2.301777</v>
      </c>
      <c r="D1876" s="37">
        <v>1.651777</v>
      </c>
    </row>
    <row r="1877" ht="14.25" customHeight="1">
      <c r="A1877" s="4" t="s">
        <v>6884</v>
      </c>
      <c r="B1877" s="37">
        <v>1.5</v>
      </c>
      <c r="C1877" s="37">
        <v>3.123749</v>
      </c>
      <c r="D1877" s="37">
        <v>1.623749</v>
      </c>
    </row>
    <row r="1878" ht="14.25" customHeight="1">
      <c r="A1878" s="4" t="s">
        <v>7240</v>
      </c>
      <c r="B1878" s="37">
        <v>1.2</v>
      </c>
      <c r="C1878" s="37">
        <v>2.812029</v>
      </c>
      <c r="D1878" s="37">
        <v>1.612029</v>
      </c>
    </row>
    <row r="1879" ht="14.25" customHeight="1">
      <c r="A1879" s="4" t="s">
        <v>5129</v>
      </c>
      <c r="B1879" s="37">
        <v>11.0</v>
      </c>
      <c r="C1879" s="37">
        <v>12.610731</v>
      </c>
      <c r="D1879" s="37">
        <v>1.610731</v>
      </c>
    </row>
    <row r="1880" ht="14.25" customHeight="1">
      <c r="A1880" s="4" t="s">
        <v>7031</v>
      </c>
      <c r="B1880" s="37">
        <v>2.0</v>
      </c>
      <c r="C1880" s="37">
        <v>3.59001</v>
      </c>
      <c r="D1880" s="37">
        <v>1.59001</v>
      </c>
    </row>
    <row r="1881" ht="14.25" customHeight="1">
      <c r="A1881" s="4" t="s">
        <v>5289</v>
      </c>
      <c r="B1881" s="37">
        <v>12.5</v>
      </c>
      <c r="C1881" s="37">
        <v>14.06095</v>
      </c>
      <c r="D1881" s="37">
        <v>1.56095</v>
      </c>
    </row>
    <row r="1882" ht="14.25" customHeight="1">
      <c r="A1882" s="4" t="s">
        <v>5112</v>
      </c>
      <c r="B1882" s="37">
        <v>14.0</v>
      </c>
      <c r="C1882" s="37">
        <v>15.549702</v>
      </c>
      <c r="D1882" s="37">
        <v>1.549702</v>
      </c>
    </row>
    <row r="1883" ht="14.25" customHeight="1">
      <c r="A1883" s="4" t="s">
        <v>7489</v>
      </c>
      <c r="B1883" s="37">
        <v>0.5</v>
      </c>
      <c r="C1883" s="37">
        <v>2.04757</v>
      </c>
      <c r="D1883" s="37">
        <v>1.54757</v>
      </c>
    </row>
    <row r="1884" ht="14.25" customHeight="1">
      <c r="A1884" s="4" t="s">
        <v>6275</v>
      </c>
      <c r="B1884" s="37">
        <v>6.0</v>
      </c>
      <c r="C1884" s="37">
        <v>7.518876</v>
      </c>
      <c r="D1884" s="37">
        <v>1.518876</v>
      </c>
    </row>
    <row r="1885" ht="14.25" customHeight="1">
      <c r="A1885" s="4" t="s">
        <v>7309</v>
      </c>
      <c r="B1885" s="37">
        <v>1.0</v>
      </c>
      <c r="C1885" s="37">
        <v>2.508841</v>
      </c>
      <c r="D1885" s="37">
        <v>1.508841</v>
      </c>
    </row>
    <row r="1886" ht="14.25" customHeight="1">
      <c r="A1886" s="4" t="s">
        <v>5114</v>
      </c>
      <c r="B1886" s="37">
        <v>14.0</v>
      </c>
      <c r="C1886" s="37">
        <v>15.48354</v>
      </c>
      <c r="D1886" s="37">
        <v>1.48354</v>
      </c>
    </row>
    <row r="1887" ht="14.25" customHeight="1">
      <c r="A1887" s="4" t="s">
        <v>4955</v>
      </c>
      <c r="B1887" s="37">
        <v>15.0</v>
      </c>
      <c r="C1887" s="37">
        <v>16.459004</v>
      </c>
      <c r="D1887" s="37">
        <v>1.459004</v>
      </c>
    </row>
    <row r="1888" ht="14.25" customHeight="1">
      <c r="A1888" s="4" t="s">
        <v>7720</v>
      </c>
      <c r="B1888" s="37">
        <v>0.125</v>
      </c>
      <c r="C1888" s="37">
        <v>1.573712</v>
      </c>
      <c r="D1888" s="37">
        <v>1.448712</v>
      </c>
    </row>
    <row r="1889" ht="14.25" customHeight="1">
      <c r="A1889" s="4" t="s">
        <v>6889</v>
      </c>
      <c r="B1889" s="37">
        <v>2.2</v>
      </c>
      <c r="C1889" s="37">
        <v>3.645438</v>
      </c>
      <c r="D1889" s="37">
        <v>1.445438</v>
      </c>
    </row>
    <row r="1890" ht="14.25" customHeight="1">
      <c r="A1890" s="4" t="s">
        <v>4252</v>
      </c>
      <c r="B1890" s="37">
        <v>20.0</v>
      </c>
      <c r="C1890" s="37">
        <v>21.413105</v>
      </c>
      <c r="D1890" s="37">
        <v>1.413105</v>
      </c>
    </row>
    <row r="1891" ht="14.25" customHeight="1">
      <c r="A1891" s="4" t="s">
        <v>6338</v>
      </c>
      <c r="B1891" s="37">
        <v>5.6</v>
      </c>
      <c r="C1891" s="37">
        <v>7.009668</v>
      </c>
      <c r="D1891" s="37">
        <v>1.409668</v>
      </c>
    </row>
    <row r="1892" ht="14.25" customHeight="1">
      <c r="A1892" s="4" t="s">
        <v>6113</v>
      </c>
      <c r="B1892" s="37">
        <v>7.0</v>
      </c>
      <c r="C1892" s="37">
        <v>8.373585</v>
      </c>
      <c r="D1892" s="37">
        <v>1.373585</v>
      </c>
    </row>
    <row r="1893" ht="14.25" customHeight="1">
      <c r="A1893" s="4" t="s">
        <v>7607</v>
      </c>
      <c r="B1893" s="37">
        <v>0.3</v>
      </c>
      <c r="C1893" s="37">
        <v>1.652472</v>
      </c>
      <c r="D1893" s="37">
        <v>1.352472</v>
      </c>
    </row>
    <row r="1894" ht="14.25" customHeight="1">
      <c r="A1894" s="4" t="s">
        <v>7032</v>
      </c>
      <c r="B1894" s="37">
        <v>2.0</v>
      </c>
      <c r="C1894" s="37">
        <v>3.335839</v>
      </c>
      <c r="D1894" s="37">
        <v>1.335839</v>
      </c>
    </row>
    <row r="1895" ht="14.25" customHeight="1">
      <c r="A1895" s="4" t="s">
        <v>7566</v>
      </c>
      <c r="B1895" s="37">
        <v>0.4</v>
      </c>
      <c r="C1895" s="37">
        <v>1.689999</v>
      </c>
      <c r="D1895" s="37">
        <v>1.289999</v>
      </c>
    </row>
    <row r="1896" ht="14.25" customHeight="1">
      <c r="A1896" s="4" t="s">
        <v>7419</v>
      </c>
      <c r="B1896" s="37">
        <v>0.8</v>
      </c>
      <c r="C1896" s="37">
        <v>2.073984</v>
      </c>
      <c r="D1896" s="37">
        <v>1.273984</v>
      </c>
    </row>
    <row r="1897" ht="14.25" customHeight="1">
      <c r="A1897" s="4" t="s">
        <v>7111</v>
      </c>
      <c r="B1897" s="37">
        <v>1.8</v>
      </c>
      <c r="C1897" s="37">
        <v>3.050934</v>
      </c>
      <c r="D1897" s="37">
        <v>1.250934</v>
      </c>
    </row>
    <row r="1898" ht="14.25" customHeight="1">
      <c r="A1898" s="4" t="s">
        <v>6355</v>
      </c>
      <c r="B1898" s="37">
        <v>5.0</v>
      </c>
      <c r="C1898" s="37">
        <v>6.239558</v>
      </c>
      <c r="D1898" s="37">
        <v>1.239558</v>
      </c>
    </row>
    <row r="1899" ht="14.25" customHeight="1">
      <c r="A1899" s="4" t="s">
        <v>733</v>
      </c>
      <c r="B1899" s="37">
        <v>100.0</v>
      </c>
      <c r="C1899" s="37">
        <v>101.22812</v>
      </c>
      <c r="D1899" s="37">
        <v>1.22812</v>
      </c>
    </row>
    <row r="1900" ht="14.25" customHeight="1">
      <c r="A1900" s="4" t="s">
        <v>7697</v>
      </c>
      <c r="B1900" s="37">
        <v>0.1</v>
      </c>
      <c r="C1900" s="37">
        <v>1.316074</v>
      </c>
      <c r="D1900" s="37">
        <v>1.216074</v>
      </c>
    </row>
    <row r="1901" ht="14.25" customHeight="1">
      <c r="A1901" s="4" t="s">
        <v>7762</v>
      </c>
      <c r="B1901" s="37">
        <v>0.023</v>
      </c>
      <c r="C1901" s="37">
        <v>1.227508</v>
      </c>
      <c r="D1901" s="37">
        <v>1.204508</v>
      </c>
    </row>
    <row r="1902" ht="14.25" customHeight="1">
      <c r="A1902" s="4" t="s">
        <v>4259</v>
      </c>
      <c r="B1902" s="37">
        <v>20.0</v>
      </c>
      <c r="C1902" s="37">
        <v>21.2</v>
      </c>
      <c r="D1902" s="37">
        <v>1.2</v>
      </c>
    </row>
    <row r="1903" ht="14.25" customHeight="1">
      <c r="A1903" s="4" t="s">
        <v>7303</v>
      </c>
      <c r="B1903" s="37">
        <v>6.0</v>
      </c>
      <c r="C1903" s="37">
        <v>7.18667</v>
      </c>
      <c r="D1903" s="37">
        <v>1.18667</v>
      </c>
    </row>
    <row r="1904" ht="14.25" customHeight="1">
      <c r="A1904" s="4" t="s">
        <v>1944</v>
      </c>
      <c r="B1904" s="37">
        <v>50.0</v>
      </c>
      <c r="C1904" s="37">
        <v>51.178893</v>
      </c>
      <c r="D1904" s="37">
        <v>1.178893</v>
      </c>
    </row>
    <row r="1905" ht="14.25" customHeight="1">
      <c r="A1905" s="4" t="s">
        <v>2788</v>
      </c>
      <c r="B1905" s="37">
        <v>38.0</v>
      </c>
      <c r="C1905" s="37">
        <v>39.177215</v>
      </c>
      <c r="D1905" s="37">
        <v>1.177215</v>
      </c>
    </row>
    <row r="1906" ht="14.25" customHeight="1">
      <c r="A1906" s="4" t="s">
        <v>3927</v>
      </c>
      <c r="B1906" s="37">
        <v>24.0</v>
      </c>
      <c r="C1906" s="37">
        <v>25.16727</v>
      </c>
      <c r="D1906" s="37">
        <v>1.16727</v>
      </c>
    </row>
    <row r="1907" ht="14.25" customHeight="1">
      <c r="A1907" s="4" t="s">
        <v>5868</v>
      </c>
      <c r="B1907" s="37">
        <v>9.0</v>
      </c>
      <c r="C1907" s="37">
        <v>10.161099</v>
      </c>
      <c r="D1907" s="37">
        <v>1.161099</v>
      </c>
    </row>
    <row r="1908" ht="14.25" customHeight="1">
      <c r="A1908" s="4" t="s">
        <v>6483</v>
      </c>
      <c r="B1908" s="37">
        <v>5.0</v>
      </c>
      <c r="C1908" s="37">
        <v>6.157157</v>
      </c>
      <c r="D1908" s="37">
        <v>1.157157</v>
      </c>
    </row>
    <row r="1909" ht="14.25" customHeight="1">
      <c r="A1909" s="4" t="s">
        <v>6831</v>
      </c>
      <c r="B1909" s="37">
        <v>3.0</v>
      </c>
      <c r="C1909" s="37">
        <v>4.142507</v>
      </c>
      <c r="D1909" s="37">
        <v>1.142507</v>
      </c>
    </row>
    <row r="1910" ht="14.25" customHeight="1">
      <c r="A1910" s="4" t="s">
        <v>6833</v>
      </c>
      <c r="B1910" s="37">
        <v>3.0</v>
      </c>
      <c r="C1910" s="37">
        <v>4.109095</v>
      </c>
      <c r="D1910" s="37">
        <v>1.109095</v>
      </c>
    </row>
    <row r="1911" ht="14.25" customHeight="1">
      <c r="A1911" s="4" t="s">
        <v>2830</v>
      </c>
      <c r="B1911" s="37">
        <v>40.0</v>
      </c>
      <c r="C1911" s="37">
        <v>41.102171</v>
      </c>
      <c r="D1911" s="37">
        <v>1.102171</v>
      </c>
    </row>
    <row r="1912" ht="14.25" customHeight="1">
      <c r="A1912" s="4" t="s">
        <v>6164</v>
      </c>
      <c r="B1912" s="37">
        <v>6.9</v>
      </c>
      <c r="C1912" s="37">
        <v>7.993039</v>
      </c>
      <c r="D1912" s="37">
        <v>1.093039</v>
      </c>
    </row>
    <row r="1913" ht="14.25" customHeight="1">
      <c r="A1913" s="4" t="s">
        <v>1115</v>
      </c>
      <c r="B1913" s="37">
        <v>75.0</v>
      </c>
      <c r="C1913" s="37">
        <v>76.081498</v>
      </c>
      <c r="D1913" s="37">
        <v>1.081498</v>
      </c>
    </row>
    <row r="1914" ht="14.25" customHeight="1">
      <c r="A1914" s="4" t="s">
        <v>7495</v>
      </c>
      <c r="B1914" s="37">
        <v>0.046</v>
      </c>
      <c r="C1914" s="37">
        <v>1.127331</v>
      </c>
      <c r="D1914" s="37">
        <v>1.081331</v>
      </c>
    </row>
    <row r="1915" ht="14.25" customHeight="1">
      <c r="A1915" s="4" t="s">
        <v>5119</v>
      </c>
      <c r="B1915" s="37">
        <v>14.0</v>
      </c>
      <c r="C1915" s="37">
        <v>15.062898</v>
      </c>
      <c r="D1915" s="37">
        <v>1.062898</v>
      </c>
    </row>
    <row r="1916" ht="14.25" customHeight="1">
      <c r="A1916" s="4" t="s">
        <v>5567</v>
      </c>
      <c r="B1916" s="37">
        <v>10.0</v>
      </c>
      <c r="C1916" s="37">
        <v>11.043445</v>
      </c>
      <c r="D1916" s="37">
        <v>1.043445</v>
      </c>
    </row>
    <row r="1917" ht="14.25" customHeight="1">
      <c r="A1917" s="4" t="s">
        <v>2318</v>
      </c>
      <c r="B1917" s="37">
        <v>50.0</v>
      </c>
      <c r="C1917" s="37">
        <v>51.019112</v>
      </c>
      <c r="D1917" s="37">
        <v>1.019112</v>
      </c>
    </row>
    <row r="1918" ht="14.25" customHeight="1">
      <c r="A1918" s="4" t="s">
        <v>3103</v>
      </c>
      <c r="B1918" s="37">
        <v>33.0</v>
      </c>
      <c r="C1918" s="37">
        <v>34.014398</v>
      </c>
      <c r="D1918" s="37">
        <v>1.014398</v>
      </c>
    </row>
    <row r="1919" ht="14.25" customHeight="1">
      <c r="A1919" s="4" t="s">
        <v>3103</v>
      </c>
      <c r="B1919" s="37">
        <v>33.0</v>
      </c>
      <c r="C1919" s="37">
        <v>34.014398</v>
      </c>
      <c r="D1919" s="37">
        <v>1.014398</v>
      </c>
    </row>
    <row r="1920" ht="14.25" customHeight="1">
      <c r="A1920" s="4" t="s">
        <v>3946</v>
      </c>
      <c r="B1920" s="37">
        <v>24.0</v>
      </c>
      <c r="C1920" s="37">
        <v>25.003072</v>
      </c>
      <c r="D1920" s="37">
        <v>1.003072</v>
      </c>
    </row>
    <row r="1921" ht="14.25" customHeight="1">
      <c r="A1921" s="4" t="s">
        <v>7237</v>
      </c>
      <c r="B1921" s="37">
        <v>1.2</v>
      </c>
      <c r="C1921" s="37">
        <v>2.199853</v>
      </c>
      <c r="D1921" s="37">
        <v>0.999853</v>
      </c>
    </row>
    <row r="1922" ht="14.25" customHeight="1">
      <c r="A1922" s="4" t="s">
        <v>7564</v>
      </c>
      <c r="B1922" s="37">
        <v>0.229575</v>
      </c>
      <c r="C1922" s="37">
        <v>1.229197</v>
      </c>
      <c r="D1922" s="37">
        <v>0.999622</v>
      </c>
    </row>
    <row r="1923" ht="14.25" customHeight="1">
      <c r="A1923" s="4" t="s">
        <v>7602</v>
      </c>
      <c r="B1923" s="37">
        <v>0.312</v>
      </c>
      <c r="C1923" s="37">
        <v>1.281176</v>
      </c>
      <c r="D1923" s="37">
        <v>0.969176</v>
      </c>
    </row>
    <row r="1924" ht="14.25" customHeight="1">
      <c r="A1924" s="4" t="s">
        <v>7313</v>
      </c>
      <c r="B1924" s="37">
        <v>1.0</v>
      </c>
      <c r="C1924" s="37">
        <v>1.950218</v>
      </c>
      <c r="D1924" s="37">
        <v>0.950218</v>
      </c>
    </row>
    <row r="1925" ht="14.25" customHeight="1">
      <c r="A1925" s="4" t="s">
        <v>5394</v>
      </c>
      <c r="B1925" s="37">
        <v>12.0</v>
      </c>
      <c r="C1925" s="37">
        <v>12.90279</v>
      </c>
      <c r="D1925" s="37">
        <v>0.90279</v>
      </c>
    </row>
    <row r="1926" ht="14.25" customHeight="1">
      <c r="A1926" s="4" t="s">
        <v>6835</v>
      </c>
      <c r="B1926" s="37">
        <v>3.0</v>
      </c>
      <c r="C1926" s="37">
        <v>3.902679</v>
      </c>
      <c r="D1926" s="37">
        <v>0.902679</v>
      </c>
    </row>
    <row r="1927" ht="14.25" customHeight="1">
      <c r="A1927" s="4" t="s">
        <v>7159</v>
      </c>
      <c r="B1927" s="37">
        <v>1.5</v>
      </c>
      <c r="C1927" s="37">
        <v>2.365931</v>
      </c>
      <c r="D1927" s="37">
        <v>0.865931</v>
      </c>
    </row>
    <row r="1928" ht="14.25" customHeight="1">
      <c r="A1928" s="4" t="s">
        <v>6279</v>
      </c>
      <c r="B1928" s="37">
        <v>6.0</v>
      </c>
      <c r="C1928" s="37">
        <v>6.851636</v>
      </c>
      <c r="D1928" s="37">
        <v>0.851636</v>
      </c>
    </row>
    <row r="1929" ht="14.25" customHeight="1">
      <c r="A1929" s="4" t="s">
        <v>2398</v>
      </c>
      <c r="B1929" s="37">
        <v>44.0</v>
      </c>
      <c r="C1929" s="37">
        <v>44.834712</v>
      </c>
      <c r="D1929" s="37">
        <v>0.834712</v>
      </c>
    </row>
    <row r="1930" ht="14.25" customHeight="1">
      <c r="A1930" s="4" t="s">
        <v>6935</v>
      </c>
      <c r="B1930" s="37">
        <v>2.5</v>
      </c>
      <c r="C1930" s="37">
        <v>3.325638</v>
      </c>
      <c r="D1930" s="37">
        <v>0.825638</v>
      </c>
    </row>
    <row r="1931" ht="14.25" customHeight="1">
      <c r="A1931" s="4" t="s">
        <v>5681</v>
      </c>
      <c r="B1931" s="37">
        <v>10.0</v>
      </c>
      <c r="C1931" s="37">
        <v>10.824921</v>
      </c>
      <c r="D1931" s="37">
        <v>0.824921</v>
      </c>
    </row>
    <row r="1932" ht="14.25" customHeight="1">
      <c r="A1932" s="4" t="s">
        <v>2091</v>
      </c>
      <c r="B1932" s="37">
        <v>50.0</v>
      </c>
      <c r="C1932" s="37">
        <v>50.815288</v>
      </c>
      <c r="D1932" s="37">
        <v>0.815288</v>
      </c>
    </row>
    <row r="1933" ht="14.25" customHeight="1">
      <c r="A1933" s="4" t="s">
        <v>2091</v>
      </c>
      <c r="B1933" s="37">
        <v>50.0</v>
      </c>
      <c r="C1933" s="37">
        <v>50.815288</v>
      </c>
      <c r="D1933" s="37">
        <v>0.815288</v>
      </c>
    </row>
    <row r="1934" ht="14.25" customHeight="1">
      <c r="A1934" s="4" t="s">
        <v>7664</v>
      </c>
      <c r="B1934" s="37">
        <v>0.225</v>
      </c>
      <c r="C1934" s="37">
        <v>1.027119</v>
      </c>
      <c r="D1934" s="37">
        <v>0.802119</v>
      </c>
    </row>
    <row r="1935" ht="14.25" customHeight="1">
      <c r="A1935" s="4" t="s">
        <v>7635</v>
      </c>
      <c r="B1935" s="37">
        <v>0.25</v>
      </c>
      <c r="C1935" s="37">
        <v>1.0506</v>
      </c>
      <c r="D1935" s="37">
        <v>0.8006</v>
      </c>
    </row>
    <row r="1936" ht="14.25" customHeight="1">
      <c r="A1936" s="4" t="s">
        <v>4624</v>
      </c>
      <c r="B1936" s="37">
        <v>2.7</v>
      </c>
      <c r="C1936" s="37">
        <v>3.5</v>
      </c>
      <c r="D1936" s="37">
        <v>0.8</v>
      </c>
    </row>
    <row r="1937" ht="14.25" customHeight="1">
      <c r="A1937" s="4" t="s">
        <v>4079</v>
      </c>
      <c r="B1937" s="37">
        <v>21.5</v>
      </c>
      <c r="C1937" s="37">
        <v>22.294341</v>
      </c>
      <c r="D1937" s="37">
        <v>0.794341</v>
      </c>
    </row>
    <row r="1938" ht="14.25" customHeight="1">
      <c r="A1938" s="4" t="s">
        <v>7042</v>
      </c>
      <c r="B1938" s="37">
        <v>1.5</v>
      </c>
      <c r="C1938" s="37">
        <v>2.283276</v>
      </c>
      <c r="D1938" s="37">
        <v>0.783276</v>
      </c>
    </row>
    <row r="1939" ht="14.25" customHeight="1">
      <c r="A1939" s="4" t="s">
        <v>3668</v>
      </c>
      <c r="B1939" s="37">
        <v>26.0</v>
      </c>
      <c r="C1939" s="37">
        <v>26.761283</v>
      </c>
      <c r="D1939" s="37">
        <v>0.761283</v>
      </c>
    </row>
    <row r="1940" ht="14.25" customHeight="1">
      <c r="A1940" s="4" t="s">
        <v>3543</v>
      </c>
      <c r="B1940" s="37">
        <v>28.0</v>
      </c>
      <c r="C1940" s="37">
        <v>28.751715</v>
      </c>
      <c r="D1940" s="37">
        <v>0.751715</v>
      </c>
    </row>
    <row r="1941" ht="14.25" customHeight="1">
      <c r="A1941" s="4" t="s">
        <v>7492</v>
      </c>
      <c r="B1941" s="37">
        <v>0.5</v>
      </c>
      <c r="C1941" s="37">
        <v>1.250798</v>
      </c>
      <c r="D1941" s="37">
        <v>0.750798</v>
      </c>
    </row>
    <row r="1942" ht="14.25" customHeight="1">
      <c r="A1942" s="4" t="s">
        <v>1897</v>
      </c>
      <c r="B1942" s="37">
        <v>55.0</v>
      </c>
      <c r="C1942" s="37">
        <v>55.747724</v>
      </c>
      <c r="D1942" s="37">
        <v>0.747724</v>
      </c>
    </row>
    <row r="1943" ht="14.25" customHeight="1">
      <c r="A1943" s="4" t="s">
        <v>7690</v>
      </c>
      <c r="B1943" s="37">
        <v>0.18</v>
      </c>
      <c r="C1943" s="37">
        <v>0.925402</v>
      </c>
      <c r="D1943" s="37">
        <v>0.745402</v>
      </c>
    </row>
    <row r="1944" ht="14.25" customHeight="1">
      <c r="A1944" s="4" t="s">
        <v>7319</v>
      </c>
      <c r="B1944" s="37">
        <v>1.0</v>
      </c>
      <c r="C1944" s="37">
        <v>1.744858</v>
      </c>
      <c r="D1944" s="37">
        <v>0.744858</v>
      </c>
    </row>
    <row r="1945" ht="14.25" customHeight="1">
      <c r="A1945" s="4" t="s">
        <v>6714</v>
      </c>
      <c r="B1945" s="37">
        <v>2.0</v>
      </c>
      <c r="C1945" s="37">
        <v>2.706659</v>
      </c>
      <c r="D1945" s="37">
        <v>0.706659</v>
      </c>
    </row>
    <row r="1946" ht="14.25" customHeight="1">
      <c r="A1946" s="4" t="s">
        <v>3153</v>
      </c>
      <c r="B1946" s="37">
        <v>32.0</v>
      </c>
      <c r="C1946" s="37">
        <v>32.701088</v>
      </c>
      <c r="D1946" s="37">
        <v>0.701088</v>
      </c>
    </row>
    <row r="1947" ht="14.25" customHeight="1">
      <c r="A1947" s="4" t="s">
        <v>4956</v>
      </c>
      <c r="B1947" s="37">
        <v>15.0</v>
      </c>
      <c r="C1947" s="37">
        <v>15.7</v>
      </c>
      <c r="D1947" s="37">
        <v>0.7</v>
      </c>
    </row>
    <row r="1948" ht="14.25" customHeight="1">
      <c r="A1948" s="4" t="s">
        <v>3109</v>
      </c>
      <c r="B1948" s="37">
        <v>33.0</v>
      </c>
      <c r="C1948" s="37">
        <v>33.682273</v>
      </c>
      <c r="D1948" s="37">
        <v>0.682273</v>
      </c>
    </row>
    <row r="1949" ht="14.25" customHeight="1">
      <c r="A1949" s="4" t="s">
        <v>7317</v>
      </c>
      <c r="B1949" s="37">
        <v>1.0</v>
      </c>
      <c r="C1949" s="37">
        <v>1.677838</v>
      </c>
      <c r="D1949" s="37">
        <v>0.677838</v>
      </c>
    </row>
    <row r="1950" ht="14.25" customHeight="1">
      <c r="A1950" s="4" t="s">
        <v>6285</v>
      </c>
      <c r="B1950" s="37">
        <v>6.0</v>
      </c>
      <c r="C1950" s="37">
        <v>6.670712</v>
      </c>
      <c r="D1950" s="37">
        <v>0.670712</v>
      </c>
    </row>
    <row r="1951" ht="14.25" customHeight="1">
      <c r="A1951" s="4" t="s">
        <v>7774</v>
      </c>
      <c r="B1951" s="37">
        <v>0.01</v>
      </c>
      <c r="C1951" s="37">
        <v>0.67378</v>
      </c>
      <c r="D1951" s="37">
        <v>0.66378</v>
      </c>
    </row>
    <row r="1952" ht="14.25" customHeight="1">
      <c r="A1952" s="4" t="s">
        <v>7613</v>
      </c>
      <c r="B1952" s="37">
        <v>0.2</v>
      </c>
      <c r="C1952" s="37">
        <v>0.856942</v>
      </c>
      <c r="D1952" s="37">
        <v>0.656942</v>
      </c>
    </row>
    <row r="1953" ht="14.25" customHeight="1">
      <c r="A1953" s="4" t="s">
        <v>7638</v>
      </c>
      <c r="B1953" s="37">
        <v>0.25</v>
      </c>
      <c r="C1953" s="37">
        <v>0.902835</v>
      </c>
      <c r="D1953" s="37">
        <v>0.652835</v>
      </c>
    </row>
    <row r="1954" ht="14.25" customHeight="1">
      <c r="A1954" s="4" t="s">
        <v>3776</v>
      </c>
      <c r="B1954" s="37">
        <v>25.0</v>
      </c>
      <c r="C1954" s="37">
        <v>25.615792</v>
      </c>
      <c r="D1954" s="37">
        <v>0.615792</v>
      </c>
    </row>
    <row r="1955" ht="14.25" customHeight="1">
      <c r="A1955" s="4" t="s">
        <v>7501</v>
      </c>
      <c r="B1955" s="37">
        <v>0.5</v>
      </c>
      <c r="C1955" s="37">
        <v>1.114943</v>
      </c>
      <c r="D1955" s="37">
        <v>0.614943</v>
      </c>
    </row>
    <row r="1956" ht="14.25" customHeight="1">
      <c r="A1956" s="4" t="s">
        <v>7502</v>
      </c>
      <c r="B1956" s="37">
        <v>0.5</v>
      </c>
      <c r="C1956" s="37">
        <v>1.111615</v>
      </c>
      <c r="D1956" s="37">
        <v>0.611615</v>
      </c>
    </row>
    <row r="1957" ht="14.25" customHeight="1">
      <c r="A1957" s="4" t="s">
        <v>4985</v>
      </c>
      <c r="B1957" s="37">
        <v>15.0</v>
      </c>
      <c r="C1957" s="37">
        <v>15.608545</v>
      </c>
      <c r="D1957" s="37">
        <v>0.608545</v>
      </c>
    </row>
    <row r="1958" ht="14.25" customHeight="1">
      <c r="A1958" s="4" t="s">
        <v>7390</v>
      </c>
      <c r="B1958" s="37">
        <v>0.59</v>
      </c>
      <c r="C1958" s="37">
        <v>1.185783</v>
      </c>
      <c r="D1958" s="37">
        <v>0.595783</v>
      </c>
    </row>
    <row r="1959" ht="14.25" customHeight="1">
      <c r="A1959" s="4" t="s">
        <v>7574</v>
      </c>
      <c r="B1959" s="37">
        <v>2.18E-4</v>
      </c>
      <c r="C1959" s="37">
        <v>0.592014</v>
      </c>
      <c r="D1959" s="37">
        <v>0.591796</v>
      </c>
    </row>
    <row r="1960" ht="14.25" customHeight="1">
      <c r="A1960" s="4" t="s">
        <v>1671</v>
      </c>
      <c r="B1960" s="37">
        <v>60.0</v>
      </c>
      <c r="C1960" s="37">
        <v>60.573641</v>
      </c>
      <c r="D1960" s="37">
        <v>0.573641</v>
      </c>
    </row>
    <row r="1961" ht="14.25" customHeight="1">
      <c r="A1961" s="4" t="s">
        <v>5684</v>
      </c>
      <c r="B1961" s="37">
        <v>10.0</v>
      </c>
      <c r="C1961" s="37">
        <v>10.561238</v>
      </c>
      <c r="D1961" s="37">
        <v>0.561238</v>
      </c>
    </row>
    <row r="1962" ht="14.25" customHeight="1">
      <c r="A1962" s="4" t="s">
        <v>6838</v>
      </c>
      <c r="B1962" s="37">
        <v>3.0</v>
      </c>
      <c r="C1962" s="37">
        <v>3.55999</v>
      </c>
      <c r="D1962" s="37">
        <v>0.55999</v>
      </c>
    </row>
    <row r="1963" ht="14.25" customHeight="1">
      <c r="A1963" s="4" t="s">
        <v>7033</v>
      </c>
      <c r="B1963" s="37">
        <v>2.0</v>
      </c>
      <c r="C1963" s="37">
        <v>2.557668</v>
      </c>
      <c r="D1963" s="37">
        <v>0.557668</v>
      </c>
    </row>
    <row r="1964" ht="14.25" customHeight="1">
      <c r="A1964" s="4" t="s">
        <v>6910</v>
      </c>
      <c r="B1964" s="37">
        <v>2.6</v>
      </c>
      <c r="C1964" s="37">
        <v>3.130592</v>
      </c>
      <c r="D1964" s="37">
        <v>0.530592</v>
      </c>
    </row>
    <row r="1965" ht="14.25" customHeight="1">
      <c r="A1965" s="4" t="s">
        <v>7428</v>
      </c>
      <c r="B1965" s="37">
        <v>0.78</v>
      </c>
      <c r="C1965" s="37">
        <v>1.31027</v>
      </c>
      <c r="D1965" s="37">
        <v>0.53027</v>
      </c>
    </row>
    <row r="1966" ht="14.25" customHeight="1">
      <c r="A1966" s="4" t="s">
        <v>3354</v>
      </c>
      <c r="B1966" s="37">
        <v>30.0</v>
      </c>
      <c r="C1966" s="37">
        <v>30.523568</v>
      </c>
      <c r="D1966" s="37">
        <v>0.523568</v>
      </c>
    </row>
    <row r="1967" ht="14.25" customHeight="1">
      <c r="A1967" s="4" t="s">
        <v>3348</v>
      </c>
      <c r="B1967" s="37">
        <v>30.0</v>
      </c>
      <c r="C1967" s="37">
        <v>30.51394</v>
      </c>
      <c r="D1967" s="37">
        <v>0.51394</v>
      </c>
    </row>
    <row r="1968" ht="14.25" customHeight="1">
      <c r="A1968" s="4" t="s">
        <v>7034</v>
      </c>
      <c r="B1968" s="37">
        <v>2.0</v>
      </c>
      <c r="C1968" s="37">
        <v>2.506446</v>
      </c>
      <c r="D1968" s="37">
        <v>0.506446</v>
      </c>
    </row>
    <row r="1969" ht="14.25" customHeight="1">
      <c r="A1969" s="4" t="s">
        <v>7504</v>
      </c>
      <c r="B1969" s="37">
        <v>0.5</v>
      </c>
      <c r="C1969" s="37">
        <v>0.985341</v>
      </c>
      <c r="D1969" s="37">
        <v>0.485341</v>
      </c>
    </row>
    <row r="1970" ht="14.25" customHeight="1">
      <c r="A1970" s="4" t="s">
        <v>6485</v>
      </c>
      <c r="B1970" s="37">
        <v>5.0</v>
      </c>
      <c r="C1970" s="37">
        <v>5.480318</v>
      </c>
      <c r="D1970" s="37">
        <v>0.480318</v>
      </c>
    </row>
    <row r="1971" ht="14.25" customHeight="1">
      <c r="A1971" s="4" t="s">
        <v>7736</v>
      </c>
      <c r="B1971" s="37">
        <v>0.06</v>
      </c>
      <c r="C1971" s="37">
        <v>0.536767</v>
      </c>
      <c r="D1971" s="37">
        <v>0.476767</v>
      </c>
    </row>
    <row r="1972" ht="14.25" customHeight="1">
      <c r="A1972" s="4" t="s">
        <v>6131</v>
      </c>
      <c r="B1972" s="37">
        <v>7.0</v>
      </c>
      <c r="C1972" s="37">
        <v>7.455447</v>
      </c>
      <c r="D1972" s="37">
        <v>0.455447</v>
      </c>
    </row>
    <row r="1973" ht="14.25" customHeight="1">
      <c r="A1973" s="4" t="s">
        <v>7445</v>
      </c>
      <c r="B1973" s="37">
        <v>0.7</v>
      </c>
      <c r="C1973" s="37">
        <v>1.141829</v>
      </c>
      <c r="D1973" s="37">
        <v>0.441829</v>
      </c>
    </row>
    <row r="1974" ht="14.25" customHeight="1">
      <c r="A1974" s="4" t="s">
        <v>7779</v>
      </c>
      <c r="B1974" s="37">
        <v>0.007</v>
      </c>
      <c r="C1974" s="37">
        <v>0.42476</v>
      </c>
      <c r="D1974" s="37">
        <v>0.41776</v>
      </c>
    </row>
    <row r="1975" ht="14.25" customHeight="1">
      <c r="A1975" s="4" t="s">
        <v>3664</v>
      </c>
      <c r="B1975" s="37">
        <v>25.1</v>
      </c>
      <c r="C1975" s="37">
        <v>25.5175</v>
      </c>
      <c r="D1975" s="37">
        <v>0.4175</v>
      </c>
    </row>
    <row r="1976" ht="14.25" customHeight="1">
      <c r="A1976" s="4" t="s">
        <v>7498</v>
      </c>
      <c r="B1976" s="37">
        <v>0.5</v>
      </c>
      <c r="C1976" s="37">
        <v>0.906666</v>
      </c>
      <c r="D1976" s="37">
        <v>0.406666</v>
      </c>
    </row>
    <row r="1977" ht="14.25" customHeight="1">
      <c r="A1977" s="4" t="s">
        <v>7406</v>
      </c>
      <c r="B1977" s="37">
        <v>0.85</v>
      </c>
      <c r="C1977" s="37">
        <v>1.243961</v>
      </c>
      <c r="D1977" s="37">
        <v>0.393961</v>
      </c>
    </row>
    <row r="1978" ht="14.25" customHeight="1">
      <c r="A1978" s="4" t="s">
        <v>1126</v>
      </c>
      <c r="B1978" s="37">
        <v>80.0</v>
      </c>
      <c r="C1978" s="37">
        <v>80.360866</v>
      </c>
      <c r="D1978" s="37">
        <v>0.360866</v>
      </c>
    </row>
    <row r="1979" ht="14.25" customHeight="1">
      <c r="A1979" s="4" t="s">
        <v>7692</v>
      </c>
      <c r="B1979" s="37">
        <v>0.12</v>
      </c>
      <c r="C1979" s="37">
        <v>0.469947</v>
      </c>
      <c r="D1979" s="37">
        <v>0.349947</v>
      </c>
    </row>
    <row r="1980" ht="14.25" customHeight="1">
      <c r="A1980" s="4" t="s">
        <v>7206</v>
      </c>
      <c r="B1980" s="37">
        <v>1.3</v>
      </c>
      <c r="C1980" s="37">
        <v>1.64778</v>
      </c>
      <c r="D1980" s="37">
        <v>0.34778</v>
      </c>
    </row>
    <row r="1981" ht="14.25" customHeight="1">
      <c r="A1981" s="4" t="s">
        <v>4779</v>
      </c>
      <c r="B1981" s="37">
        <v>16.0</v>
      </c>
      <c r="C1981" s="37">
        <v>16.346122</v>
      </c>
      <c r="D1981" s="37">
        <v>0.346122</v>
      </c>
    </row>
    <row r="1982" ht="14.25" customHeight="1">
      <c r="A1982" s="4" t="s">
        <v>4566</v>
      </c>
      <c r="B1982" s="37">
        <v>18.0</v>
      </c>
      <c r="C1982" s="37">
        <v>18.329466</v>
      </c>
      <c r="D1982" s="37">
        <v>0.329466</v>
      </c>
    </row>
    <row r="1983" ht="14.25" customHeight="1">
      <c r="A1983" s="4" t="s">
        <v>7746</v>
      </c>
      <c r="B1983" s="37">
        <v>0.065</v>
      </c>
      <c r="C1983" s="37">
        <v>0.389804</v>
      </c>
      <c r="D1983" s="37">
        <v>0.324804</v>
      </c>
    </row>
    <row r="1984" ht="14.25" customHeight="1">
      <c r="A1984" s="4" t="s">
        <v>3581</v>
      </c>
      <c r="B1984" s="37">
        <v>13.5</v>
      </c>
      <c r="C1984" s="37">
        <v>13.823741</v>
      </c>
      <c r="D1984" s="37">
        <v>0.323741</v>
      </c>
    </row>
    <row r="1985" ht="14.25" customHeight="1">
      <c r="A1985" s="4" t="s">
        <v>6486</v>
      </c>
      <c r="B1985" s="37">
        <v>5.0</v>
      </c>
      <c r="C1985" s="37">
        <v>5.308707</v>
      </c>
      <c r="D1985" s="37">
        <v>0.308707</v>
      </c>
    </row>
    <row r="1986" ht="14.25" customHeight="1">
      <c r="A1986" s="4" t="s">
        <v>6640</v>
      </c>
      <c r="B1986" s="37">
        <v>4.0</v>
      </c>
      <c r="C1986" s="37">
        <v>4.301331</v>
      </c>
      <c r="D1986" s="37">
        <v>0.301331</v>
      </c>
    </row>
    <row r="1987" ht="14.25" customHeight="1">
      <c r="A1987" s="4" t="s">
        <v>7265</v>
      </c>
      <c r="B1987" s="37">
        <v>1.1</v>
      </c>
      <c r="C1987" s="37">
        <v>1.4</v>
      </c>
      <c r="D1987" s="37">
        <v>0.3</v>
      </c>
    </row>
    <row r="1988" ht="14.25" customHeight="1">
      <c r="A1988" s="4" t="s">
        <v>6941</v>
      </c>
      <c r="B1988" s="37">
        <v>0.034</v>
      </c>
      <c r="C1988" s="37">
        <v>0.333658</v>
      </c>
      <c r="D1988" s="37">
        <v>0.299658</v>
      </c>
    </row>
    <row r="1989" ht="14.25" customHeight="1">
      <c r="A1989" s="4" t="s">
        <v>6740</v>
      </c>
      <c r="B1989" s="37">
        <v>3.0</v>
      </c>
      <c r="C1989" s="37">
        <v>3.293258</v>
      </c>
      <c r="D1989" s="37">
        <v>0.293258</v>
      </c>
    </row>
    <row r="1990" ht="14.25" customHeight="1">
      <c r="A1990" s="4" t="s">
        <v>6115</v>
      </c>
      <c r="B1990" s="37">
        <v>7.0</v>
      </c>
      <c r="C1990" s="37">
        <v>7.292175</v>
      </c>
      <c r="D1990" s="37">
        <v>0.292175</v>
      </c>
    </row>
    <row r="1991" ht="14.25" customHeight="1">
      <c r="A1991" s="4" t="s">
        <v>5972</v>
      </c>
      <c r="B1991" s="37">
        <v>8.0</v>
      </c>
      <c r="C1991" s="37">
        <v>8.279017</v>
      </c>
      <c r="D1991" s="37">
        <v>0.279017</v>
      </c>
    </row>
    <row r="1992" ht="14.25" customHeight="1">
      <c r="A1992" s="4" t="s">
        <v>7315</v>
      </c>
      <c r="B1992" s="37">
        <v>1.0</v>
      </c>
      <c r="C1992" s="37">
        <v>1.277257</v>
      </c>
      <c r="D1992" s="37">
        <v>0.277257</v>
      </c>
    </row>
    <row r="1993" ht="14.25" customHeight="1">
      <c r="A1993" s="4" t="s">
        <v>4030</v>
      </c>
      <c r="B1993" s="37">
        <v>22.0</v>
      </c>
      <c r="C1993" s="37">
        <v>22.264487</v>
      </c>
      <c r="D1993" s="37">
        <v>0.264487</v>
      </c>
    </row>
    <row r="1994" ht="14.25" customHeight="1">
      <c r="A1994" s="4" t="s">
        <v>4119</v>
      </c>
      <c r="B1994" s="37">
        <v>20.0</v>
      </c>
      <c r="C1994" s="37">
        <v>20.259297</v>
      </c>
      <c r="D1994" s="37">
        <v>0.259297</v>
      </c>
    </row>
    <row r="1995" ht="14.25" customHeight="1">
      <c r="A1995" s="4" t="s">
        <v>7258</v>
      </c>
      <c r="B1995" s="37">
        <v>2.6</v>
      </c>
      <c r="C1995" s="37">
        <v>2.850263</v>
      </c>
      <c r="D1995" s="37">
        <v>0.250263</v>
      </c>
    </row>
    <row r="1996" ht="14.25" customHeight="1">
      <c r="A1996" s="4" t="s">
        <v>7127</v>
      </c>
      <c r="B1996" s="37">
        <v>1.7</v>
      </c>
      <c r="C1996" s="37">
        <v>1.943649</v>
      </c>
      <c r="D1996" s="37">
        <v>0.243649</v>
      </c>
    </row>
    <row r="1997" ht="14.25" customHeight="1">
      <c r="A1997" s="4" t="s">
        <v>7585</v>
      </c>
      <c r="B1997" s="37">
        <v>0.375</v>
      </c>
      <c r="C1997" s="37">
        <v>0.617172</v>
      </c>
      <c r="D1997" s="37">
        <v>0.242172</v>
      </c>
    </row>
    <row r="1998" ht="14.25" customHeight="1">
      <c r="A1998" s="4" t="s">
        <v>4265</v>
      </c>
      <c r="B1998" s="37">
        <v>20.0</v>
      </c>
      <c r="C1998" s="37">
        <v>20.241395</v>
      </c>
      <c r="D1998" s="37">
        <v>0.241395</v>
      </c>
    </row>
    <row r="1999" ht="14.25" customHeight="1">
      <c r="A1999" s="4" t="s">
        <v>7751</v>
      </c>
      <c r="B1999" s="37">
        <v>0.04</v>
      </c>
      <c r="C1999" s="37">
        <v>0.277233</v>
      </c>
      <c r="D1999" s="37">
        <v>0.237233</v>
      </c>
    </row>
    <row r="2000" ht="14.25" customHeight="1">
      <c r="A2000" s="4" t="s">
        <v>1313</v>
      </c>
      <c r="B2000" s="37">
        <v>70.0</v>
      </c>
      <c r="C2000" s="37">
        <v>70.224196</v>
      </c>
      <c r="D2000" s="37">
        <v>0.224196</v>
      </c>
    </row>
    <row r="2001" ht="14.25" customHeight="1">
      <c r="A2001" s="4" t="s">
        <v>7754</v>
      </c>
      <c r="B2001" s="37">
        <v>0.03</v>
      </c>
      <c r="C2001" s="37">
        <v>0.243768</v>
      </c>
      <c r="D2001" s="37">
        <v>0.213768</v>
      </c>
    </row>
    <row r="2002" ht="14.25" customHeight="1">
      <c r="A2002" s="4" t="s">
        <v>4780</v>
      </c>
      <c r="B2002" s="37">
        <v>16.0</v>
      </c>
      <c r="C2002" s="37">
        <v>16.204793</v>
      </c>
      <c r="D2002" s="37">
        <v>0.204793</v>
      </c>
    </row>
    <row r="2003" ht="14.25" customHeight="1">
      <c r="A2003" s="4" t="s">
        <v>2124</v>
      </c>
      <c r="B2003" s="37">
        <v>40.0</v>
      </c>
      <c r="C2003" s="37">
        <v>40.20302</v>
      </c>
      <c r="D2003" s="37">
        <v>0.20302</v>
      </c>
    </row>
    <row r="2004" ht="14.25" customHeight="1">
      <c r="A2004" s="4" t="s">
        <v>7417</v>
      </c>
      <c r="B2004" s="37">
        <v>0.8</v>
      </c>
      <c r="C2004" s="37">
        <v>1.001437</v>
      </c>
      <c r="D2004" s="37">
        <v>0.201437</v>
      </c>
    </row>
    <row r="2005" ht="14.25" customHeight="1">
      <c r="A2005" s="4" t="s">
        <v>808</v>
      </c>
      <c r="B2005" s="37">
        <v>10.0</v>
      </c>
      <c r="C2005" s="37">
        <v>10.2</v>
      </c>
      <c r="D2005" s="37">
        <v>0.2</v>
      </c>
    </row>
    <row r="2006" ht="14.25" customHeight="1">
      <c r="A2006" s="4" t="s">
        <v>7748</v>
      </c>
      <c r="B2006" s="37">
        <v>0.042</v>
      </c>
      <c r="C2006" s="37">
        <v>0.241816</v>
      </c>
      <c r="D2006" s="37">
        <v>0.199816</v>
      </c>
    </row>
    <row r="2007" ht="14.25" customHeight="1">
      <c r="A2007" s="4" t="s">
        <v>7673</v>
      </c>
      <c r="B2007" s="37">
        <v>0.2</v>
      </c>
      <c r="C2007" s="37">
        <v>0.381225</v>
      </c>
      <c r="D2007" s="37">
        <v>0.181225</v>
      </c>
    </row>
    <row r="2008" ht="14.25" customHeight="1">
      <c r="A2008" s="4" t="s">
        <v>7763</v>
      </c>
      <c r="B2008" s="37">
        <v>0.015</v>
      </c>
      <c r="C2008" s="37">
        <v>0.192467</v>
      </c>
      <c r="D2008" s="37">
        <v>0.177467</v>
      </c>
    </row>
    <row r="2009" ht="14.25" customHeight="1">
      <c r="A2009" s="4" t="s">
        <v>7769</v>
      </c>
      <c r="B2009" s="37">
        <v>0.01</v>
      </c>
      <c r="C2009" s="37">
        <v>0.180483</v>
      </c>
      <c r="D2009" s="37">
        <v>0.170483</v>
      </c>
    </row>
    <row r="2010" ht="14.25" customHeight="1">
      <c r="A2010" s="4" t="s">
        <v>6121</v>
      </c>
      <c r="B2010" s="37">
        <v>6.0</v>
      </c>
      <c r="C2010" s="37">
        <v>6.165429</v>
      </c>
      <c r="D2010" s="37">
        <v>0.165429</v>
      </c>
    </row>
    <row r="2011" ht="14.25" customHeight="1">
      <c r="A2011" s="4" t="s">
        <v>2094</v>
      </c>
      <c r="B2011" s="37">
        <v>50.0</v>
      </c>
      <c r="C2011" s="37">
        <v>50.150619</v>
      </c>
      <c r="D2011" s="37">
        <v>0.150619</v>
      </c>
    </row>
    <row r="2012" ht="14.25" customHeight="1">
      <c r="A2012" s="4" t="s">
        <v>7771</v>
      </c>
      <c r="B2012" s="37">
        <v>0.0045</v>
      </c>
      <c r="C2012" s="37">
        <v>0.136007</v>
      </c>
      <c r="D2012" s="37">
        <v>0.131507</v>
      </c>
    </row>
    <row r="2013" ht="14.25" customHeight="1">
      <c r="A2013" s="4" t="s">
        <v>1830</v>
      </c>
      <c r="B2013" s="37">
        <v>60.0</v>
      </c>
      <c r="C2013" s="37">
        <v>60.128566</v>
      </c>
      <c r="D2013" s="37">
        <v>0.128566</v>
      </c>
    </row>
    <row r="2014" ht="14.25" customHeight="1">
      <c r="A2014" s="4" t="s">
        <v>7640</v>
      </c>
      <c r="B2014" s="37">
        <v>0.365</v>
      </c>
      <c r="C2014" s="37">
        <v>0.48922</v>
      </c>
      <c r="D2014" s="37">
        <v>0.12422</v>
      </c>
    </row>
    <row r="2015" ht="14.25" customHeight="1">
      <c r="A2015" s="4" t="s">
        <v>739</v>
      </c>
      <c r="B2015" s="37">
        <v>100.0</v>
      </c>
      <c r="C2015" s="37">
        <v>100.117603</v>
      </c>
      <c r="D2015" s="37">
        <v>0.117603</v>
      </c>
    </row>
    <row r="2016" ht="14.25" customHeight="1">
      <c r="A2016" s="4" t="s">
        <v>6861</v>
      </c>
      <c r="B2016" s="37">
        <v>3.0</v>
      </c>
      <c r="C2016" s="37">
        <v>3.105269</v>
      </c>
      <c r="D2016" s="37">
        <v>0.105269</v>
      </c>
    </row>
    <row r="2017" ht="14.25" customHeight="1">
      <c r="A2017" s="4" t="s">
        <v>7506</v>
      </c>
      <c r="B2017" s="37">
        <v>0.5</v>
      </c>
      <c r="C2017" s="37">
        <v>0.603943</v>
      </c>
      <c r="D2017" s="37">
        <v>0.103943</v>
      </c>
    </row>
    <row r="2018" ht="14.25" customHeight="1">
      <c r="A2018" s="4" t="s">
        <v>4958</v>
      </c>
      <c r="B2018" s="37">
        <v>15.0</v>
      </c>
      <c r="C2018" s="37">
        <v>15.1</v>
      </c>
      <c r="D2018" s="37">
        <v>0.1</v>
      </c>
    </row>
    <row r="2019" ht="14.25" customHeight="1">
      <c r="A2019" s="4" t="s">
        <v>7788</v>
      </c>
      <c r="B2019" s="37">
        <v>0.0011</v>
      </c>
      <c r="C2019" s="37">
        <v>0.085222</v>
      </c>
      <c r="D2019" s="37">
        <v>0.084122</v>
      </c>
    </row>
    <row r="2020" ht="14.25" customHeight="1">
      <c r="A2020" s="4" t="s">
        <v>182</v>
      </c>
      <c r="B2020" s="37">
        <v>140.0</v>
      </c>
      <c r="C2020" s="37">
        <v>140.08085</v>
      </c>
      <c r="D2020" s="37">
        <v>0.08085</v>
      </c>
    </row>
    <row r="2021" ht="14.25" customHeight="1">
      <c r="A2021" s="4" t="s">
        <v>7729</v>
      </c>
      <c r="B2021" s="37">
        <v>0.04</v>
      </c>
      <c r="C2021" s="37">
        <v>0.110536</v>
      </c>
      <c r="D2021" s="37">
        <v>0.070536</v>
      </c>
    </row>
    <row r="2022" ht="14.25" customHeight="1">
      <c r="A2022" s="4" t="s">
        <v>7782</v>
      </c>
      <c r="B2022" s="37">
        <v>0.007</v>
      </c>
      <c r="C2022" s="37">
        <v>0.070071</v>
      </c>
      <c r="D2022" s="37">
        <v>0.063071</v>
      </c>
    </row>
    <row r="2023" ht="14.25" customHeight="1">
      <c r="A2023" s="4" t="s">
        <v>7766</v>
      </c>
      <c r="B2023" s="37">
        <v>0.015</v>
      </c>
      <c r="C2023" s="37">
        <v>0.076382</v>
      </c>
      <c r="D2023" s="37">
        <v>0.061382</v>
      </c>
    </row>
    <row r="2024" ht="14.25" customHeight="1">
      <c r="A2024" s="4" t="s">
        <v>7393</v>
      </c>
      <c r="B2024" s="37">
        <v>0.95</v>
      </c>
      <c r="C2024" s="37">
        <v>1.007962</v>
      </c>
      <c r="D2024" s="37">
        <v>0.057962</v>
      </c>
    </row>
    <row r="2025" ht="14.25" customHeight="1">
      <c r="A2025" s="4" t="s">
        <v>6177</v>
      </c>
      <c r="B2025" s="37">
        <v>6.8</v>
      </c>
      <c r="C2025" s="37">
        <v>6.857096</v>
      </c>
      <c r="D2025" s="37">
        <v>0.057096</v>
      </c>
    </row>
    <row r="2026" ht="14.25" customHeight="1">
      <c r="A2026" s="4" t="s">
        <v>7626</v>
      </c>
      <c r="B2026" s="37">
        <v>0.27</v>
      </c>
      <c r="C2026" s="37">
        <v>0.318622</v>
      </c>
      <c r="D2026" s="37">
        <v>0.048622</v>
      </c>
    </row>
    <row r="2027" ht="14.25" customHeight="1">
      <c r="A2027" s="4" t="s">
        <v>6641</v>
      </c>
      <c r="B2027" s="37">
        <v>4.0</v>
      </c>
      <c r="C2027" s="37">
        <v>4.046737</v>
      </c>
      <c r="D2027" s="37">
        <v>0.046737</v>
      </c>
    </row>
    <row r="2028" ht="14.25" customHeight="1">
      <c r="A2028" s="4" t="s">
        <v>7648</v>
      </c>
      <c r="B2028" s="37">
        <v>0.15</v>
      </c>
      <c r="C2028" s="37">
        <v>0.191309</v>
      </c>
      <c r="D2028" s="37">
        <v>0.041309</v>
      </c>
    </row>
    <row r="2029" ht="14.25" customHeight="1">
      <c r="A2029" s="4" t="s">
        <v>7577</v>
      </c>
      <c r="B2029" s="37">
        <v>0.4</v>
      </c>
      <c r="C2029" s="37">
        <v>0.425899</v>
      </c>
      <c r="D2029" s="37">
        <v>0.025899</v>
      </c>
    </row>
    <row r="2030" ht="14.25" customHeight="1">
      <c r="A2030" s="4" t="s">
        <v>7683</v>
      </c>
      <c r="B2030" s="37">
        <v>0.2</v>
      </c>
      <c r="C2030" s="37">
        <v>0.215185</v>
      </c>
      <c r="D2030" s="37">
        <v>0.015185</v>
      </c>
    </row>
    <row r="2031" ht="14.25" customHeight="1">
      <c r="A2031" s="4" t="s">
        <v>6487</v>
      </c>
      <c r="B2031" s="37">
        <v>5.0</v>
      </c>
      <c r="C2031" s="37">
        <v>5.009677</v>
      </c>
      <c r="D2031" s="37">
        <v>0.009677</v>
      </c>
    </row>
    <row r="2032" ht="14.25" customHeight="1">
      <c r="A2032" s="4" t="s">
        <v>2097</v>
      </c>
      <c r="B2032" s="37">
        <v>50.0</v>
      </c>
      <c r="C2032" s="37">
        <v>50.007168</v>
      </c>
      <c r="D2032" s="37">
        <v>0.007168</v>
      </c>
    </row>
    <row r="2033" ht="14.25" customHeight="1">
      <c r="A2033" s="4" t="s">
        <v>6848</v>
      </c>
      <c r="B2033" s="37">
        <v>3.0</v>
      </c>
      <c r="C2033" s="37">
        <v>3.0</v>
      </c>
      <c r="D2033" s="37">
        <v>0.0</v>
      </c>
    </row>
    <row r="2034" ht="14.25" customHeight="1">
      <c r="A2034" s="4" t="s">
        <v>7073</v>
      </c>
      <c r="B2034" s="37">
        <v>0.014</v>
      </c>
      <c r="C2034" s="37">
        <v>0.012667</v>
      </c>
      <c r="D2034" s="37">
        <v>-0.001333</v>
      </c>
    </row>
    <row r="2035" ht="14.25" customHeight="1">
      <c r="A2035" s="4" t="s">
        <v>7709</v>
      </c>
      <c r="B2035" s="37">
        <v>0.16</v>
      </c>
      <c r="C2035" s="37">
        <v>0.155984</v>
      </c>
      <c r="D2035" s="37">
        <v>-0.004016</v>
      </c>
    </row>
    <row r="2036" ht="14.25" customHeight="1">
      <c r="A2036" s="4" t="s">
        <v>7786</v>
      </c>
      <c r="B2036" s="37">
        <v>0.009</v>
      </c>
      <c r="C2036" s="37">
        <v>0.004584</v>
      </c>
      <c r="D2036" s="37">
        <v>-0.004416</v>
      </c>
    </row>
    <row r="2037" ht="14.25" customHeight="1">
      <c r="A2037" s="4" t="s">
        <v>5167</v>
      </c>
      <c r="B2037" s="37">
        <v>15.0</v>
      </c>
      <c r="C2037" s="37">
        <v>14.989761</v>
      </c>
      <c r="D2037" s="37">
        <v>-0.010239</v>
      </c>
    </row>
    <row r="2038" ht="14.25" customHeight="1">
      <c r="A2038" s="4" t="s">
        <v>7039</v>
      </c>
      <c r="B2038" s="37">
        <v>2.0</v>
      </c>
      <c r="C2038" s="37">
        <v>1.984378</v>
      </c>
      <c r="D2038" s="37">
        <v>-0.015622</v>
      </c>
    </row>
    <row r="2039" ht="14.25" customHeight="1">
      <c r="A2039" s="4" t="s">
        <v>7322</v>
      </c>
      <c r="B2039" s="37">
        <v>1.0</v>
      </c>
      <c r="C2039" s="37">
        <v>0.982214</v>
      </c>
      <c r="D2039" s="37">
        <v>-0.017786</v>
      </c>
    </row>
    <row r="2040" ht="14.25" customHeight="1">
      <c r="A2040" s="4" t="s">
        <v>7758</v>
      </c>
      <c r="B2040" s="37">
        <v>0.027</v>
      </c>
      <c r="C2040" s="37">
        <v>0.008231</v>
      </c>
      <c r="D2040" s="37">
        <v>-0.018769</v>
      </c>
    </row>
    <row r="2041" ht="14.25" customHeight="1">
      <c r="A2041" s="4" t="s">
        <v>7741</v>
      </c>
      <c r="B2041" s="37">
        <v>0.06</v>
      </c>
      <c r="C2041" s="37">
        <v>0.040557</v>
      </c>
      <c r="D2041" s="37">
        <v>-0.019443</v>
      </c>
    </row>
    <row r="2042" ht="14.25" customHeight="1">
      <c r="A2042" s="4" t="s">
        <v>3367</v>
      </c>
      <c r="B2042" s="37">
        <v>20.0</v>
      </c>
      <c r="C2042" s="37">
        <v>19.976073</v>
      </c>
      <c r="D2042" s="37">
        <v>-0.023927</v>
      </c>
    </row>
    <row r="2043" ht="14.25" customHeight="1">
      <c r="A2043" s="4" t="s">
        <v>7680</v>
      </c>
      <c r="B2043" s="37">
        <v>0.2</v>
      </c>
      <c r="C2043" s="37">
        <v>0.174682</v>
      </c>
      <c r="D2043" s="37">
        <v>-0.025318</v>
      </c>
    </row>
    <row r="2044" ht="14.25" customHeight="1">
      <c r="A2044" s="4" t="s">
        <v>7403</v>
      </c>
      <c r="B2044" s="37">
        <v>0.85</v>
      </c>
      <c r="C2044" s="37">
        <v>0.819939</v>
      </c>
      <c r="D2044" s="37">
        <v>-0.030061</v>
      </c>
    </row>
    <row r="2045" ht="14.25" customHeight="1">
      <c r="A2045" s="4" t="s">
        <v>7642</v>
      </c>
      <c r="B2045" s="37">
        <v>0.25</v>
      </c>
      <c r="C2045" s="37">
        <v>0.212285</v>
      </c>
      <c r="D2045" s="37">
        <v>-0.037715</v>
      </c>
    </row>
    <row r="2046" ht="14.25" customHeight="1">
      <c r="A2046" s="4" t="s">
        <v>7743</v>
      </c>
      <c r="B2046" s="37">
        <v>0.07</v>
      </c>
      <c r="C2046" s="37">
        <v>0.030084</v>
      </c>
      <c r="D2046" s="37">
        <v>-0.039916</v>
      </c>
    </row>
    <row r="2047" ht="14.25" customHeight="1">
      <c r="A2047" s="4" t="s">
        <v>7611</v>
      </c>
      <c r="B2047" s="37">
        <v>0.3</v>
      </c>
      <c r="C2047" s="37">
        <v>0.255352</v>
      </c>
      <c r="D2047" s="37">
        <v>-0.044648</v>
      </c>
    </row>
    <row r="2048" ht="14.25" customHeight="1">
      <c r="A2048" s="4" t="s">
        <v>7469</v>
      </c>
      <c r="B2048" s="37">
        <v>0.56</v>
      </c>
      <c r="C2048" s="37">
        <v>0.515005</v>
      </c>
      <c r="D2048" s="37">
        <v>-0.044995</v>
      </c>
    </row>
    <row r="2049" ht="14.25" customHeight="1">
      <c r="A2049" s="4" t="s">
        <v>7646</v>
      </c>
      <c r="B2049" s="37">
        <v>0.25</v>
      </c>
      <c r="C2049" s="37">
        <v>0.203134</v>
      </c>
      <c r="D2049" s="37">
        <v>-0.046866</v>
      </c>
    </row>
    <row r="2050" ht="14.25" customHeight="1">
      <c r="A2050" s="4" t="s">
        <v>6494</v>
      </c>
      <c r="B2050" s="37">
        <v>4.0</v>
      </c>
      <c r="C2050" s="37">
        <v>3.950029</v>
      </c>
      <c r="D2050" s="37">
        <v>-0.049971</v>
      </c>
    </row>
    <row r="2051" ht="14.25" customHeight="1">
      <c r="A2051" s="4" t="s">
        <v>4501</v>
      </c>
      <c r="B2051" s="37">
        <v>18.5</v>
      </c>
      <c r="C2051" s="37">
        <v>18.439082</v>
      </c>
      <c r="D2051" s="37">
        <v>-0.060918</v>
      </c>
    </row>
    <row r="2052" ht="14.25" customHeight="1">
      <c r="A2052" s="4" t="s">
        <v>4959</v>
      </c>
      <c r="B2052" s="37">
        <v>15.0</v>
      </c>
      <c r="C2052" s="37">
        <v>14.93857</v>
      </c>
      <c r="D2052" s="37">
        <v>-0.06143</v>
      </c>
    </row>
    <row r="2053" ht="14.25" customHeight="1">
      <c r="A2053" s="4" t="s">
        <v>7546</v>
      </c>
      <c r="B2053" s="37">
        <v>0.45</v>
      </c>
      <c r="C2053" s="37">
        <v>0.379122</v>
      </c>
      <c r="D2053" s="37">
        <v>-0.070878</v>
      </c>
    </row>
    <row r="2054" ht="14.25" customHeight="1">
      <c r="A2054" s="4" t="s">
        <v>7652</v>
      </c>
      <c r="B2054" s="37">
        <v>0.25</v>
      </c>
      <c r="C2054" s="37">
        <v>0.17784</v>
      </c>
      <c r="D2054" s="37">
        <v>-0.07216</v>
      </c>
    </row>
    <row r="2055" ht="14.25" customHeight="1">
      <c r="A2055" s="4" t="s">
        <v>6764</v>
      </c>
      <c r="B2055" s="37">
        <v>3.0</v>
      </c>
      <c r="C2055" s="37">
        <v>2.926565</v>
      </c>
      <c r="D2055" s="37">
        <v>-0.073435</v>
      </c>
    </row>
    <row r="2056" ht="14.25" customHeight="1">
      <c r="A2056" s="4" t="s">
        <v>6845</v>
      </c>
      <c r="B2056" s="37">
        <v>3.0</v>
      </c>
      <c r="C2056" s="37">
        <v>2.912363</v>
      </c>
      <c r="D2056" s="37">
        <v>-0.087637</v>
      </c>
    </row>
    <row r="2057" ht="14.25" customHeight="1">
      <c r="A2057" s="4" t="s">
        <v>7570</v>
      </c>
      <c r="B2057" s="37">
        <v>0.1</v>
      </c>
      <c r="C2057" s="37">
        <v>0.011798</v>
      </c>
      <c r="D2057" s="37">
        <v>-0.088202</v>
      </c>
    </row>
    <row r="2058" ht="14.25" customHeight="1">
      <c r="A2058" s="4" t="s">
        <v>4416</v>
      </c>
      <c r="B2058" s="37">
        <v>2.0</v>
      </c>
      <c r="C2058" s="37">
        <v>1.900725</v>
      </c>
      <c r="D2058" s="37">
        <v>-0.099275</v>
      </c>
    </row>
    <row r="2059" ht="14.25" customHeight="1">
      <c r="A2059" s="4" t="s">
        <v>5109</v>
      </c>
      <c r="B2059" s="37">
        <v>20.0</v>
      </c>
      <c r="C2059" s="37">
        <v>19.9</v>
      </c>
      <c r="D2059" s="37">
        <v>-0.1</v>
      </c>
    </row>
    <row r="2060" ht="14.25" customHeight="1">
      <c r="A2060" s="4" t="s">
        <v>6283</v>
      </c>
      <c r="B2060" s="37">
        <v>6.0</v>
      </c>
      <c r="C2060" s="37">
        <v>5.895238</v>
      </c>
      <c r="D2060" s="37">
        <v>-0.104762</v>
      </c>
    </row>
    <row r="2061" ht="14.25" customHeight="1">
      <c r="A2061" s="4" t="s">
        <v>7661</v>
      </c>
      <c r="B2061" s="37">
        <v>0.225</v>
      </c>
      <c r="C2061" s="37">
        <v>0.1113</v>
      </c>
      <c r="D2061" s="37">
        <v>-0.1137</v>
      </c>
    </row>
    <row r="2062" ht="14.25" customHeight="1">
      <c r="A2062" s="4" t="s">
        <v>7677</v>
      </c>
      <c r="B2062" s="37">
        <v>0.2</v>
      </c>
      <c r="C2062" s="37">
        <v>0.07803</v>
      </c>
      <c r="D2062" s="37">
        <v>-0.12197</v>
      </c>
    </row>
    <row r="2063" ht="14.25" customHeight="1">
      <c r="A2063" s="4" t="s">
        <v>4230</v>
      </c>
      <c r="B2063" s="37">
        <v>27.0</v>
      </c>
      <c r="C2063" s="37">
        <v>26.876529</v>
      </c>
      <c r="D2063" s="37">
        <v>-0.123471</v>
      </c>
    </row>
    <row r="2064" ht="14.25" customHeight="1">
      <c r="A2064" s="4" t="s">
        <v>7733</v>
      </c>
      <c r="B2064" s="37">
        <v>0.2</v>
      </c>
      <c r="C2064" s="37">
        <v>0.059379</v>
      </c>
      <c r="D2064" s="37">
        <v>-0.140621</v>
      </c>
    </row>
    <row r="2065" ht="14.25" customHeight="1">
      <c r="A2065" s="4" t="s">
        <v>7716</v>
      </c>
      <c r="B2065" s="37">
        <v>0.15</v>
      </c>
      <c r="C2065" s="37">
        <v>0.005858</v>
      </c>
      <c r="D2065" s="37">
        <v>-0.144142</v>
      </c>
    </row>
    <row r="2066" ht="14.25" customHeight="1">
      <c r="A2066" s="4" t="s">
        <v>7713</v>
      </c>
      <c r="B2066" s="37">
        <v>0.15</v>
      </c>
      <c r="C2066" s="37">
        <v>0.004914</v>
      </c>
      <c r="D2066" s="37">
        <v>-0.145086</v>
      </c>
    </row>
    <row r="2067" ht="14.25" customHeight="1">
      <c r="A2067" s="4" t="s">
        <v>7615</v>
      </c>
      <c r="B2067" s="37">
        <v>0.16</v>
      </c>
      <c r="C2067" s="37">
        <v>0.012438</v>
      </c>
      <c r="D2067" s="37">
        <v>-0.147562</v>
      </c>
    </row>
    <row r="2068" ht="14.25" customHeight="1">
      <c r="A2068" s="4" t="s">
        <v>7508</v>
      </c>
      <c r="B2068" s="37">
        <v>0.5</v>
      </c>
      <c r="C2068" s="37">
        <v>0.334041</v>
      </c>
      <c r="D2068" s="37">
        <v>-0.165959</v>
      </c>
    </row>
    <row r="2069" ht="14.25" customHeight="1">
      <c r="A2069" s="4" t="s">
        <v>6921</v>
      </c>
      <c r="B2069" s="37">
        <v>26.0</v>
      </c>
      <c r="C2069" s="37">
        <v>25.809813</v>
      </c>
      <c r="D2069" s="37">
        <v>-0.190187</v>
      </c>
    </row>
    <row r="2070" ht="14.25" customHeight="1">
      <c r="A2070" s="4" t="s">
        <v>7620</v>
      </c>
      <c r="B2070" s="37">
        <v>0.2</v>
      </c>
      <c r="C2070" s="37">
        <v>0.005199</v>
      </c>
      <c r="D2070" s="37">
        <v>-0.194801</v>
      </c>
    </row>
    <row r="2071" ht="14.25" customHeight="1">
      <c r="A2071" s="4" t="s">
        <v>5687</v>
      </c>
      <c r="B2071" s="37">
        <v>10.0</v>
      </c>
      <c r="C2071" s="37">
        <v>9.801782</v>
      </c>
      <c r="D2071" s="37">
        <v>-0.198218</v>
      </c>
    </row>
    <row r="2072" ht="14.25" customHeight="1">
      <c r="A2072" s="4" t="s">
        <v>7687</v>
      </c>
      <c r="B2072" s="37">
        <v>0.2</v>
      </c>
      <c r="C2072" s="37">
        <v>0.001111</v>
      </c>
      <c r="D2072" s="37">
        <v>-0.198889</v>
      </c>
    </row>
    <row r="2073" ht="14.25" customHeight="1">
      <c r="A2073" s="4" t="s">
        <v>7654</v>
      </c>
      <c r="B2073" s="37">
        <v>0.25</v>
      </c>
      <c r="C2073" s="37">
        <v>0.049494</v>
      </c>
      <c r="D2073" s="37">
        <v>-0.200506</v>
      </c>
    </row>
    <row r="2074" ht="14.25" customHeight="1">
      <c r="A2074" s="4" t="s">
        <v>7324</v>
      </c>
      <c r="B2074" s="37">
        <v>1.0</v>
      </c>
      <c r="C2074" s="37">
        <v>0.798341</v>
      </c>
      <c r="D2074" s="37">
        <v>-0.201659</v>
      </c>
    </row>
    <row r="2075" ht="14.25" customHeight="1">
      <c r="A2075" s="4" t="s">
        <v>7510</v>
      </c>
      <c r="B2075" s="37">
        <v>0.5</v>
      </c>
      <c r="C2075" s="37">
        <v>0.295468</v>
      </c>
      <c r="D2075" s="37">
        <v>-0.204532</v>
      </c>
    </row>
    <row r="2076" ht="14.25" customHeight="1">
      <c r="A2076" s="4" t="s">
        <v>7597</v>
      </c>
      <c r="B2076" s="37">
        <v>1.750211</v>
      </c>
      <c r="C2076" s="37">
        <v>1.523883</v>
      </c>
      <c r="D2076" s="37">
        <v>-0.226328</v>
      </c>
    </row>
    <row r="2077" ht="14.25" customHeight="1">
      <c r="A2077" s="4" t="s">
        <v>7658</v>
      </c>
      <c r="B2077" s="37">
        <v>0.25</v>
      </c>
      <c r="C2077" s="37">
        <v>0.018195</v>
      </c>
      <c r="D2077" s="37">
        <v>-0.231805</v>
      </c>
    </row>
    <row r="2078" ht="14.25" customHeight="1">
      <c r="A2078" s="4" t="s">
        <v>7139</v>
      </c>
      <c r="B2078" s="37">
        <v>1.3</v>
      </c>
      <c r="C2078" s="37">
        <v>1.060591</v>
      </c>
      <c r="D2078" s="37">
        <v>-0.239409</v>
      </c>
    </row>
    <row r="2079" ht="14.25" customHeight="1">
      <c r="A2079" s="4" t="s">
        <v>7513</v>
      </c>
      <c r="B2079" s="37">
        <v>0.5</v>
      </c>
      <c r="C2079" s="37">
        <v>0.243347</v>
      </c>
      <c r="D2079" s="37">
        <v>-0.256653</v>
      </c>
    </row>
    <row r="2080" ht="14.25" customHeight="1">
      <c r="A2080" s="4" t="s">
        <v>7617</v>
      </c>
      <c r="B2080" s="37">
        <v>0.3</v>
      </c>
      <c r="C2080" s="37">
        <v>0.040542</v>
      </c>
      <c r="D2080" s="37">
        <v>-0.259458</v>
      </c>
    </row>
    <row r="2081" ht="14.25" customHeight="1">
      <c r="A2081" s="4" t="s">
        <v>7532</v>
      </c>
      <c r="B2081" s="37">
        <v>0.5</v>
      </c>
      <c r="C2081" s="37">
        <v>0.237301</v>
      </c>
      <c r="D2081" s="37">
        <v>-0.262699</v>
      </c>
    </row>
    <row r="2082" ht="14.25" customHeight="1">
      <c r="A2082" s="4" t="s">
        <v>7580</v>
      </c>
      <c r="B2082" s="37">
        <v>0.4</v>
      </c>
      <c r="C2082" s="37">
        <v>0.126387</v>
      </c>
      <c r="D2082" s="37">
        <v>-0.273613</v>
      </c>
    </row>
    <row r="2083" ht="14.25" customHeight="1">
      <c r="A2083" s="4" t="s">
        <v>7162</v>
      </c>
      <c r="B2083" s="37">
        <v>1.5</v>
      </c>
      <c r="C2083" s="37">
        <v>1.221261</v>
      </c>
      <c r="D2083" s="37">
        <v>-0.278739</v>
      </c>
    </row>
    <row r="2084" ht="14.25" customHeight="1">
      <c r="A2084" s="4" t="s">
        <v>7623</v>
      </c>
      <c r="B2084" s="37">
        <v>0.3</v>
      </c>
      <c r="C2084" s="37">
        <v>0.002468</v>
      </c>
      <c r="D2084" s="37">
        <v>-0.297532</v>
      </c>
    </row>
    <row r="2085" ht="14.25" customHeight="1">
      <c r="A2085" s="4" t="s">
        <v>6499</v>
      </c>
      <c r="B2085" s="37">
        <v>5.0</v>
      </c>
      <c r="C2085" s="37">
        <v>4.700361</v>
      </c>
      <c r="D2085" s="37">
        <v>-0.299639</v>
      </c>
    </row>
    <row r="2086" ht="14.25" customHeight="1">
      <c r="A2086" s="4" t="s">
        <v>4082</v>
      </c>
      <c r="B2086" s="37">
        <v>17.0</v>
      </c>
      <c r="C2086" s="37">
        <v>16.684352</v>
      </c>
      <c r="D2086" s="37">
        <v>-0.315648</v>
      </c>
    </row>
    <row r="2087" ht="14.25" customHeight="1">
      <c r="A2087" s="4" t="s">
        <v>6844</v>
      </c>
      <c r="B2087" s="37">
        <v>3.3</v>
      </c>
      <c r="C2087" s="37">
        <v>2.961991</v>
      </c>
      <c r="D2087" s="37">
        <v>-0.338009</v>
      </c>
    </row>
    <row r="2088" ht="14.25" customHeight="1">
      <c r="A2088" s="4" t="s">
        <v>4278</v>
      </c>
      <c r="B2088" s="37">
        <v>20.0</v>
      </c>
      <c r="C2088" s="37">
        <v>19.661987</v>
      </c>
      <c r="D2088" s="37">
        <v>-0.338013</v>
      </c>
    </row>
    <row r="2089" ht="14.25" customHeight="1">
      <c r="A2089" s="4" t="s">
        <v>7514</v>
      </c>
      <c r="B2089" s="37">
        <v>0.5</v>
      </c>
      <c r="C2089" s="37">
        <v>0.154077</v>
      </c>
      <c r="D2089" s="37">
        <v>-0.345923</v>
      </c>
    </row>
    <row r="2090" ht="14.25" customHeight="1">
      <c r="A2090" s="4" t="s">
        <v>7516</v>
      </c>
      <c r="B2090" s="37">
        <v>0.5</v>
      </c>
      <c r="C2090" s="37">
        <v>0.151389</v>
      </c>
      <c r="D2090" s="37">
        <v>-0.348611</v>
      </c>
    </row>
    <row r="2091" ht="14.25" customHeight="1">
      <c r="A2091" s="4" t="s">
        <v>7120</v>
      </c>
      <c r="B2091" s="37">
        <v>0.5</v>
      </c>
      <c r="C2091" s="37">
        <v>0.14554</v>
      </c>
      <c r="D2091" s="37">
        <v>-0.35446</v>
      </c>
    </row>
    <row r="2092" ht="14.25" customHeight="1">
      <c r="A2092" s="4" t="s">
        <v>5126</v>
      </c>
      <c r="B2092" s="37">
        <v>14.0</v>
      </c>
      <c r="C2092" s="37">
        <v>13.64</v>
      </c>
      <c r="D2092" s="37">
        <v>-0.36</v>
      </c>
    </row>
    <row r="2093" ht="14.25" customHeight="1">
      <c r="A2093" s="4" t="s">
        <v>7521</v>
      </c>
      <c r="B2093" s="37">
        <v>0.5</v>
      </c>
      <c r="C2093" s="37">
        <v>0.133778</v>
      </c>
      <c r="D2093" s="37">
        <v>-0.366222</v>
      </c>
    </row>
    <row r="2094" ht="14.25" customHeight="1">
      <c r="A2094" s="4" t="s">
        <v>7327</v>
      </c>
      <c r="B2094" s="37">
        <v>1.0</v>
      </c>
      <c r="C2094" s="37">
        <v>0.610991</v>
      </c>
      <c r="D2094" s="37">
        <v>-0.389009</v>
      </c>
    </row>
    <row r="2095" ht="14.25" customHeight="1">
      <c r="A2095" s="4" t="s">
        <v>6118</v>
      </c>
      <c r="B2095" s="37">
        <v>7.0</v>
      </c>
      <c r="C2095" s="37">
        <v>6.601079</v>
      </c>
      <c r="D2095" s="37">
        <v>-0.398921</v>
      </c>
    </row>
    <row r="2096" ht="14.25" customHeight="1">
      <c r="A2096" s="4" t="s">
        <v>7526</v>
      </c>
      <c r="B2096" s="37">
        <v>0.5</v>
      </c>
      <c r="C2096" s="37">
        <v>0.098017</v>
      </c>
      <c r="D2096" s="37">
        <v>-0.401983</v>
      </c>
    </row>
    <row r="2097" ht="14.25" customHeight="1">
      <c r="A2097" s="4" t="s">
        <v>7401</v>
      </c>
      <c r="B2097" s="37">
        <v>0.85</v>
      </c>
      <c r="C2097" s="37">
        <v>0.442638</v>
      </c>
      <c r="D2097" s="37">
        <v>-0.407362</v>
      </c>
    </row>
    <row r="2098" ht="14.25" customHeight="1">
      <c r="A2098" s="4" t="s">
        <v>7594</v>
      </c>
      <c r="B2098" s="37">
        <v>0.45</v>
      </c>
      <c r="C2098" s="37">
        <v>0.034151</v>
      </c>
      <c r="D2098" s="37">
        <v>-0.415849</v>
      </c>
    </row>
    <row r="2099" ht="14.25" customHeight="1">
      <c r="A2099" s="4" t="s">
        <v>7328</v>
      </c>
      <c r="B2099" s="37">
        <v>1.0</v>
      </c>
      <c r="C2099" s="37">
        <v>0.582024</v>
      </c>
      <c r="D2099" s="37">
        <v>-0.417976</v>
      </c>
    </row>
    <row r="2100" ht="14.25" customHeight="1">
      <c r="A2100" s="4" t="s">
        <v>4087</v>
      </c>
      <c r="B2100" s="37">
        <v>9.0</v>
      </c>
      <c r="C2100" s="37">
        <v>8.579684</v>
      </c>
      <c r="D2100" s="37">
        <v>-0.420316</v>
      </c>
    </row>
    <row r="2101" ht="14.25" customHeight="1">
      <c r="A2101" s="4" t="s">
        <v>7465</v>
      </c>
      <c r="B2101" s="37">
        <v>0.6</v>
      </c>
      <c r="C2101" s="37">
        <v>0.171988</v>
      </c>
      <c r="D2101" s="37">
        <v>-0.428012</v>
      </c>
    </row>
    <row r="2102" ht="14.25" customHeight="1">
      <c r="A2102" s="4" t="s">
        <v>6842</v>
      </c>
      <c r="B2102" s="37">
        <v>3.5</v>
      </c>
      <c r="C2102" s="37">
        <v>3.071947</v>
      </c>
      <c r="D2102" s="37">
        <v>-0.428053</v>
      </c>
    </row>
    <row r="2103" ht="14.25" customHeight="1">
      <c r="A2103" s="4" t="s">
        <v>7523</v>
      </c>
      <c r="B2103" s="37">
        <v>0.5</v>
      </c>
      <c r="C2103" s="37">
        <v>0.05285</v>
      </c>
      <c r="D2103" s="37">
        <v>-0.44715</v>
      </c>
    </row>
    <row r="2104" ht="14.25" customHeight="1">
      <c r="A2104" s="4" t="s">
        <v>7369</v>
      </c>
      <c r="B2104" s="37">
        <v>0.5</v>
      </c>
      <c r="C2104" s="37">
        <v>0.04843</v>
      </c>
      <c r="D2104" s="37">
        <v>-0.45157</v>
      </c>
    </row>
    <row r="2105" ht="14.25" customHeight="1">
      <c r="A2105" s="4" t="s">
        <v>2435</v>
      </c>
      <c r="B2105" s="37">
        <v>42.0</v>
      </c>
      <c r="C2105" s="37">
        <v>41.543207</v>
      </c>
      <c r="D2105" s="37">
        <v>-0.456793</v>
      </c>
    </row>
    <row r="2106" ht="14.25" customHeight="1">
      <c r="A2106" s="4" t="s">
        <v>2660</v>
      </c>
      <c r="B2106" s="37">
        <v>0.5</v>
      </c>
      <c r="C2106" s="37">
        <v>0.032645</v>
      </c>
      <c r="D2106" s="37">
        <v>-0.467355</v>
      </c>
    </row>
    <row r="2107" ht="14.25" customHeight="1">
      <c r="A2107" s="4" t="s">
        <v>7528</v>
      </c>
      <c r="B2107" s="37">
        <v>0.5</v>
      </c>
      <c r="C2107" s="37">
        <v>0.031937</v>
      </c>
      <c r="D2107" s="37">
        <v>-0.468063</v>
      </c>
    </row>
    <row r="2108" ht="14.25" customHeight="1">
      <c r="A2108" s="4" t="s">
        <v>2994</v>
      </c>
      <c r="B2108" s="37">
        <v>35.0</v>
      </c>
      <c r="C2108" s="37">
        <v>34.531832</v>
      </c>
      <c r="D2108" s="37">
        <v>-0.468168</v>
      </c>
    </row>
    <row r="2109" ht="14.25" customHeight="1">
      <c r="A2109" s="4" t="s">
        <v>7435</v>
      </c>
      <c r="B2109" s="37">
        <v>0.5</v>
      </c>
      <c r="C2109" s="37">
        <v>0.026297</v>
      </c>
      <c r="D2109" s="37">
        <v>-0.473703</v>
      </c>
    </row>
    <row r="2110" ht="14.25" customHeight="1">
      <c r="A2110" s="4" t="s">
        <v>7549</v>
      </c>
      <c r="B2110" s="37">
        <v>0.5</v>
      </c>
      <c r="C2110" s="37">
        <v>0.023</v>
      </c>
      <c r="D2110" s="37">
        <v>-0.477</v>
      </c>
    </row>
    <row r="2111" ht="14.25" customHeight="1">
      <c r="A2111" s="4" t="s">
        <v>7540</v>
      </c>
      <c r="B2111" s="37">
        <v>0.5</v>
      </c>
      <c r="C2111" s="37">
        <v>0.021199</v>
      </c>
      <c r="D2111" s="37">
        <v>-0.478801</v>
      </c>
    </row>
    <row r="2112" ht="14.25" customHeight="1">
      <c r="A2112" s="4" t="s">
        <v>7090</v>
      </c>
      <c r="B2112" s="37">
        <v>1.9</v>
      </c>
      <c r="C2112" s="37">
        <v>1.420578</v>
      </c>
      <c r="D2112" s="37">
        <v>-0.479422</v>
      </c>
    </row>
    <row r="2113" ht="14.25" customHeight="1">
      <c r="A2113" s="4" t="s">
        <v>7530</v>
      </c>
      <c r="B2113" s="37">
        <v>0.5</v>
      </c>
      <c r="C2113" s="37">
        <v>0.013134</v>
      </c>
      <c r="D2113" s="37">
        <v>-0.486866</v>
      </c>
    </row>
    <row r="2114" ht="14.25" customHeight="1">
      <c r="A2114" s="4" t="s">
        <v>7534</v>
      </c>
      <c r="B2114" s="37">
        <v>0.5</v>
      </c>
      <c r="C2114" s="37">
        <v>0.012055</v>
      </c>
      <c r="D2114" s="37">
        <v>-0.487945</v>
      </c>
    </row>
    <row r="2115" ht="14.25" customHeight="1">
      <c r="A2115" s="4" t="s">
        <v>3013</v>
      </c>
      <c r="B2115" s="37">
        <v>35.0</v>
      </c>
      <c r="C2115" s="37">
        <v>34.507079</v>
      </c>
      <c r="D2115" s="37">
        <v>-0.492921</v>
      </c>
    </row>
    <row r="2116" ht="14.25" customHeight="1">
      <c r="A2116" s="4" t="s">
        <v>7536</v>
      </c>
      <c r="B2116" s="37">
        <v>0.5</v>
      </c>
      <c r="C2116" s="37">
        <v>0.001332</v>
      </c>
      <c r="D2116" s="37">
        <v>-0.498668</v>
      </c>
    </row>
    <row r="2117" ht="14.25" customHeight="1">
      <c r="A2117" s="4" t="s">
        <v>4793</v>
      </c>
      <c r="B2117" s="37">
        <v>16.0</v>
      </c>
      <c r="C2117" s="37">
        <v>15.5</v>
      </c>
      <c r="D2117" s="37">
        <v>-0.5</v>
      </c>
    </row>
    <row r="2118" ht="14.25" customHeight="1">
      <c r="A2118" s="4" t="s">
        <v>3154</v>
      </c>
      <c r="B2118" s="37">
        <v>32.0</v>
      </c>
      <c r="C2118" s="37">
        <v>31.493782</v>
      </c>
      <c r="D2118" s="37">
        <v>-0.506218</v>
      </c>
    </row>
    <row r="2119" ht="14.25" customHeight="1">
      <c r="A2119" s="4" t="s">
        <v>7344</v>
      </c>
      <c r="B2119" s="37">
        <v>1.0</v>
      </c>
      <c r="C2119" s="37">
        <v>0.484221</v>
      </c>
      <c r="D2119" s="37">
        <v>-0.515779</v>
      </c>
    </row>
    <row r="2120" ht="14.25" customHeight="1">
      <c r="A2120" s="4" t="s">
        <v>7394</v>
      </c>
      <c r="B2120" s="37">
        <v>0.9</v>
      </c>
      <c r="C2120" s="37">
        <v>0.381186</v>
      </c>
      <c r="D2120" s="37">
        <v>-0.518814</v>
      </c>
    </row>
    <row r="2121" ht="14.25" customHeight="1">
      <c r="A2121" s="4" t="s">
        <v>7050</v>
      </c>
      <c r="B2121" s="37">
        <v>2.0</v>
      </c>
      <c r="C2121" s="37">
        <v>1.477002</v>
      </c>
      <c r="D2121" s="37">
        <v>-0.522998</v>
      </c>
    </row>
    <row r="2122" ht="14.25" customHeight="1">
      <c r="A2122" s="4" t="s">
        <v>5710</v>
      </c>
      <c r="B2122" s="37">
        <v>10.0</v>
      </c>
      <c r="C2122" s="37">
        <v>9.473382</v>
      </c>
      <c r="D2122" s="37">
        <v>-0.526618</v>
      </c>
    </row>
    <row r="2123" ht="14.25" customHeight="1">
      <c r="A2123" s="4" t="s">
        <v>6644</v>
      </c>
      <c r="B2123" s="37">
        <v>4.0</v>
      </c>
      <c r="C2123" s="37">
        <v>3.468572</v>
      </c>
      <c r="D2123" s="37">
        <v>-0.531428</v>
      </c>
    </row>
    <row r="2124" ht="14.25" customHeight="1">
      <c r="A2124" s="4" t="s">
        <v>7331</v>
      </c>
      <c r="B2124" s="37">
        <v>1.0</v>
      </c>
      <c r="C2124" s="37">
        <v>0.464655</v>
      </c>
      <c r="D2124" s="37">
        <v>-0.535345</v>
      </c>
    </row>
    <row r="2125" ht="14.25" customHeight="1">
      <c r="A2125" s="4" t="s">
        <v>7333</v>
      </c>
      <c r="B2125" s="37">
        <v>1.0</v>
      </c>
      <c r="C2125" s="37">
        <v>0.464126</v>
      </c>
      <c r="D2125" s="37">
        <v>-0.535874</v>
      </c>
    </row>
    <row r="2126" ht="14.25" customHeight="1">
      <c r="A2126" s="4" t="s">
        <v>7422</v>
      </c>
      <c r="B2126" s="37">
        <v>0.6</v>
      </c>
      <c r="C2126" s="37">
        <v>0.035688</v>
      </c>
      <c r="D2126" s="37">
        <v>-0.564312</v>
      </c>
    </row>
    <row r="2127" ht="14.25" customHeight="1">
      <c r="A2127" s="4" t="s">
        <v>7048</v>
      </c>
      <c r="B2127" s="37">
        <v>2.0</v>
      </c>
      <c r="C2127" s="37">
        <v>1.430185</v>
      </c>
      <c r="D2127" s="37">
        <v>-0.569815</v>
      </c>
    </row>
    <row r="2128" ht="14.25" customHeight="1">
      <c r="A2128" s="4" t="s">
        <v>7335</v>
      </c>
      <c r="B2128" s="37">
        <v>1.0</v>
      </c>
      <c r="C2128" s="37">
        <v>0.428535</v>
      </c>
      <c r="D2128" s="37">
        <v>-0.571465</v>
      </c>
    </row>
    <row r="2129" ht="14.25" customHeight="1">
      <c r="A2129" s="4" t="s">
        <v>4783</v>
      </c>
      <c r="B2129" s="37">
        <v>16.0</v>
      </c>
      <c r="C2129" s="37">
        <v>15.427192</v>
      </c>
      <c r="D2129" s="37">
        <v>-0.572808</v>
      </c>
    </row>
    <row r="2130" ht="14.25" customHeight="1">
      <c r="A2130" s="4" t="s">
        <v>7467</v>
      </c>
      <c r="B2130" s="37">
        <v>0.6</v>
      </c>
      <c r="C2130" s="37">
        <v>0.013493</v>
      </c>
      <c r="D2130" s="37">
        <v>-0.586507</v>
      </c>
    </row>
    <row r="2131" ht="14.25" customHeight="1">
      <c r="A2131" s="4" t="s">
        <v>7134</v>
      </c>
      <c r="B2131" s="37">
        <v>1.0</v>
      </c>
      <c r="C2131" s="37">
        <v>0.396035</v>
      </c>
      <c r="D2131" s="37">
        <v>-0.603965</v>
      </c>
    </row>
    <row r="2132" ht="14.25" customHeight="1">
      <c r="A2132" s="4" t="s">
        <v>7207</v>
      </c>
      <c r="B2132" s="37">
        <v>1.3</v>
      </c>
      <c r="C2132" s="37">
        <v>0.695229</v>
      </c>
      <c r="D2132" s="37">
        <v>-0.604771</v>
      </c>
    </row>
    <row r="2133" ht="14.25" customHeight="1">
      <c r="A2133" s="4" t="s">
        <v>7247</v>
      </c>
      <c r="B2133" s="37">
        <v>1.2</v>
      </c>
      <c r="C2133" s="37">
        <v>0.594904</v>
      </c>
      <c r="D2133" s="37">
        <v>-0.605096</v>
      </c>
    </row>
    <row r="2134" ht="14.25" customHeight="1">
      <c r="A2134" s="4" t="s">
        <v>694</v>
      </c>
      <c r="B2134" s="37">
        <v>105.0</v>
      </c>
      <c r="C2134" s="37">
        <v>104.374107</v>
      </c>
      <c r="D2134" s="37">
        <v>-0.625893</v>
      </c>
    </row>
    <row r="2135" ht="14.25" customHeight="1">
      <c r="A2135" s="4" t="s">
        <v>6685</v>
      </c>
      <c r="B2135" s="37">
        <v>0.65</v>
      </c>
      <c r="C2135" s="37">
        <v>0.018469</v>
      </c>
      <c r="D2135" s="37">
        <v>-0.631531</v>
      </c>
    </row>
    <row r="2136" ht="14.25" customHeight="1">
      <c r="A2136" s="4" t="s">
        <v>1113</v>
      </c>
      <c r="B2136" s="37">
        <v>80.0</v>
      </c>
      <c r="C2136" s="37">
        <v>79.363785</v>
      </c>
      <c r="D2136" s="37">
        <v>-0.636215</v>
      </c>
    </row>
    <row r="2137" ht="14.25" customHeight="1">
      <c r="A2137" s="4" t="s">
        <v>1113</v>
      </c>
      <c r="B2137" s="37">
        <v>80.0</v>
      </c>
      <c r="C2137" s="37">
        <v>79.363785</v>
      </c>
      <c r="D2137" s="37">
        <v>-0.636215</v>
      </c>
    </row>
    <row r="2138" ht="14.25" customHeight="1">
      <c r="A2138" s="4" t="s">
        <v>6287</v>
      </c>
      <c r="B2138" s="37">
        <v>6.0</v>
      </c>
      <c r="C2138" s="37">
        <v>5.359774</v>
      </c>
      <c r="D2138" s="37">
        <v>-0.640226</v>
      </c>
    </row>
    <row r="2139" ht="14.25" customHeight="1">
      <c r="A2139" s="4" t="s">
        <v>6856</v>
      </c>
      <c r="B2139" s="37">
        <v>3.5</v>
      </c>
      <c r="C2139" s="37">
        <v>2.848578</v>
      </c>
      <c r="D2139" s="37">
        <v>-0.651422</v>
      </c>
    </row>
    <row r="2140" ht="14.25" customHeight="1">
      <c r="A2140" s="4" t="s">
        <v>7420</v>
      </c>
      <c r="B2140" s="37">
        <v>0.8</v>
      </c>
      <c r="C2140" s="37">
        <v>0.144583</v>
      </c>
      <c r="D2140" s="37">
        <v>-0.655417</v>
      </c>
    </row>
    <row r="2141" ht="14.25" customHeight="1">
      <c r="A2141" s="4" t="s">
        <v>7436</v>
      </c>
      <c r="B2141" s="37">
        <v>0.75</v>
      </c>
      <c r="C2141" s="37">
        <v>0.077501</v>
      </c>
      <c r="D2141" s="37">
        <v>-0.672499</v>
      </c>
    </row>
    <row r="2142" ht="14.25" customHeight="1">
      <c r="A2142" s="4" t="s">
        <v>4686</v>
      </c>
      <c r="B2142" s="37">
        <v>17.0</v>
      </c>
      <c r="C2142" s="37">
        <v>16.311763</v>
      </c>
      <c r="D2142" s="37">
        <v>-0.688237</v>
      </c>
    </row>
    <row r="2143" ht="14.25" customHeight="1">
      <c r="A2143" s="4" t="s">
        <v>7261</v>
      </c>
      <c r="B2143" s="37">
        <v>0.695393</v>
      </c>
      <c r="C2143" s="37">
        <v>0.006013</v>
      </c>
      <c r="D2143" s="37">
        <v>-0.68938</v>
      </c>
    </row>
    <row r="2144" ht="14.25" customHeight="1">
      <c r="A2144" s="4" t="s">
        <v>7450</v>
      </c>
      <c r="B2144" s="37">
        <v>0.7</v>
      </c>
      <c r="C2144" s="37">
        <v>0.010508</v>
      </c>
      <c r="D2144" s="37">
        <v>-0.689492</v>
      </c>
    </row>
    <row r="2145" ht="14.25" customHeight="1">
      <c r="A2145" s="4" t="s">
        <v>7213</v>
      </c>
      <c r="B2145" s="37">
        <v>1.3</v>
      </c>
      <c r="C2145" s="37">
        <v>0.609042</v>
      </c>
      <c r="D2145" s="37">
        <v>-0.690958</v>
      </c>
    </row>
    <row r="2146" ht="14.25" customHeight="1">
      <c r="A2146" s="4" t="s">
        <v>6491</v>
      </c>
      <c r="B2146" s="37">
        <v>5.0</v>
      </c>
      <c r="C2146" s="37">
        <v>4.306697</v>
      </c>
      <c r="D2146" s="37">
        <v>-0.693303</v>
      </c>
    </row>
    <row r="2147" ht="14.25" customHeight="1">
      <c r="A2147" s="4" t="s">
        <v>1005</v>
      </c>
      <c r="B2147" s="37">
        <v>85.0</v>
      </c>
      <c r="C2147" s="37">
        <v>84.303558</v>
      </c>
      <c r="D2147" s="37">
        <v>-0.696442</v>
      </c>
    </row>
    <row r="2148" ht="14.25" customHeight="1">
      <c r="A2148" s="4" t="s">
        <v>6563</v>
      </c>
      <c r="B2148" s="37">
        <v>4.5</v>
      </c>
      <c r="C2148" s="37">
        <v>3.798532</v>
      </c>
      <c r="D2148" s="37">
        <v>-0.701468</v>
      </c>
    </row>
    <row r="2149" ht="14.25" customHeight="1">
      <c r="A2149" s="4" t="s">
        <v>7438</v>
      </c>
      <c r="B2149" s="37">
        <v>0.75</v>
      </c>
      <c r="C2149" s="37">
        <v>0.047329</v>
      </c>
      <c r="D2149" s="37">
        <v>-0.702671</v>
      </c>
    </row>
    <row r="2150" ht="14.25" customHeight="1">
      <c r="A2150" s="4" t="s">
        <v>7129</v>
      </c>
      <c r="B2150" s="37">
        <v>1.7</v>
      </c>
      <c r="C2150" s="37">
        <v>0.992238</v>
      </c>
      <c r="D2150" s="37">
        <v>-0.707762</v>
      </c>
    </row>
    <row r="2151" ht="14.25" customHeight="1">
      <c r="A2151" s="4" t="s">
        <v>7355</v>
      </c>
      <c r="B2151" s="37">
        <v>1.0</v>
      </c>
      <c r="C2151" s="37">
        <v>0.287761</v>
      </c>
      <c r="D2151" s="37">
        <v>-0.712239</v>
      </c>
    </row>
    <row r="2152" ht="14.25" customHeight="1">
      <c r="A2152" s="4" t="s">
        <v>5290</v>
      </c>
      <c r="B2152" s="37">
        <v>13.0</v>
      </c>
      <c r="C2152" s="37">
        <v>12.2815</v>
      </c>
      <c r="D2152" s="37">
        <v>-0.7185</v>
      </c>
    </row>
    <row r="2153" ht="14.25" customHeight="1">
      <c r="A2153" s="4" t="s">
        <v>7340</v>
      </c>
      <c r="B2153" s="37">
        <v>1.0</v>
      </c>
      <c r="C2153" s="37">
        <v>0.279282</v>
      </c>
      <c r="D2153" s="37">
        <v>-0.720718</v>
      </c>
    </row>
    <row r="2154" ht="14.25" customHeight="1">
      <c r="A2154" s="4" t="s">
        <v>7347</v>
      </c>
      <c r="B2154" s="37">
        <v>1.0</v>
      </c>
      <c r="C2154" s="37">
        <v>0.274661</v>
      </c>
      <c r="D2154" s="37">
        <v>-0.725339</v>
      </c>
    </row>
    <row r="2155" ht="14.25" customHeight="1">
      <c r="A2155" s="4" t="s">
        <v>6223</v>
      </c>
      <c r="B2155" s="37">
        <v>4.8</v>
      </c>
      <c r="C2155" s="37">
        <v>4.063859</v>
      </c>
      <c r="D2155" s="37">
        <v>-0.736141</v>
      </c>
    </row>
    <row r="2156" ht="14.25" customHeight="1">
      <c r="A2156" s="4" t="s">
        <v>6710</v>
      </c>
      <c r="B2156" s="37">
        <v>3.7</v>
      </c>
      <c r="C2156" s="37">
        <v>2.956</v>
      </c>
      <c r="D2156" s="37">
        <v>-0.744</v>
      </c>
    </row>
    <row r="2157" ht="14.25" customHeight="1">
      <c r="A2157" s="4" t="s">
        <v>2437</v>
      </c>
      <c r="B2157" s="37">
        <v>42.0</v>
      </c>
      <c r="C2157" s="37">
        <v>41.252428</v>
      </c>
      <c r="D2157" s="37">
        <v>-0.747572</v>
      </c>
    </row>
    <row r="2158" ht="14.25" customHeight="1">
      <c r="A2158" s="4" t="s">
        <v>4962</v>
      </c>
      <c r="B2158" s="37">
        <v>15.0</v>
      </c>
      <c r="C2158" s="37">
        <v>14.249005</v>
      </c>
      <c r="D2158" s="37">
        <v>-0.750995</v>
      </c>
    </row>
    <row r="2159" ht="14.25" customHeight="1">
      <c r="A2159" s="4" t="s">
        <v>7424</v>
      </c>
      <c r="B2159" s="37">
        <v>0.8</v>
      </c>
      <c r="C2159" s="37">
        <v>0.041709</v>
      </c>
      <c r="D2159" s="37">
        <v>-0.758291</v>
      </c>
    </row>
    <row r="2160" ht="14.25" customHeight="1">
      <c r="A2160" s="4" t="s">
        <v>3956</v>
      </c>
      <c r="B2160" s="37">
        <v>24.0</v>
      </c>
      <c r="C2160" s="37">
        <v>23.225911</v>
      </c>
      <c r="D2160" s="37">
        <v>-0.774089</v>
      </c>
    </row>
    <row r="2161" ht="14.25" customHeight="1">
      <c r="A2161" s="4" t="s">
        <v>6850</v>
      </c>
      <c r="B2161" s="37">
        <v>3.0</v>
      </c>
      <c r="C2161" s="37">
        <v>2.22399</v>
      </c>
      <c r="D2161" s="37">
        <v>-0.77601</v>
      </c>
    </row>
    <row r="2162" ht="14.25" customHeight="1">
      <c r="A2162" s="4" t="s">
        <v>5528</v>
      </c>
      <c r="B2162" s="37">
        <v>11.0</v>
      </c>
      <c r="C2162" s="37">
        <v>10.214647</v>
      </c>
      <c r="D2162" s="37">
        <v>-0.785353</v>
      </c>
    </row>
    <row r="2163" ht="14.25" customHeight="1">
      <c r="A2163" s="4" t="s">
        <v>7165</v>
      </c>
      <c r="B2163" s="37">
        <v>1.5</v>
      </c>
      <c r="C2163" s="37">
        <v>0.712294</v>
      </c>
      <c r="D2163" s="37">
        <v>-0.787706</v>
      </c>
    </row>
    <row r="2164" ht="14.25" customHeight="1">
      <c r="A2164" s="4" t="s">
        <v>5701</v>
      </c>
      <c r="B2164" s="37">
        <v>7.5</v>
      </c>
      <c r="C2164" s="37">
        <v>6.712241</v>
      </c>
      <c r="D2164" s="37">
        <v>-0.787759</v>
      </c>
    </row>
    <row r="2165" ht="14.25" customHeight="1">
      <c r="A2165" s="4" t="s">
        <v>6349</v>
      </c>
      <c r="B2165" s="37">
        <v>7.0</v>
      </c>
      <c r="C2165" s="37">
        <v>6.200756</v>
      </c>
      <c r="D2165" s="37">
        <v>-0.799244</v>
      </c>
    </row>
    <row r="2166" ht="14.25" customHeight="1">
      <c r="A2166" s="4" t="s">
        <v>7367</v>
      </c>
      <c r="B2166" s="37">
        <v>0.9</v>
      </c>
      <c r="C2166" s="37">
        <v>0.100659</v>
      </c>
      <c r="D2166" s="37">
        <v>-0.799341</v>
      </c>
    </row>
    <row r="2167" ht="14.25" customHeight="1">
      <c r="A2167" s="4" t="s">
        <v>7560</v>
      </c>
      <c r="B2167" s="37">
        <v>1.066167</v>
      </c>
      <c r="C2167" s="37">
        <v>0.258113</v>
      </c>
      <c r="D2167" s="37">
        <v>-0.808054</v>
      </c>
    </row>
    <row r="2168" ht="14.25" customHeight="1">
      <c r="A2168" s="4" t="s">
        <v>7410</v>
      </c>
      <c r="B2168" s="37">
        <v>0.825</v>
      </c>
      <c r="C2168" s="37">
        <v>0.015278</v>
      </c>
      <c r="D2168" s="37">
        <v>-0.809722</v>
      </c>
    </row>
    <row r="2169" ht="14.25" customHeight="1">
      <c r="A2169" s="4" t="s">
        <v>6853</v>
      </c>
      <c r="B2169" s="37">
        <v>3.0</v>
      </c>
      <c r="C2169" s="37">
        <v>2.18129</v>
      </c>
      <c r="D2169" s="37">
        <v>-0.81871</v>
      </c>
    </row>
    <row r="2170" ht="14.25" customHeight="1">
      <c r="A2170" s="4" t="s">
        <v>4570</v>
      </c>
      <c r="B2170" s="37">
        <v>18.0</v>
      </c>
      <c r="C2170" s="37">
        <v>17.17487</v>
      </c>
      <c r="D2170" s="37">
        <v>-0.82513</v>
      </c>
    </row>
    <row r="2171" ht="14.25" customHeight="1">
      <c r="A2171" s="4" t="s">
        <v>6205</v>
      </c>
      <c r="B2171" s="37">
        <v>7.0</v>
      </c>
      <c r="C2171" s="37">
        <v>6.173485</v>
      </c>
      <c r="D2171" s="37">
        <v>-0.826515</v>
      </c>
    </row>
    <row r="2172" ht="14.25" customHeight="1">
      <c r="A2172" s="4" t="s">
        <v>7351</v>
      </c>
      <c r="B2172" s="37">
        <v>1.0</v>
      </c>
      <c r="C2172" s="37">
        <v>0.144431</v>
      </c>
      <c r="D2172" s="37">
        <v>-0.855569</v>
      </c>
    </row>
    <row r="2173" ht="14.25" customHeight="1">
      <c r="A2173" s="4" t="s">
        <v>7112</v>
      </c>
      <c r="B2173" s="37">
        <v>1.5</v>
      </c>
      <c r="C2173" s="37">
        <v>0.638476</v>
      </c>
      <c r="D2173" s="37">
        <v>-0.861524</v>
      </c>
    </row>
    <row r="2174" ht="14.25" customHeight="1">
      <c r="A2174" s="4" t="s">
        <v>7054</v>
      </c>
      <c r="B2174" s="37">
        <v>2.0</v>
      </c>
      <c r="C2174" s="37">
        <v>1.134049</v>
      </c>
      <c r="D2174" s="37">
        <v>-0.865951</v>
      </c>
    </row>
    <row r="2175" ht="14.25" customHeight="1">
      <c r="A2175" s="4" t="s">
        <v>7440</v>
      </c>
      <c r="B2175" s="37">
        <v>0.9</v>
      </c>
      <c r="C2175" s="37">
        <v>0.018378</v>
      </c>
      <c r="D2175" s="37">
        <v>-0.881622</v>
      </c>
    </row>
    <row r="2176" ht="14.25" customHeight="1">
      <c r="A2176" s="4" t="s">
        <v>6564</v>
      </c>
      <c r="B2176" s="37">
        <v>4.5</v>
      </c>
      <c r="C2176" s="37">
        <v>3.609278</v>
      </c>
      <c r="D2176" s="37">
        <v>-0.890722</v>
      </c>
    </row>
    <row r="2177" ht="14.25" customHeight="1">
      <c r="A2177" s="4" t="s">
        <v>7399</v>
      </c>
      <c r="B2177" s="37">
        <v>0.9</v>
      </c>
      <c r="C2177" s="37">
        <v>0.006643</v>
      </c>
      <c r="D2177" s="37">
        <v>-0.893357</v>
      </c>
    </row>
    <row r="2178" ht="14.25" customHeight="1">
      <c r="A2178" s="4" t="s">
        <v>7337</v>
      </c>
      <c r="B2178" s="37">
        <v>1.0</v>
      </c>
      <c r="C2178" s="37">
        <v>0.104077</v>
      </c>
      <c r="D2178" s="37">
        <v>-0.895923</v>
      </c>
    </row>
    <row r="2179" ht="14.25" customHeight="1">
      <c r="A2179" s="4" t="s">
        <v>7358</v>
      </c>
      <c r="B2179" s="37">
        <v>1.0</v>
      </c>
      <c r="C2179" s="37">
        <v>0.10024</v>
      </c>
      <c r="D2179" s="37">
        <v>-0.89976</v>
      </c>
    </row>
    <row r="2180" ht="14.25" customHeight="1">
      <c r="A2180" s="4" t="s">
        <v>7046</v>
      </c>
      <c r="B2180" s="37">
        <v>2.0</v>
      </c>
      <c r="C2180" s="37">
        <v>1.098224</v>
      </c>
      <c r="D2180" s="37">
        <v>-0.901776</v>
      </c>
    </row>
    <row r="2181" ht="14.25" customHeight="1">
      <c r="A2181" s="4" t="s">
        <v>7361</v>
      </c>
      <c r="B2181" s="37">
        <v>1.0</v>
      </c>
      <c r="C2181" s="37">
        <v>0.096734</v>
      </c>
      <c r="D2181" s="37">
        <v>-0.903266</v>
      </c>
    </row>
    <row r="2182" ht="14.25" customHeight="1">
      <c r="A2182" s="4" t="s">
        <v>2228</v>
      </c>
      <c r="B2182" s="37">
        <v>48.0</v>
      </c>
      <c r="C2182" s="37">
        <v>47.095453</v>
      </c>
      <c r="D2182" s="37">
        <v>-0.904547</v>
      </c>
    </row>
    <row r="2183" ht="14.25" customHeight="1">
      <c r="A2183" s="4" t="s">
        <v>7777</v>
      </c>
      <c r="B2183" s="37">
        <v>1.0</v>
      </c>
      <c r="C2183" s="37">
        <v>0.094596</v>
      </c>
      <c r="D2183" s="37">
        <v>-0.905404</v>
      </c>
    </row>
    <row r="2184" ht="14.25" customHeight="1">
      <c r="A2184" s="4" t="s">
        <v>7387</v>
      </c>
      <c r="B2184" s="37">
        <v>0.93</v>
      </c>
      <c r="C2184" s="37">
        <v>0.020186</v>
      </c>
      <c r="D2184" s="37">
        <v>-0.909814</v>
      </c>
    </row>
    <row r="2185" ht="14.25" customHeight="1">
      <c r="A2185" s="4" t="s">
        <v>6490</v>
      </c>
      <c r="B2185" s="37">
        <v>5.0</v>
      </c>
      <c r="C2185" s="37">
        <v>4.074023</v>
      </c>
      <c r="D2185" s="37">
        <v>-0.925977</v>
      </c>
    </row>
    <row r="2186" ht="14.25" customHeight="1">
      <c r="A2186" s="4" t="s">
        <v>4567</v>
      </c>
      <c r="B2186" s="37">
        <v>18.0</v>
      </c>
      <c r="C2186" s="37">
        <v>17.07123</v>
      </c>
      <c r="D2186" s="37">
        <v>-0.92877</v>
      </c>
    </row>
    <row r="2187" ht="14.25" customHeight="1">
      <c r="A2187" s="4" t="s">
        <v>7378</v>
      </c>
      <c r="B2187" s="37">
        <v>1.0</v>
      </c>
      <c r="C2187" s="37">
        <v>0.06248</v>
      </c>
      <c r="D2187" s="37">
        <v>-0.93752</v>
      </c>
    </row>
    <row r="2188" ht="14.25" customHeight="1">
      <c r="A2188" s="4" t="s">
        <v>6663</v>
      </c>
      <c r="B2188" s="37">
        <v>1.3</v>
      </c>
      <c r="C2188" s="37">
        <v>0.354704</v>
      </c>
      <c r="D2188" s="37">
        <v>-0.945296</v>
      </c>
    </row>
    <row r="2189" ht="14.25" customHeight="1">
      <c r="A2189" s="4" t="s">
        <v>7210</v>
      </c>
      <c r="B2189" s="37">
        <v>1.592</v>
      </c>
      <c r="C2189" s="37">
        <v>0.638951</v>
      </c>
      <c r="D2189" s="37">
        <v>-0.953049</v>
      </c>
    </row>
    <row r="2190" ht="14.25" customHeight="1">
      <c r="A2190" s="4" t="s">
        <v>3820</v>
      </c>
      <c r="B2190" s="37">
        <v>16.0</v>
      </c>
      <c r="C2190" s="37">
        <v>15.045676</v>
      </c>
      <c r="D2190" s="37">
        <v>-0.954324</v>
      </c>
    </row>
    <row r="2191" ht="14.25" customHeight="1">
      <c r="A2191" s="4" t="s">
        <v>3799</v>
      </c>
      <c r="B2191" s="37">
        <v>25.0</v>
      </c>
      <c r="C2191" s="37">
        <v>24.04249</v>
      </c>
      <c r="D2191" s="37">
        <v>-0.95751</v>
      </c>
    </row>
    <row r="2192" ht="14.25" customHeight="1">
      <c r="A2192" s="4" t="s">
        <v>6496</v>
      </c>
      <c r="B2192" s="37">
        <v>5.0</v>
      </c>
      <c r="C2192" s="37">
        <v>4.040588</v>
      </c>
      <c r="D2192" s="37">
        <v>-0.959412</v>
      </c>
    </row>
    <row r="2193" ht="14.25" customHeight="1">
      <c r="A2193" s="4" t="s">
        <v>7371</v>
      </c>
      <c r="B2193" s="37">
        <v>1.0</v>
      </c>
      <c r="C2193" s="37">
        <v>0.02121</v>
      </c>
      <c r="D2193" s="37">
        <v>-0.97879</v>
      </c>
    </row>
    <row r="2194" ht="14.25" customHeight="1">
      <c r="A2194" s="4" t="s">
        <v>7217</v>
      </c>
      <c r="B2194" s="37">
        <v>1.0</v>
      </c>
      <c r="C2194" s="37">
        <v>0.019539</v>
      </c>
      <c r="D2194" s="37">
        <v>-0.980461</v>
      </c>
    </row>
    <row r="2195" ht="14.25" customHeight="1">
      <c r="A2195" s="4" t="s">
        <v>7372</v>
      </c>
      <c r="B2195" s="37">
        <v>1.0</v>
      </c>
      <c r="C2195" s="37">
        <v>0.012996</v>
      </c>
      <c r="D2195" s="37">
        <v>-0.987004</v>
      </c>
    </row>
    <row r="2196" ht="14.25" customHeight="1">
      <c r="A2196" s="4" t="s">
        <v>7375</v>
      </c>
      <c r="B2196" s="37">
        <v>1.0</v>
      </c>
      <c r="C2196" s="37">
        <v>0.010018</v>
      </c>
      <c r="D2196" s="37">
        <v>-0.989982</v>
      </c>
    </row>
    <row r="2197" ht="14.25" customHeight="1">
      <c r="A2197" s="4" t="s">
        <v>7380</v>
      </c>
      <c r="B2197" s="37">
        <v>1.0</v>
      </c>
      <c r="C2197" s="37">
        <v>0.006387</v>
      </c>
      <c r="D2197" s="37">
        <v>-0.993613</v>
      </c>
    </row>
    <row r="2198" ht="14.25" customHeight="1">
      <c r="A2198" s="4" t="s">
        <v>7381</v>
      </c>
      <c r="B2198" s="37">
        <v>1.0</v>
      </c>
      <c r="C2198" s="37">
        <v>7.21E-4</v>
      </c>
      <c r="D2198" s="37">
        <v>-0.999279</v>
      </c>
    </row>
    <row r="2199" ht="14.25" customHeight="1">
      <c r="A2199" s="4" t="s">
        <v>3512</v>
      </c>
      <c r="B2199" s="37">
        <v>28.0</v>
      </c>
      <c r="C2199" s="37">
        <v>27.0</v>
      </c>
      <c r="D2199" s="37">
        <v>-1.0</v>
      </c>
    </row>
    <row r="2200" ht="14.25" customHeight="1">
      <c r="A2200" s="4" t="s">
        <v>3971</v>
      </c>
      <c r="B2200" s="37">
        <v>23.0</v>
      </c>
      <c r="C2200" s="37">
        <v>21.973182</v>
      </c>
      <c r="D2200" s="37">
        <v>-1.026818</v>
      </c>
    </row>
    <row r="2201" ht="14.25" customHeight="1">
      <c r="A2201" s="4" t="s">
        <v>7272</v>
      </c>
      <c r="B2201" s="37">
        <v>1.1</v>
      </c>
      <c r="C2201" s="37">
        <v>0.056129</v>
      </c>
      <c r="D2201" s="37">
        <v>-1.043871</v>
      </c>
    </row>
    <row r="2202" ht="14.25" customHeight="1">
      <c r="A2202" s="4" t="s">
        <v>6902</v>
      </c>
      <c r="B2202" s="37">
        <v>2.0</v>
      </c>
      <c r="C2202" s="37">
        <v>0.95262</v>
      </c>
      <c r="D2202" s="37">
        <v>-1.04738</v>
      </c>
    </row>
    <row r="2203" ht="14.25" customHeight="1">
      <c r="A2203" s="4" t="s">
        <v>7169</v>
      </c>
      <c r="B2203" s="37">
        <v>1.5</v>
      </c>
      <c r="C2203" s="37">
        <v>0.418953</v>
      </c>
      <c r="D2203" s="37">
        <v>-1.081047</v>
      </c>
    </row>
    <row r="2204" ht="14.25" customHeight="1">
      <c r="A2204" s="4" t="s">
        <v>7706</v>
      </c>
      <c r="B2204" s="37">
        <v>1.2</v>
      </c>
      <c r="C2204" s="37">
        <v>0.11072</v>
      </c>
      <c r="D2204" s="37">
        <v>-1.08928</v>
      </c>
    </row>
    <row r="2205" ht="14.25" customHeight="1">
      <c r="A2205" s="4" t="s">
        <v>7171</v>
      </c>
      <c r="B2205" s="37">
        <v>1.5</v>
      </c>
      <c r="C2205" s="37">
        <v>0.406035</v>
      </c>
      <c r="D2205" s="37">
        <v>-1.093965</v>
      </c>
    </row>
    <row r="2206" ht="14.25" customHeight="1">
      <c r="A2206" s="4" t="s">
        <v>7200</v>
      </c>
      <c r="B2206" s="37">
        <v>1.4</v>
      </c>
      <c r="C2206" s="37">
        <v>0.304124</v>
      </c>
      <c r="D2206" s="37">
        <v>-1.095876</v>
      </c>
    </row>
    <row r="2207" ht="14.25" customHeight="1">
      <c r="A2207" s="4" t="s">
        <v>6645</v>
      </c>
      <c r="B2207" s="37">
        <v>4.0</v>
      </c>
      <c r="C2207" s="37">
        <v>2.892582</v>
      </c>
      <c r="D2207" s="37">
        <v>-1.107418</v>
      </c>
    </row>
    <row r="2208" ht="14.25" customHeight="1">
      <c r="A2208" s="4" t="s">
        <v>4272</v>
      </c>
      <c r="B2208" s="37">
        <v>20.0</v>
      </c>
      <c r="C2208" s="37">
        <v>18.88288</v>
      </c>
      <c r="D2208" s="37">
        <v>-1.11712</v>
      </c>
    </row>
    <row r="2209" ht="14.25" customHeight="1">
      <c r="A2209" s="4" t="s">
        <v>7173</v>
      </c>
      <c r="B2209" s="37">
        <v>1.5</v>
      </c>
      <c r="C2209" s="37">
        <v>0.373967</v>
      </c>
      <c r="D2209" s="37">
        <v>-1.126033</v>
      </c>
    </row>
    <row r="2210" ht="14.25" customHeight="1">
      <c r="A2210" s="4" t="s">
        <v>6290</v>
      </c>
      <c r="B2210" s="37">
        <v>6.0</v>
      </c>
      <c r="C2210" s="37">
        <v>4.859475</v>
      </c>
      <c r="D2210" s="37">
        <v>-1.140525</v>
      </c>
    </row>
    <row r="2211" ht="14.25" customHeight="1">
      <c r="A2211" s="4" t="s">
        <v>7250</v>
      </c>
      <c r="B2211" s="37">
        <v>1.2</v>
      </c>
      <c r="C2211" s="37">
        <v>0.058936</v>
      </c>
      <c r="D2211" s="37">
        <v>-1.141064</v>
      </c>
    </row>
    <row r="2212" ht="14.25" customHeight="1">
      <c r="A2212" s="4" t="s">
        <v>4944</v>
      </c>
      <c r="B2212" s="37">
        <v>20.0</v>
      </c>
      <c r="C2212" s="37">
        <v>18.843314</v>
      </c>
      <c r="D2212" s="37">
        <v>-1.156686</v>
      </c>
    </row>
    <row r="2213" ht="14.25" customHeight="1">
      <c r="A2213" s="4" t="s">
        <v>6966</v>
      </c>
      <c r="B2213" s="37">
        <v>1.5</v>
      </c>
      <c r="C2213" s="37">
        <v>0.327919</v>
      </c>
      <c r="D2213" s="37">
        <v>-1.172081</v>
      </c>
    </row>
    <row r="2214" ht="14.25" customHeight="1">
      <c r="A2214" s="4" t="s">
        <v>6852</v>
      </c>
      <c r="B2214" s="37">
        <v>3.0</v>
      </c>
      <c r="C2214" s="37">
        <v>1.821983</v>
      </c>
      <c r="D2214" s="37">
        <v>-1.178017</v>
      </c>
    </row>
    <row r="2215" ht="14.25" customHeight="1">
      <c r="A2215" s="4" t="s">
        <v>7252</v>
      </c>
      <c r="B2215" s="37">
        <v>1.2</v>
      </c>
      <c r="C2215" s="37">
        <v>0.007826</v>
      </c>
      <c r="D2215" s="37">
        <v>-1.192174</v>
      </c>
    </row>
    <row r="2216" ht="14.25" customHeight="1">
      <c r="A2216" s="4" t="s">
        <v>7255</v>
      </c>
      <c r="B2216" s="37">
        <v>1.2</v>
      </c>
      <c r="C2216" s="37">
        <v>0.00383</v>
      </c>
      <c r="D2216" s="37">
        <v>-1.19617</v>
      </c>
    </row>
    <row r="2217" ht="14.25" customHeight="1">
      <c r="A2217" s="4" t="s">
        <v>6647</v>
      </c>
      <c r="B2217" s="37">
        <v>4.0</v>
      </c>
      <c r="C2217" s="37">
        <v>2.8</v>
      </c>
      <c r="D2217" s="37">
        <v>-1.2</v>
      </c>
    </row>
    <row r="2218" ht="14.25" customHeight="1">
      <c r="A2218" s="4" t="s">
        <v>4784</v>
      </c>
      <c r="B2218" s="37">
        <v>16.0</v>
      </c>
      <c r="C2218" s="37">
        <v>14.792779</v>
      </c>
      <c r="D2218" s="37">
        <v>-1.207221</v>
      </c>
    </row>
    <row r="2219" ht="14.25" customHeight="1">
      <c r="A2219" s="4" t="s">
        <v>6840</v>
      </c>
      <c r="B2219" s="37">
        <v>4.5</v>
      </c>
      <c r="C2219" s="37">
        <v>3.287435</v>
      </c>
      <c r="D2219" s="37">
        <v>-1.212565</v>
      </c>
    </row>
    <row r="2220" ht="14.25" customHeight="1">
      <c r="A2220" s="4" t="s">
        <v>2809</v>
      </c>
      <c r="B2220" s="37">
        <v>15.0</v>
      </c>
      <c r="C2220" s="37">
        <v>13.782838</v>
      </c>
      <c r="D2220" s="37">
        <v>-1.217162</v>
      </c>
    </row>
    <row r="2221" ht="14.25" customHeight="1">
      <c r="A2221" s="4" t="s">
        <v>6933</v>
      </c>
      <c r="B2221" s="37">
        <v>2.5</v>
      </c>
      <c r="C2221" s="37">
        <v>1.282084</v>
      </c>
      <c r="D2221" s="37">
        <v>-1.217916</v>
      </c>
    </row>
    <row r="2222" ht="14.25" customHeight="1">
      <c r="A2222" s="4" t="s">
        <v>7544</v>
      </c>
      <c r="B2222" s="37">
        <v>2.0</v>
      </c>
      <c r="C2222" s="37">
        <v>0.768045</v>
      </c>
      <c r="D2222" s="37">
        <v>-1.231955</v>
      </c>
    </row>
    <row r="2223" ht="14.25" customHeight="1">
      <c r="A2223" s="4" t="s">
        <v>4972</v>
      </c>
      <c r="B2223" s="37">
        <v>15.0</v>
      </c>
      <c r="C2223" s="37">
        <v>13.766014</v>
      </c>
      <c r="D2223" s="37">
        <v>-1.233986</v>
      </c>
    </row>
    <row r="2224" ht="14.25" customHeight="1">
      <c r="A2224" s="4" t="s">
        <v>6667</v>
      </c>
      <c r="B2224" s="37">
        <v>1.5</v>
      </c>
      <c r="C2224" s="37">
        <v>0.265107</v>
      </c>
      <c r="D2224" s="37">
        <v>-1.234893</v>
      </c>
    </row>
    <row r="2225" ht="14.25" customHeight="1">
      <c r="A2225" s="4" t="s">
        <v>2096</v>
      </c>
      <c r="B2225" s="37">
        <v>50.0</v>
      </c>
      <c r="C2225" s="37">
        <v>48.74515</v>
      </c>
      <c r="D2225" s="37">
        <v>-1.25485</v>
      </c>
    </row>
    <row r="2226" ht="14.25" customHeight="1">
      <c r="A2226" s="4" t="s">
        <v>5415</v>
      </c>
      <c r="B2226" s="37">
        <v>8.0</v>
      </c>
      <c r="C2226" s="37">
        <v>6.739141</v>
      </c>
      <c r="D2226" s="37">
        <v>-1.260859</v>
      </c>
    </row>
    <row r="2227" ht="14.25" customHeight="1">
      <c r="A2227" s="4" t="s">
        <v>7232</v>
      </c>
      <c r="B2227" s="37">
        <v>1.3</v>
      </c>
      <c r="C2227" s="37">
        <v>0.011278</v>
      </c>
      <c r="D2227" s="37">
        <v>-1.288722</v>
      </c>
    </row>
    <row r="2228" ht="14.25" customHeight="1">
      <c r="A2228" s="4" t="s">
        <v>7115</v>
      </c>
      <c r="B2228" s="37">
        <v>1.8</v>
      </c>
      <c r="C2228" s="37">
        <v>0.505295</v>
      </c>
      <c r="D2228" s="37">
        <v>-1.294705</v>
      </c>
    </row>
    <row r="2229" ht="14.25" customHeight="1">
      <c r="A2229" s="4" t="s">
        <v>4573</v>
      </c>
      <c r="B2229" s="37">
        <v>18.0</v>
      </c>
      <c r="C2229" s="37">
        <v>16.702864</v>
      </c>
      <c r="D2229" s="37">
        <v>-1.297136</v>
      </c>
    </row>
    <row r="2230" ht="14.25" customHeight="1">
      <c r="A2230" s="4" t="s">
        <v>1513</v>
      </c>
      <c r="B2230" s="37">
        <v>65.0</v>
      </c>
      <c r="C2230" s="37">
        <v>63.69576</v>
      </c>
      <c r="D2230" s="37">
        <v>-1.30424</v>
      </c>
    </row>
    <row r="2231" ht="14.25" customHeight="1">
      <c r="A2231" s="4" t="s">
        <v>7176</v>
      </c>
      <c r="B2231" s="37">
        <v>1.5</v>
      </c>
      <c r="C2231" s="37">
        <v>0.194568</v>
      </c>
      <c r="D2231" s="37">
        <v>-1.305432</v>
      </c>
    </row>
    <row r="2232" ht="14.25" customHeight="1">
      <c r="A2232" s="4" t="s">
        <v>6122</v>
      </c>
      <c r="B2232" s="37">
        <v>7.0</v>
      </c>
      <c r="C2232" s="37">
        <v>5.694308</v>
      </c>
      <c r="D2232" s="37">
        <v>-1.305692</v>
      </c>
    </row>
    <row r="2233" ht="14.25" customHeight="1">
      <c r="A2233" s="4" t="s">
        <v>4702</v>
      </c>
      <c r="B2233" s="37">
        <v>17.0</v>
      </c>
      <c r="C2233" s="37">
        <v>15.68102</v>
      </c>
      <c r="D2233" s="37">
        <v>-1.31898</v>
      </c>
    </row>
    <row r="2234" ht="14.25" customHeight="1">
      <c r="A2234" s="4" t="s">
        <v>7183</v>
      </c>
      <c r="B2234" s="37">
        <v>1.5</v>
      </c>
      <c r="C2234" s="37">
        <v>0.173066</v>
      </c>
      <c r="D2234" s="37">
        <v>-1.326934</v>
      </c>
    </row>
    <row r="2235" ht="14.25" customHeight="1">
      <c r="A2235" s="4" t="s">
        <v>4068</v>
      </c>
      <c r="B2235" s="37">
        <v>22.0</v>
      </c>
      <c r="C2235" s="37">
        <v>20.668843</v>
      </c>
      <c r="D2235" s="37">
        <v>-1.331157</v>
      </c>
    </row>
    <row r="2236" ht="14.25" customHeight="1">
      <c r="A2236" s="4" t="s">
        <v>7195</v>
      </c>
      <c r="B2236" s="37">
        <v>2.5</v>
      </c>
      <c r="C2236" s="37">
        <v>1.163508</v>
      </c>
      <c r="D2236" s="37">
        <v>-1.336492</v>
      </c>
    </row>
    <row r="2237" ht="14.25" customHeight="1">
      <c r="A2237" s="4" t="s">
        <v>7179</v>
      </c>
      <c r="B2237" s="37">
        <v>1.5</v>
      </c>
      <c r="C2237" s="37">
        <v>0.163245</v>
      </c>
      <c r="D2237" s="37">
        <v>-1.336755</v>
      </c>
    </row>
    <row r="2238" ht="14.25" customHeight="1">
      <c r="A2238" s="4" t="s">
        <v>1273</v>
      </c>
      <c r="B2238" s="37">
        <v>75.0</v>
      </c>
      <c r="C2238" s="37">
        <v>73.66101</v>
      </c>
      <c r="D2238" s="37">
        <v>-1.33899</v>
      </c>
    </row>
    <row r="2239" ht="14.25" customHeight="1">
      <c r="A2239" s="4" t="s">
        <v>7143</v>
      </c>
      <c r="B2239" s="37">
        <v>1.5</v>
      </c>
      <c r="C2239" s="37">
        <v>0.155972</v>
      </c>
      <c r="D2239" s="37">
        <v>-1.344028</v>
      </c>
    </row>
    <row r="2240" ht="14.25" customHeight="1">
      <c r="A2240" s="4" t="s">
        <v>7056</v>
      </c>
      <c r="B2240" s="37">
        <v>2.0</v>
      </c>
      <c r="C2240" s="37">
        <v>0.653621</v>
      </c>
      <c r="D2240" s="37">
        <v>-1.346379</v>
      </c>
    </row>
    <row r="2241" ht="14.25" customHeight="1">
      <c r="A2241" s="4" t="s">
        <v>3359</v>
      </c>
      <c r="B2241" s="37">
        <v>30.0</v>
      </c>
      <c r="C2241" s="37">
        <v>28.64477</v>
      </c>
      <c r="D2241" s="37">
        <v>-1.35523</v>
      </c>
    </row>
    <row r="2242" ht="14.25" customHeight="1">
      <c r="A2242" s="4" t="s">
        <v>7203</v>
      </c>
      <c r="B2242" s="37">
        <v>1.4</v>
      </c>
      <c r="C2242" s="37">
        <v>0.03683</v>
      </c>
      <c r="D2242" s="37">
        <v>-1.36317</v>
      </c>
    </row>
    <row r="2243" ht="14.25" customHeight="1">
      <c r="A2243" s="4" t="s">
        <v>7181</v>
      </c>
      <c r="B2243" s="37">
        <v>1.5</v>
      </c>
      <c r="C2243" s="37">
        <v>0.119841</v>
      </c>
      <c r="D2243" s="37">
        <v>-1.380159</v>
      </c>
    </row>
    <row r="2244" ht="14.25" customHeight="1">
      <c r="A2244" s="4" t="s">
        <v>7095</v>
      </c>
      <c r="B2244" s="37">
        <v>1.4</v>
      </c>
      <c r="C2244" s="37">
        <v>0.018435</v>
      </c>
      <c r="D2244" s="37">
        <v>-1.381565</v>
      </c>
    </row>
    <row r="2245" ht="14.25" customHeight="1">
      <c r="A2245" s="4" t="s">
        <v>1710</v>
      </c>
      <c r="B2245" s="37">
        <v>48.0</v>
      </c>
      <c r="C2245" s="37">
        <v>46.611204</v>
      </c>
      <c r="D2245" s="37">
        <v>-1.388796</v>
      </c>
    </row>
    <row r="2246" ht="14.25" customHeight="1">
      <c r="A2246" s="4" t="s">
        <v>7187</v>
      </c>
      <c r="B2246" s="37">
        <v>1.5</v>
      </c>
      <c r="C2246" s="37">
        <v>0.105943</v>
      </c>
      <c r="D2246" s="37">
        <v>-1.394057</v>
      </c>
    </row>
    <row r="2247" ht="14.25" customHeight="1">
      <c r="A2247" s="4" t="s">
        <v>7220</v>
      </c>
      <c r="B2247" s="37">
        <v>1.5</v>
      </c>
      <c r="C2247" s="37">
        <v>0.100358</v>
      </c>
      <c r="D2247" s="37">
        <v>-1.399642</v>
      </c>
    </row>
    <row r="2248" ht="14.25" customHeight="1">
      <c r="A2248" s="4" t="s">
        <v>6325</v>
      </c>
      <c r="B2248" s="37">
        <v>5.3</v>
      </c>
      <c r="C2248" s="37">
        <v>3.895664</v>
      </c>
      <c r="D2248" s="37">
        <v>-1.404336</v>
      </c>
    </row>
    <row r="2249" ht="14.25" customHeight="1">
      <c r="A2249" s="4" t="s">
        <v>7184</v>
      </c>
      <c r="B2249" s="37">
        <v>1.5</v>
      </c>
      <c r="C2249" s="37">
        <v>0.092362</v>
      </c>
      <c r="D2249" s="37">
        <v>-1.407638</v>
      </c>
    </row>
    <row r="2250" ht="14.25" customHeight="1">
      <c r="A2250" s="4" t="s">
        <v>6964</v>
      </c>
      <c r="B2250" s="37">
        <v>2.4</v>
      </c>
      <c r="C2250" s="37">
        <v>0.978908</v>
      </c>
      <c r="D2250" s="37">
        <v>-1.421092</v>
      </c>
    </row>
    <row r="2251" ht="14.25" customHeight="1">
      <c r="A2251" s="4" t="s">
        <v>2233</v>
      </c>
      <c r="B2251" s="37">
        <v>55.0</v>
      </c>
      <c r="C2251" s="37">
        <v>53.574088</v>
      </c>
      <c r="D2251" s="37">
        <v>-1.425912</v>
      </c>
    </row>
    <row r="2252" ht="14.25" customHeight="1">
      <c r="A2252" s="4" t="s">
        <v>7364</v>
      </c>
      <c r="B2252" s="37">
        <v>1.5</v>
      </c>
      <c r="C2252" s="37">
        <v>0.049</v>
      </c>
      <c r="D2252" s="37">
        <v>-1.451</v>
      </c>
    </row>
    <row r="2253" ht="14.25" customHeight="1">
      <c r="A2253" s="4" t="s">
        <v>7101</v>
      </c>
      <c r="B2253" s="37">
        <v>1.9</v>
      </c>
      <c r="C2253" s="37">
        <v>0.444044</v>
      </c>
      <c r="D2253" s="37">
        <v>-1.455956</v>
      </c>
    </row>
    <row r="2254" ht="14.25" customHeight="1">
      <c r="A2254" s="4" t="s">
        <v>2619</v>
      </c>
      <c r="B2254" s="37">
        <v>40.0</v>
      </c>
      <c r="C2254" s="37">
        <v>38.543473</v>
      </c>
      <c r="D2254" s="37">
        <v>-1.456527</v>
      </c>
    </row>
    <row r="2255" ht="14.25" customHeight="1">
      <c r="A2255" s="4" t="s">
        <v>6293</v>
      </c>
      <c r="B2255" s="37">
        <v>6.0</v>
      </c>
      <c r="C2255" s="37">
        <v>4.542775</v>
      </c>
      <c r="D2255" s="37">
        <v>-1.457225</v>
      </c>
    </row>
    <row r="2256" ht="14.25" customHeight="1">
      <c r="A2256" s="4" t="s">
        <v>3634</v>
      </c>
      <c r="B2256" s="37">
        <v>56.0</v>
      </c>
      <c r="C2256" s="37">
        <v>54.540525</v>
      </c>
      <c r="D2256" s="37">
        <v>-1.459475</v>
      </c>
    </row>
    <row r="2257" ht="14.25" customHeight="1">
      <c r="A2257" s="4" t="s">
        <v>3796</v>
      </c>
      <c r="B2257" s="37">
        <v>25.0</v>
      </c>
      <c r="C2257" s="37">
        <v>23.527955</v>
      </c>
      <c r="D2257" s="37">
        <v>-1.472045</v>
      </c>
    </row>
    <row r="2258" ht="14.25" customHeight="1">
      <c r="A2258" s="4" t="s">
        <v>422</v>
      </c>
      <c r="B2258" s="37">
        <v>145.0</v>
      </c>
      <c r="C2258" s="37">
        <v>143.523463</v>
      </c>
      <c r="D2258" s="37">
        <v>-1.476537</v>
      </c>
    </row>
    <row r="2259" ht="14.25" customHeight="1">
      <c r="A2259" s="4" t="s">
        <v>7071</v>
      </c>
      <c r="B2259" s="37">
        <v>1.5</v>
      </c>
      <c r="C2259" s="37">
        <v>0.01758</v>
      </c>
      <c r="D2259" s="37">
        <v>-1.48242</v>
      </c>
    </row>
    <row r="2260" ht="14.25" customHeight="1">
      <c r="A2260" s="4" t="s">
        <v>7192</v>
      </c>
      <c r="B2260" s="37">
        <v>1.5</v>
      </c>
      <c r="C2260" s="37">
        <v>0.003478</v>
      </c>
      <c r="D2260" s="37">
        <v>-1.496522</v>
      </c>
    </row>
    <row r="2261" ht="14.25" customHeight="1">
      <c r="A2261" s="4" t="s">
        <v>7215</v>
      </c>
      <c r="B2261" s="37">
        <v>1.5</v>
      </c>
      <c r="C2261" s="37">
        <v>0.001521</v>
      </c>
      <c r="D2261" s="37">
        <v>-1.498479</v>
      </c>
    </row>
    <row r="2262" ht="14.25" customHeight="1">
      <c r="A2262" s="4" t="s">
        <v>5530</v>
      </c>
      <c r="B2262" s="37">
        <v>13.0</v>
      </c>
      <c r="C2262" s="37">
        <v>11.501093</v>
      </c>
      <c r="D2262" s="37">
        <v>-1.498907</v>
      </c>
    </row>
    <row r="2263" ht="14.25" customHeight="1">
      <c r="A2263" s="4" t="s">
        <v>7382</v>
      </c>
      <c r="B2263" s="37">
        <v>1.5</v>
      </c>
      <c r="C2263" s="37">
        <v>7.03E-4</v>
      </c>
      <c r="D2263" s="37">
        <v>-1.499297</v>
      </c>
    </row>
    <row r="2264" ht="14.25" customHeight="1">
      <c r="A2264" s="4" t="s">
        <v>6995</v>
      </c>
      <c r="B2264" s="37">
        <v>2.3</v>
      </c>
      <c r="C2264" s="37">
        <v>0.792966</v>
      </c>
      <c r="D2264" s="37">
        <v>-1.507034</v>
      </c>
    </row>
    <row r="2265" ht="14.25" customHeight="1">
      <c r="A2265" s="4" t="s">
        <v>7189</v>
      </c>
      <c r="B2265" s="37">
        <v>1.7</v>
      </c>
      <c r="C2265" s="37">
        <v>0.18349</v>
      </c>
      <c r="D2265" s="37">
        <v>-1.51651</v>
      </c>
    </row>
    <row r="2266" ht="14.25" customHeight="1">
      <c r="A2266" s="4" t="s">
        <v>5691</v>
      </c>
      <c r="B2266" s="37">
        <v>10.0</v>
      </c>
      <c r="C2266" s="37">
        <v>8.460995</v>
      </c>
      <c r="D2266" s="37">
        <v>-1.539005</v>
      </c>
    </row>
    <row r="2267" ht="14.25" customHeight="1">
      <c r="A2267" s="4" t="s">
        <v>6545</v>
      </c>
      <c r="B2267" s="37">
        <v>2.8</v>
      </c>
      <c r="C2267" s="37">
        <v>1.247453</v>
      </c>
      <c r="D2267" s="37">
        <v>-1.552547</v>
      </c>
    </row>
    <row r="2268" ht="14.25" customHeight="1">
      <c r="A2268" s="4" t="s">
        <v>7269</v>
      </c>
      <c r="B2268" s="37">
        <v>1.6</v>
      </c>
      <c r="C2268" s="37">
        <v>0.039659</v>
      </c>
      <c r="D2268" s="37">
        <v>-1.560341</v>
      </c>
    </row>
    <row r="2269" ht="14.25" customHeight="1">
      <c r="A2269" s="4" t="s">
        <v>6126</v>
      </c>
      <c r="B2269" s="37">
        <v>7.0</v>
      </c>
      <c r="C2269" s="37">
        <v>5.430822</v>
      </c>
      <c r="D2269" s="37">
        <v>-1.569178</v>
      </c>
    </row>
    <row r="2270" ht="14.25" customHeight="1">
      <c r="A2270" s="4" t="s">
        <v>7145</v>
      </c>
      <c r="B2270" s="37">
        <v>1.6</v>
      </c>
      <c r="C2270" s="37">
        <v>0.026893</v>
      </c>
      <c r="D2270" s="37">
        <v>-1.573107</v>
      </c>
    </row>
    <row r="2271" ht="14.25" customHeight="1">
      <c r="A2271" s="4" t="s">
        <v>6648</v>
      </c>
      <c r="B2271" s="37">
        <v>4.0</v>
      </c>
      <c r="C2271" s="37">
        <v>2.426851</v>
      </c>
      <c r="D2271" s="37">
        <v>-1.573149</v>
      </c>
    </row>
    <row r="2272" ht="14.25" customHeight="1">
      <c r="A2272" s="4" t="s">
        <v>2960</v>
      </c>
      <c r="B2272" s="37">
        <v>35.0</v>
      </c>
      <c r="C2272" s="37">
        <v>33.423521</v>
      </c>
      <c r="D2272" s="37">
        <v>-1.576479</v>
      </c>
    </row>
    <row r="2273" ht="14.25" customHeight="1">
      <c r="A2273" s="4" t="s">
        <v>6577</v>
      </c>
      <c r="B2273" s="37">
        <v>2.0</v>
      </c>
      <c r="C2273" s="37">
        <v>0.410241</v>
      </c>
      <c r="D2273" s="37">
        <v>-1.589759</v>
      </c>
    </row>
    <row r="2274" ht="14.25" customHeight="1">
      <c r="A2274" s="4" t="s">
        <v>6937</v>
      </c>
      <c r="B2274" s="37">
        <v>2.0</v>
      </c>
      <c r="C2274" s="37">
        <v>0.395592</v>
      </c>
      <c r="D2274" s="37">
        <v>-1.604408</v>
      </c>
    </row>
    <row r="2275" ht="14.25" customHeight="1">
      <c r="A2275" s="4" t="s">
        <v>6297</v>
      </c>
      <c r="B2275" s="37">
        <v>6.0</v>
      </c>
      <c r="C2275" s="37">
        <v>4.394936</v>
      </c>
      <c r="D2275" s="37">
        <v>-1.605064</v>
      </c>
    </row>
    <row r="2276" ht="14.25" customHeight="1">
      <c r="A2276" s="4" t="s">
        <v>4761</v>
      </c>
      <c r="B2276" s="37">
        <v>35.0</v>
      </c>
      <c r="C2276" s="37">
        <v>33.357476</v>
      </c>
      <c r="D2276" s="37">
        <v>-1.642524</v>
      </c>
    </row>
    <row r="2277" ht="14.25" customHeight="1">
      <c r="A2277" s="4" t="s">
        <v>7146</v>
      </c>
      <c r="B2277" s="37">
        <v>1.65</v>
      </c>
      <c r="C2277" s="37">
        <v>0.00258</v>
      </c>
      <c r="D2277" s="37">
        <v>-1.64742</v>
      </c>
    </row>
    <row r="2278" ht="14.25" customHeight="1">
      <c r="A2278" s="4" t="s">
        <v>5988</v>
      </c>
      <c r="B2278" s="37">
        <v>8.0</v>
      </c>
      <c r="C2278" s="37">
        <v>6.350058</v>
      </c>
      <c r="D2278" s="37">
        <v>-1.649942</v>
      </c>
    </row>
    <row r="2279" ht="14.25" customHeight="1">
      <c r="A2279" s="4" t="s">
        <v>6207</v>
      </c>
      <c r="B2279" s="37">
        <v>4.0</v>
      </c>
      <c r="C2279" s="37">
        <v>2.338695</v>
      </c>
      <c r="D2279" s="37">
        <v>-1.661305</v>
      </c>
    </row>
    <row r="2280" ht="14.25" customHeight="1">
      <c r="A2280" s="4" t="s">
        <v>5165</v>
      </c>
      <c r="B2280" s="37">
        <v>14.0</v>
      </c>
      <c r="C2280" s="37">
        <v>12.282677</v>
      </c>
      <c r="D2280" s="37">
        <v>-1.717323</v>
      </c>
    </row>
    <row r="2281" ht="14.25" customHeight="1">
      <c r="A2281" s="4" t="s">
        <v>7518</v>
      </c>
      <c r="B2281" s="37">
        <v>2.0</v>
      </c>
      <c r="C2281" s="37">
        <v>0.269061</v>
      </c>
      <c r="D2281" s="37">
        <v>-1.730939</v>
      </c>
    </row>
    <row r="2282" ht="14.25" customHeight="1">
      <c r="A2282" s="4" t="s">
        <v>2101</v>
      </c>
      <c r="B2282" s="37">
        <v>50.0</v>
      </c>
      <c r="C2282" s="37">
        <v>48.265581</v>
      </c>
      <c r="D2282" s="37">
        <v>-1.734419</v>
      </c>
    </row>
    <row r="2283" ht="14.25" customHeight="1">
      <c r="A2283" s="4" t="s">
        <v>5291</v>
      </c>
      <c r="B2283" s="37">
        <v>12.5</v>
      </c>
      <c r="C2283" s="37">
        <v>10.725228</v>
      </c>
      <c r="D2283" s="37">
        <v>-1.774772</v>
      </c>
    </row>
    <row r="2284" ht="14.25" customHeight="1">
      <c r="A2284" s="4" t="s">
        <v>6517</v>
      </c>
      <c r="B2284" s="37">
        <v>5.0</v>
      </c>
      <c r="C2284" s="37">
        <v>3.219029</v>
      </c>
      <c r="D2284" s="37">
        <v>-1.780971</v>
      </c>
    </row>
    <row r="2285" ht="14.25" customHeight="1">
      <c r="A2285" s="4" t="s">
        <v>5267</v>
      </c>
      <c r="B2285" s="37">
        <v>3.0</v>
      </c>
      <c r="C2285" s="37">
        <v>1.2</v>
      </c>
      <c r="D2285" s="37">
        <v>-1.8</v>
      </c>
    </row>
    <row r="2286" ht="14.25" customHeight="1">
      <c r="A2286" s="4" t="s">
        <v>5400</v>
      </c>
      <c r="B2286" s="37">
        <v>12.0</v>
      </c>
      <c r="C2286" s="37">
        <v>10.198766</v>
      </c>
      <c r="D2286" s="37">
        <v>-1.801234</v>
      </c>
    </row>
    <row r="2287" ht="14.25" customHeight="1">
      <c r="A2287" s="4" t="s">
        <v>7076</v>
      </c>
      <c r="B2287" s="37">
        <v>2.0</v>
      </c>
      <c r="C2287" s="37">
        <v>0.198407</v>
      </c>
      <c r="D2287" s="37">
        <v>-1.801593</v>
      </c>
    </row>
    <row r="2288" ht="14.25" customHeight="1">
      <c r="A2288" s="4" t="s">
        <v>6289</v>
      </c>
      <c r="B2288" s="37">
        <v>6.5</v>
      </c>
      <c r="C2288" s="37">
        <v>4.693919</v>
      </c>
      <c r="D2288" s="37">
        <v>-1.806081</v>
      </c>
    </row>
    <row r="2289" ht="14.25" customHeight="1">
      <c r="A2289" s="4" t="s">
        <v>6978</v>
      </c>
      <c r="B2289" s="37">
        <v>2.2</v>
      </c>
      <c r="C2289" s="37">
        <v>0.379643</v>
      </c>
      <c r="D2289" s="37">
        <v>-1.820357</v>
      </c>
    </row>
    <row r="2290" ht="14.25" customHeight="1">
      <c r="A2290" s="4" t="s">
        <v>2613</v>
      </c>
      <c r="B2290" s="37">
        <v>40.0</v>
      </c>
      <c r="C2290" s="37">
        <v>38.176892</v>
      </c>
      <c r="D2290" s="37">
        <v>-1.823108</v>
      </c>
    </row>
    <row r="2291" ht="14.25" customHeight="1">
      <c r="A2291" s="4" t="s">
        <v>5533</v>
      </c>
      <c r="B2291" s="37">
        <v>11.0</v>
      </c>
      <c r="C2291" s="37">
        <v>9.170214</v>
      </c>
      <c r="D2291" s="37">
        <v>-1.829786</v>
      </c>
    </row>
    <row r="2292" ht="14.25" customHeight="1">
      <c r="A2292" s="4" t="s">
        <v>2099</v>
      </c>
      <c r="B2292" s="37">
        <v>50.0</v>
      </c>
      <c r="C2292" s="37">
        <v>48.154732</v>
      </c>
      <c r="D2292" s="37">
        <v>-1.845268</v>
      </c>
    </row>
    <row r="2293" ht="14.25" customHeight="1">
      <c r="A2293" s="4" t="s">
        <v>6353</v>
      </c>
      <c r="B2293" s="37">
        <v>5.5</v>
      </c>
      <c r="C2293" s="37">
        <v>3.629758</v>
      </c>
      <c r="D2293" s="37">
        <v>-1.870242</v>
      </c>
    </row>
    <row r="2294" ht="14.25" customHeight="1">
      <c r="A2294" s="4" t="s">
        <v>7065</v>
      </c>
      <c r="B2294" s="37">
        <v>2.0</v>
      </c>
      <c r="C2294" s="37">
        <v>0.124494</v>
      </c>
      <c r="D2294" s="37">
        <v>-1.875506</v>
      </c>
    </row>
    <row r="2295" ht="14.25" customHeight="1">
      <c r="A2295" s="4" t="s">
        <v>5693</v>
      </c>
      <c r="B2295" s="37">
        <v>10.0</v>
      </c>
      <c r="C2295" s="37">
        <v>8.11136</v>
      </c>
      <c r="D2295" s="37">
        <v>-1.88864</v>
      </c>
    </row>
    <row r="2296" ht="14.25" customHeight="1">
      <c r="A2296" s="4" t="s">
        <v>4788</v>
      </c>
      <c r="B2296" s="37">
        <v>16.0</v>
      </c>
      <c r="C2296" s="37">
        <v>14.108518</v>
      </c>
      <c r="D2296" s="37">
        <v>-1.891482</v>
      </c>
    </row>
    <row r="2297" ht="14.25" customHeight="1">
      <c r="A2297" s="4" t="s">
        <v>2137</v>
      </c>
      <c r="B2297" s="37">
        <v>40.0</v>
      </c>
      <c r="C2297" s="37">
        <v>38.105077</v>
      </c>
      <c r="D2297" s="37">
        <v>-1.894923</v>
      </c>
    </row>
    <row r="2298" ht="14.25" customHeight="1">
      <c r="A2298" s="4" t="s">
        <v>6525</v>
      </c>
      <c r="B2298" s="37">
        <v>2.0</v>
      </c>
      <c r="C2298" s="37">
        <v>0.099147</v>
      </c>
      <c r="D2298" s="37">
        <v>-1.900853</v>
      </c>
    </row>
    <row r="2299" ht="14.25" customHeight="1">
      <c r="A2299" s="4" t="s">
        <v>5785</v>
      </c>
      <c r="B2299" s="37">
        <v>5.0</v>
      </c>
      <c r="C2299" s="37">
        <v>3.093491</v>
      </c>
      <c r="D2299" s="37">
        <v>-1.906509</v>
      </c>
    </row>
    <row r="2300" ht="14.25" customHeight="1">
      <c r="A2300" s="4" t="s">
        <v>7124</v>
      </c>
      <c r="B2300" s="37">
        <v>2.0</v>
      </c>
      <c r="C2300" s="37">
        <v>0.092401</v>
      </c>
      <c r="D2300" s="37">
        <v>-1.907599</v>
      </c>
    </row>
    <row r="2301" ht="14.25" customHeight="1">
      <c r="A2301" s="4" t="s">
        <v>2604</v>
      </c>
      <c r="B2301" s="37">
        <v>40.0</v>
      </c>
      <c r="C2301" s="37">
        <v>38.087756</v>
      </c>
      <c r="D2301" s="37">
        <v>-1.912244</v>
      </c>
    </row>
    <row r="2302" ht="14.25" customHeight="1">
      <c r="A2302" s="4" t="s">
        <v>4289</v>
      </c>
      <c r="B2302" s="37">
        <v>20.0</v>
      </c>
      <c r="C2302" s="37">
        <v>18.081626</v>
      </c>
      <c r="D2302" s="37">
        <v>-1.918374</v>
      </c>
    </row>
    <row r="2303" ht="14.25" customHeight="1">
      <c r="A2303" s="4" t="s">
        <v>5688</v>
      </c>
      <c r="B2303" s="37">
        <v>10.0</v>
      </c>
      <c r="C2303" s="37">
        <v>8.070311</v>
      </c>
      <c r="D2303" s="37">
        <v>-1.929689</v>
      </c>
    </row>
    <row r="2304" ht="14.25" customHeight="1">
      <c r="A2304" s="4" t="s">
        <v>6561</v>
      </c>
      <c r="B2304" s="37">
        <v>15.0</v>
      </c>
      <c r="C2304" s="37">
        <v>13.060843</v>
      </c>
      <c r="D2304" s="37">
        <v>-1.939157</v>
      </c>
    </row>
    <row r="2305" ht="14.25" customHeight="1">
      <c r="A2305" s="4" t="s">
        <v>7194</v>
      </c>
      <c r="B2305" s="37">
        <v>2.0</v>
      </c>
      <c r="C2305" s="37">
        <v>0.052166</v>
      </c>
      <c r="D2305" s="37">
        <v>-1.947834</v>
      </c>
    </row>
    <row r="2306" ht="14.25" customHeight="1">
      <c r="A2306" s="4" t="s">
        <v>6498</v>
      </c>
      <c r="B2306" s="37">
        <v>5.0</v>
      </c>
      <c r="C2306" s="37">
        <v>3.049135</v>
      </c>
      <c r="D2306" s="37">
        <v>-1.950865</v>
      </c>
    </row>
    <row r="2307" ht="14.25" customHeight="1">
      <c r="A2307" s="4" t="s">
        <v>7329</v>
      </c>
      <c r="B2307" s="37">
        <v>2.5</v>
      </c>
      <c r="C2307" s="37">
        <v>0.548712</v>
      </c>
      <c r="D2307" s="37">
        <v>-1.951288</v>
      </c>
    </row>
    <row r="2308" ht="14.25" customHeight="1">
      <c r="A2308" s="4" t="s">
        <v>4975</v>
      </c>
      <c r="B2308" s="37">
        <v>15.0</v>
      </c>
      <c r="C2308" s="37">
        <v>13.034417</v>
      </c>
      <c r="D2308" s="37">
        <v>-1.965583</v>
      </c>
    </row>
    <row r="2309" ht="14.25" customHeight="1">
      <c r="A2309" s="4" t="s">
        <v>7092</v>
      </c>
      <c r="B2309" s="37">
        <v>3.0</v>
      </c>
      <c r="C2309" s="37">
        <v>1.028658</v>
      </c>
      <c r="D2309" s="37">
        <v>-1.971342</v>
      </c>
    </row>
    <row r="2310" ht="14.25" customHeight="1">
      <c r="A2310" s="4" t="s">
        <v>6775</v>
      </c>
      <c r="B2310" s="37">
        <v>2.0</v>
      </c>
      <c r="C2310" s="37">
        <v>0.00768</v>
      </c>
      <c r="D2310" s="37">
        <v>-1.99232</v>
      </c>
    </row>
    <row r="2311" ht="14.25" customHeight="1">
      <c r="A2311" s="4" t="s">
        <v>4734</v>
      </c>
      <c r="B2311" s="37">
        <v>15.0</v>
      </c>
      <c r="C2311" s="37">
        <v>13.005485</v>
      </c>
      <c r="D2311" s="37">
        <v>-1.994515</v>
      </c>
    </row>
    <row r="2312" ht="14.25" customHeight="1">
      <c r="A2312" s="4" t="s">
        <v>7079</v>
      </c>
      <c r="B2312" s="37">
        <v>2.0</v>
      </c>
      <c r="C2312" s="37">
        <v>0.004958</v>
      </c>
      <c r="D2312" s="37">
        <v>-1.995042</v>
      </c>
    </row>
    <row r="2313" ht="14.25" customHeight="1">
      <c r="A2313" s="4" t="s">
        <v>7087</v>
      </c>
      <c r="B2313" s="37">
        <v>2.0</v>
      </c>
      <c r="C2313" s="37">
        <v>0.002436</v>
      </c>
      <c r="D2313" s="37">
        <v>-1.997564</v>
      </c>
    </row>
    <row r="2314" ht="14.25" customHeight="1">
      <c r="A2314" s="4" t="s">
        <v>4515</v>
      </c>
      <c r="B2314" s="37">
        <v>16.0</v>
      </c>
      <c r="C2314" s="37">
        <v>13.998282</v>
      </c>
      <c r="D2314" s="37">
        <v>-2.001718</v>
      </c>
    </row>
    <row r="2315" ht="14.25" customHeight="1">
      <c r="A2315" s="4" t="s">
        <v>5231</v>
      </c>
      <c r="B2315" s="37">
        <v>13.0</v>
      </c>
      <c r="C2315" s="37">
        <v>10.99644</v>
      </c>
      <c r="D2315" s="37">
        <v>-2.00356</v>
      </c>
    </row>
    <row r="2316" ht="14.25" customHeight="1">
      <c r="A2316" s="4" t="s">
        <v>3608</v>
      </c>
      <c r="B2316" s="37">
        <v>28.0</v>
      </c>
      <c r="C2316" s="37">
        <v>25.977365</v>
      </c>
      <c r="D2316" s="37">
        <v>-2.022635</v>
      </c>
    </row>
    <row r="2317" ht="14.25" customHeight="1">
      <c r="A2317" s="4" t="s">
        <v>4824</v>
      </c>
      <c r="B2317" s="37">
        <v>15.6</v>
      </c>
      <c r="C2317" s="37">
        <v>13.571817</v>
      </c>
      <c r="D2317" s="37">
        <v>-2.028183</v>
      </c>
    </row>
    <row r="2318" ht="14.25" customHeight="1">
      <c r="A2318" s="4" t="s">
        <v>3781</v>
      </c>
      <c r="B2318" s="37">
        <v>27.0</v>
      </c>
      <c r="C2318" s="37">
        <v>24.944213</v>
      </c>
      <c r="D2318" s="37">
        <v>-2.055787</v>
      </c>
    </row>
    <row r="2319" ht="14.25" customHeight="1">
      <c r="A2319" s="4" t="s">
        <v>4813</v>
      </c>
      <c r="B2319" s="37">
        <v>16.0</v>
      </c>
      <c r="C2319" s="37">
        <v>13.922211</v>
      </c>
      <c r="D2319" s="37">
        <v>-2.077789</v>
      </c>
    </row>
    <row r="2320" ht="14.25" customHeight="1">
      <c r="A2320" s="4" t="s">
        <v>6769</v>
      </c>
      <c r="B2320" s="37">
        <v>2.2</v>
      </c>
      <c r="C2320" s="37">
        <v>0.104257</v>
      </c>
      <c r="D2320" s="37">
        <v>-2.095743</v>
      </c>
    </row>
    <row r="2321" ht="14.25" customHeight="1">
      <c r="A2321" s="4" t="s">
        <v>6989</v>
      </c>
      <c r="B2321" s="37">
        <v>2.1</v>
      </c>
      <c r="C2321" s="37">
        <v>0.00333</v>
      </c>
      <c r="D2321" s="37">
        <v>-2.09667</v>
      </c>
    </row>
    <row r="2322" ht="14.25" customHeight="1">
      <c r="A2322" s="4" t="s">
        <v>6961</v>
      </c>
      <c r="B2322" s="37">
        <v>2.5</v>
      </c>
      <c r="C2322" s="37">
        <v>0.322157</v>
      </c>
      <c r="D2322" s="37">
        <v>-2.177843</v>
      </c>
    </row>
    <row r="2323" ht="14.25" customHeight="1">
      <c r="A2323" s="4" t="s">
        <v>5862</v>
      </c>
      <c r="B2323" s="37">
        <v>20.0</v>
      </c>
      <c r="C2323" s="37">
        <v>17.804273</v>
      </c>
      <c r="D2323" s="37">
        <v>-2.195727</v>
      </c>
    </row>
    <row r="2324" ht="14.25" customHeight="1">
      <c r="A2324" s="4" t="s">
        <v>4281</v>
      </c>
      <c r="B2324" s="37">
        <v>20.0</v>
      </c>
      <c r="C2324" s="37">
        <v>17.803796</v>
      </c>
      <c r="D2324" s="37">
        <v>-2.196204</v>
      </c>
    </row>
    <row r="2325" ht="14.25" customHeight="1">
      <c r="A2325" s="4" t="s">
        <v>4967</v>
      </c>
      <c r="B2325" s="37">
        <v>15.0</v>
      </c>
      <c r="C2325" s="37">
        <v>12.80119</v>
      </c>
      <c r="D2325" s="37">
        <v>-2.19881</v>
      </c>
    </row>
    <row r="2326" ht="14.25" customHeight="1">
      <c r="A2326" s="4" t="s">
        <v>3275</v>
      </c>
      <c r="B2326" s="37">
        <v>55.0</v>
      </c>
      <c r="C2326" s="37">
        <v>52.799004</v>
      </c>
      <c r="D2326" s="37">
        <v>-2.200996</v>
      </c>
    </row>
    <row r="2327" ht="14.25" customHeight="1">
      <c r="A2327" s="4" t="s">
        <v>4045</v>
      </c>
      <c r="B2327" s="37">
        <v>22.0</v>
      </c>
      <c r="C2327" s="37">
        <v>19.783777</v>
      </c>
      <c r="D2327" s="37">
        <v>-2.216223</v>
      </c>
    </row>
    <row r="2328" ht="14.25" customHeight="1">
      <c r="A2328" s="4" t="s">
        <v>5716</v>
      </c>
      <c r="B2328" s="37">
        <v>10.0</v>
      </c>
      <c r="C2328" s="37">
        <v>7.764027</v>
      </c>
      <c r="D2328" s="37">
        <v>-2.235973</v>
      </c>
    </row>
    <row r="2329" ht="14.25" customHeight="1">
      <c r="A2329" s="4" t="s">
        <v>3981</v>
      </c>
      <c r="B2329" s="37">
        <v>23.0</v>
      </c>
      <c r="C2329" s="37">
        <v>20.763013</v>
      </c>
      <c r="D2329" s="37">
        <v>-2.236987</v>
      </c>
    </row>
    <row r="2330" ht="14.25" customHeight="1">
      <c r="A2330" s="4" t="s">
        <v>2606</v>
      </c>
      <c r="B2330" s="37">
        <v>40.0</v>
      </c>
      <c r="C2330" s="37">
        <v>37.752931</v>
      </c>
      <c r="D2330" s="37">
        <v>-2.247069</v>
      </c>
    </row>
    <row r="2331" ht="14.25" customHeight="1">
      <c r="A2331" s="4" t="s">
        <v>6969</v>
      </c>
      <c r="B2331" s="37">
        <v>2.45</v>
      </c>
      <c r="C2331" s="37">
        <v>0.178739</v>
      </c>
      <c r="D2331" s="37">
        <v>-2.271261</v>
      </c>
    </row>
    <row r="2332" ht="14.25" customHeight="1">
      <c r="A2332" s="4" t="s">
        <v>6128</v>
      </c>
      <c r="B2332" s="37">
        <v>7.0</v>
      </c>
      <c r="C2332" s="37">
        <v>4.720371</v>
      </c>
      <c r="D2332" s="37">
        <v>-2.279629</v>
      </c>
    </row>
    <row r="2333" ht="14.25" customHeight="1">
      <c r="A2333" s="4" t="s">
        <v>6501</v>
      </c>
      <c r="B2333" s="37">
        <v>5.0</v>
      </c>
      <c r="C2333" s="37">
        <v>2.71121</v>
      </c>
      <c r="D2333" s="37">
        <v>-2.28879</v>
      </c>
    </row>
    <row r="2334" ht="14.25" customHeight="1">
      <c r="A2334" s="4" t="s">
        <v>7083</v>
      </c>
      <c r="B2334" s="37">
        <v>2.3</v>
      </c>
      <c r="C2334" s="37">
        <v>0.007927</v>
      </c>
      <c r="D2334" s="37">
        <v>-2.292073</v>
      </c>
    </row>
    <row r="2335" ht="14.25" customHeight="1">
      <c r="A2335" s="4" t="s">
        <v>6858</v>
      </c>
      <c r="B2335" s="37">
        <v>3.0</v>
      </c>
      <c r="C2335" s="37">
        <v>0.703002</v>
      </c>
      <c r="D2335" s="37">
        <v>-2.296998</v>
      </c>
    </row>
    <row r="2336" ht="14.25" customHeight="1">
      <c r="A2336" s="4" t="s">
        <v>4965</v>
      </c>
      <c r="B2336" s="37">
        <v>15.0</v>
      </c>
      <c r="C2336" s="37">
        <v>12.70188</v>
      </c>
      <c r="D2336" s="37">
        <v>-2.29812</v>
      </c>
    </row>
    <row r="2337" ht="14.25" customHeight="1">
      <c r="A2337" s="4" t="s">
        <v>5078</v>
      </c>
      <c r="B2337" s="37">
        <v>10.0</v>
      </c>
      <c r="C2337" s="37">
        <v>7.6917</v>
      </c>
      <c r="D2337" s="37">
        <v>-2.3083</v>
      </c>
    </row>
    <row r="2338" ht="14.25" customHeight="1">
      <c r="A2338" s="4" t="s">
        <v>6912</v>
      </c>
      <c r="B2338" s="37">
        <v>2.8</v>
      </c>
      <c r="C2338" s="37">
        <v>0.475</v>
      </c>
      <c r="D2338" s="37">
        <v>-2.325</v>
      </c>
    </row>
    <row r="2339" ht="14.25" customHeight="1">
      <c r="A2339" s="4" t="s">
        <v>6946</v>
      </c>
      <c r="B2339" s="37">
        <v>2.5</v>
      </c>
      <c r="C2339" s="37">
        <v>0.173783</v>
      </c>
      <c r="D2339" s="37">
        <v>-2.326217</v>
      </c>
    </row>
    <row r="2340" ht="14.25" customHeight="1">
      <c r="A2340" s="4" t="s">
        <v>6948</v>
      </c>
      <c r="B2340" s="37">
        <v>2.5</v>
      </c>
      <c r="C2340" s="37">
        <v>0.118666</v>
      </c>
      <c r="D2340" s="37">
        <v>-2.381334</v>
      </c>
    </row>
    <row r="2341" ht="14.25" customHeight="1">
      <c r="A2341" s="4" t="s">
        <v>6040</v>
      </c>
      <c r="B2341" s="37">
        <v>7.5</v>
      </c>
      <c r="C2341" s="37">
        <v>5.1</v>
      </c>
      <c r="D2341" s="37">
        <v>-2.4</v>
      </c>
    </row>
    <row r="2342" ht="14.25" customHeight="1">
      <c r="A2342" s="4" t="s">
        <v>6953</v>
      </c>
      <c r="B2342" s="37">
        <v>2.5</v>
      </c>
      <c r="C2342" s="37">
        <v>0.099851</v>
      </c>
      <c r="D2342" s="37">
        <v>-2.400149</v>
      </c>
    </row>
    <row r="2343" ht="14.25" customHeight="1">
      <c r="A2343" s="4" t="s">
        <v>6580</v>
      </c>
      <c r="B2343" s="37">
        <v>2.5</v>
      </c>
      <c r="C2343" s="37">
        <v>0.092191</v>
      </c>
      <c r="D2343" s="37">
        <v>-2.407809</v>
      </c>
    </row>
    <row r="2344" ht="14.25" customHeight="1">
      <c r="A2344" s="4" t="s">
        <v>6295</v>
      </c>
      <c r="B2344" s="37">
        <v>6.0</v>
      </c>
      <c r="C2344" s="37">
        <v>3.588432</v>
      </c>
      <c r="D2344" s="37">
        <v>-2.411568</v>
      </c>
    </row>
    <row r="2345" ht="14.25" customHeight="1">
      <c r="A2345" s="4" t="s">
        <v>6960</v>
      </c>
      <c r="B2345" s="37">
        <v>2.5</v>
      </c>
      <c r="C2345" s="37">
        <v>0.075727</v>
      </c>
      <c r="D2345" s="37">
        <v>-2.424273</v>
      </c>
    </row>
    <row r="2346" ht="14.25" customHeight="1">
      <c r="A2346" s="4" t="s">
        <v>5755</v>
      </c>
      <c r="B2346" s="37">
        <v>10.0</v>
      </c>
      <c r="C2346" s="37">
        <v>7.574066</v>
      </c>
      <c r="D2346" s="37">
        <v>-2.425934</v>
      </c>
    </row>
    <row r="2347" ht="14.25" customHeight="1">
      <c r="A2347" s="4" t="s">
        <v>6950</v>
      </c>
      <c r="B2347" s="37">
        <v>2.5</v>
      </c>
      <c r="C2347" s="37">
        <v>0.071904</v>
      </c>
      <c r="D2347" s="37">
        <v>-2.428096</v>
      </c>
    </row>
    <row r="2348" ht="14.25" customHeight="1">
      <c r="A2348" s="4" t="s">
        <v>6678</v>
      </c>
      <c r="B2348" s="37">
        <v>2.5</v>
      </c>
      <c r="C2348" s="37">
        <v>0.064359</v>
      </c>
      <c r="D2348" s="37">
        <v>-2.435641</v>
      </c>
    </row>
    <row r="2349" ht="14.25" customHeight="1">
      <c r="A2349" s="4" t="s">
        <v>5696</v>
      </c>
      <c r="B2349" s="37">
        <v>10.0</v>
      </c>
      <c r="C2349" s="37">
        <v>7.56367</v>
      </c>
      <c r="D2349" s="37">
        <v>-2.43633</v>
      </c>
    </row>
    <row r="2350" ht="14.25" customHeight="1">
      <c r="A2350" s="4" t="s">
        <v>4574</v>
      </c>
      <c r="B2350" s="37">
        <v>18.0</v>
      </c>
      <c r="C2350" s="37">
        <v>15.561627</v>
      </c>
      <c r="D2350" s="37">
        <v>-2.438373</v>
      </c>
    </row>
    <row r="2351" ht="14.25" customHeight="1">
      <c r="A2351" s="4" t="s">
        <v>2950</v>
      </c>
      <c r="B2351" s="37">
        <v>40.0</v>
      </c>
      <c r="C2351" s="37">
        <v>37.553932</v>
      </c>
      <c r="D2351" s="37">
        <v>-2.446068</v>
      </c>
    </row>
    <row r="2352" ht="14.25" customHeight="1">
      <c r="A2352" s="4" t="s">
        <v>2113</v>
      </c>
      <c r="B2352" s="37">
        <v>50.0</v>
      </c>
      <c r="C2352" s="37">
        <v>47.553512</v>
      </c>
      <c r="D2352" s="37">
        <v>-2.446488</v>
      </c>
    </row>
    <row r="2353" ht="14.25" customHeight="1">
      <c r="A2353" s="4" t="s">
        <v>4970</v>
      </c>
      <c r="B2353" s="37">
        <v>15.0</v>
      </c>
      <c r="C2353" s="37">
        <v>12.549485</v>
      </c>
      <c r="D2353" s="37">
        <v>-2.450515</v>
      </c>
    </row>
    <row r="2354" ht="14.25" customHeight="1">
      <c r="A2354" s="4" t="s">
        <v>5870</v>
      </c>
      <c r="B2354" s="37">
        <v>8.5</v>
      </c>
      <c r="C2354" s="37">
        <v>6.047856</v>
      </c>
      <c r="D2354" s="37">
        <v>-2.452144</v>
      </c>
    </row>
    <row r="2355" ht="14.25" customHeight="1">
      <c r="A2355" s="4" t="s">
        <v>4284</v>
      </c>
      <c r="B2355" s="37">
        <v>20.0</v>
      </c>
      <c r="C2355" s="37">
        <v>17.529157</v>
      </c>
      <c r="D2355" s="37">
        <v>-2.470843</v>
      </c>
    </row>
    <row r="2356" ht="14.25" customHeight="1">
      <c r="A2356" s="4" t="s">
        <v>2962</v>
      </c>
      <c r="B2356" s="37">
        <v>35.0</v>
      </c>
      <c r="C2356" s="37">
        <v>32.519322</v>
      </c>
      <c r="D2356" s="37">
        <v>-2.480678</v>
      </c>
    </row>
    <row r="2357" ht="14.25" customHeight="1">
      <c r="A2357" s="4" t="s">
        <v>4290</v>
      </c>
      <c r="B2357" s="37">
        <v>20.0</v>
      </c>
      <c r="C2357" s="37">
        <v>17.51822</v>
      </c>
      <c r="D2357" s="37">
        <v>-2.48178</v>
      </c>
    </row>
    <row r="2358" ht="14.25" customHeight="1">
      <c r="A2358" s="4" t="s">
        <v>7015</v>
      </c>
      <c r="B2358" s="37">
        <v>9.5</v>
      </c>
      <c r="C2358" s="37">
        <v>7.002255</v>
      </c>
      <c r="D2358" s="37">
        <v>-2.497745</v>
      </c>
    </row>
    <row r="2359" ht="14.25" customHeight="1">
      <c r="A2359" s="4" t="s">
        <v>6206</v>
      </c>
      <c r="B2359" s="37">
        <v>6.5</v>
      </c>
      <c r="C2359" s="37">
        <v>4.000304</v>
      </c>
      <c r="D2359" s="37">
        <v>-2.499696</v>
      </c>
    </row>
    <row r="2360" ht="14.25" customHeight="1">
      <c r="A2360" s="4" t="s">
        <v>3801</v>
      </c>
      <c r="B2360" s="37">
        <v>25.0</v>
      </c>
      <c r="C2360" s="37">
        <v>22.466994</v>
      </c>
      <c r="D2360" s="37">
        <v>-2.533006</v>
      </c>
    </row>
    <row r="2361" ht="14.25" customHeight="1">
      <c r="A2361" s="4" t="s">
        <v>6335</v>
      </c>
      <c r="B2361" s="37">
        <v>5.6</v>
      </c>
      <c r="C2361" s="37">
        <v>3.064356</v>
      </c>
      <c r="D2361" s="37">
        <v>-2.535644</v>
      </c>
    </row>
    <row r="2362" ht="14.25" customHeight="1">
      <c r="A2362" s="4" t="s">
        <v>6510</v>
      </c>
      <c r="B2362" s="37">
        <v>5.0</v>
      </c>
      <c r="C2362" s="37">
        <v>2.445646</v>
      </c>
      <c r="D2362" s="37">
        <v>-2.554354</v>
      </c>
    </row>
    <row r="2363" ht="14.25" customHeight="1">
      <c r="A2363" s="4" t="s">
        <v>6915</v>
      </c>
      <c r="B2363" s="37">
        <v>2.6</v>
      </c>
      <c r="C2363" s="37">
        <v>0.038108</v>
      </c>
      <c r="D2363" s="37">
        <v>-2.561892</v>
      </c>
    </row>
    <row r="2364" ht="14.25" customHeight="1">
      <c r="A2364" s="4" t="s">
        <v>5397</v>
      </c>
      <c r="B2364" s="37">
        <v>14.0</v>
      </c>
      <c r="C2364" s="37">
        <v>11.433134</v>
      </c>
      <c r="D2364" s="37">
        <v>-2.566866</v>
      </c>
    </row>
    <row r="2365" ht="14.25" customHeight="1">
      <c r="A2365" s="4" t="s">
        <v>6477</v>
      </c>
      <c r="B2365" s="37">
        <v>6.0</v>
      </c>
      <c r="C2365" s="37">
        <v>3.432342</v>
      </c>
      <c r="D2365" s="37">
        <v>-2.567658</v>
      </c>
    </row>
    <row r="2366" ht="14.25" customHeight="1">
      <c r="A2366" s="4" t="s">
        <v>6863</v>
      </c>
      <c r="B2366" s="37">
        <v>3.0</v>
      </c>
      <c r="C2366" s="37">
        <v>0.418268</v>
      </c>
      <c r="D2366" s="37">
        <v>-2.581732</v>
      </c>
    </row>
    <row r="2367" ht="14.25" customHeight="1">
      <c r="A2367" s="4" t="s">
        <v>6868</v>
      </c>
      <c r="B2367" s="37">
        <v>2.7</v>
      </c>
      <c r="C2367" s="37">
        <v>0.095016</v>
      </c>
      <c r="D2367" s="37">
        <v>-2.604984</v>
      </c>
    </row>
    <row r="2368" ht="14.25" customHeight="1">
      <c r="A2368" s="4" t="s">
        <v>6743</v>
      </c>
      <c r="B2368" s="37">
        <v>3.5</v>
      </c>
      <c r="C2368" s="37">
        <v>0.88641</v>
      </c>
      <c r="D2368" s="37">
        <v>-2.61359</v>
      </c>
    </row>
    <row r="2369" ht="14.25" customHeight="1">
      <c r="A2369" s="4" t="s">
        <v>2609</v>
      </c>
      <c r="B2369" s="37">
        <v>40.0</v>
      </c>
      <c r="C2369" s="37">
        <v>37.371385</v>
      </c>
      <c r="D2369" s="37">
        <v>-2.628615</v>
      </c>
    </row>
    <row r="2370" ht="14.25" customHeight="1">
      <c r="A2370" s="4" t="s">
        <v>4034</v>
      </c>
      <c r="B2370" s="37">
        <v>22.0</v>
      </c>
      <c r="C2370" s="37">
        <v>19.351569</v>
      </c>
      <c r="D2370" s="37">
        <v>-2.648431</v>
      </c>
    </row>
    <row r="2371" ht="14.25" customHeight="1">
      <c r="A2371" s="4" t="s">
        <v>6650</v>
      </c>
      <c r="B2371" s="37">
        <v>4.0</v>
      </c>
      <c r="C2371" s="37">
        <v>1.325073</v>
      </c>
      <c r="D2371" s="37">
        <v>-2.674927</v>
      </c>
    </row>
    <row r="2372" ht="14.25" customHeight="1">
      <c r="A2372" s="4" t="s">
        <v>6662</v>
      </c>
      <c r="B2372" s="37">
        <v>3.0</v>
      </c>
      <c r="C2372" s="37">
        <v>0.302204</v>
      </c>
      <c r="D2372" s="37">
        <v>-2.697796</v>
      </c>
    </row>
    <row r="2373" ht="14.25" customHeight="1">
      <c r="A2373" s="4" t="s">
        <v>6598</v>
      </c>
      <c r="B2373" s="37">
        <v>4.2</v>
      </c>
      <c r="C2373" s="37">
        <v>1.487477</v>
      </c>
      <c r="D2373" s="37">
        <v>-2.712523</v>
      </c>
    </row>
    <row r="2374" ht="14.25" customHeight="1">
      <c r="A2374" s="4" t="s">
        <v>4037</v>
      </c>
      <c r="B2374" s="37">
        <v>22.0</v>
      </c>
      <c r="C2374" s="37">
        <v>19.283782</v>
      </c>
      <c r="D2374" s="37">
        <v>-2.716218</v>
      </c>
    </row>
    <row r="2375" ht="14.25" customHeight="1">
      <c r="A2375" s="4" t="s">
        <v>4578</v>
      </c>
      <c r="B2375" s="37">
        <v>18.0</v>
      </c>
      <c r="C2375" s="37">
        <v>15.281286</v>
      </c>
      <c r="D2375" s="37">
        <v>-2.718714</v>
      </c>
    </row>
    <row r="2376" ht="14.25" customHeight="1">
      <c r="A2376" s="4" t="s">
        <v>6302</v>
      </c>
      <c r="B2376" s="37">
        <v>6.0</v>
      </c>
      <c r="C2376" s="37">
        <v>3.273588</v>
      </c>
      <c r="D2376" s="37">
        <v>-2.726412</v>
      </c>
    </row>
    <row r="2377" ht="14.25" customHeight="1">
      <c r="A2377" s="4" t="s">
        <v>5916</v>
      </c>
      <c r="B2377" s="37">
        <v>9.0</v>
      </c>
      <c r="C2377" s="37">
        <v>6.262942</v>
      </c>
      <c r="D2377" s="37">
        <v>-2.737058</v>
      </c>
    </row>
    <row r="2378" ht="14.25" customHeight="1">
      <c r="A2378" s="4" t="s">
        <v>3633</v>
      </c>
      <c r="B2378" s="37">
        <v>26.0</v>
      </c>
      <c r="C2378" s="37">
        <v>23.222861</v>
      </c>
      <c r="D2378" s="37">
        <v>-2.777139</v>
      </c>
    </row>
    <row r="2379" ht="14.25" customHeight="1">
      <c r="A2379" s="4" t="s">
        <v>6511</v>
      </c>
      <c r="B2379" s="37">
        <v>5.0</v>
      </c>
      <c r="C2379" s="37">
        <v>2.221809</v>
      </c>
      <c r="D2379" s="37">
        <v>-2.778191</v>
      </c>
    </row>
    <row r="2380" ht="14.25" customHeight="1">
      <c r="A2380" s="4" t="s">
        <v>4977</v>
      </c>
      <c r="B2380" s="37">
        <v>15.0</v>
      </c>
      <c r="C2380" s="37">
        <v>12.212417</v>
      </c>
      <c r="D2380" s="37">
        <v>-2.787583</v>
      </c>
    </row>
    <row r="2381" ht="14.25" customHeight="1">
      <c r="A2381" s="4" t="s">
        <v>5131</v>
      </c>
      <c r="B2381" s="37">
        <v>14.0</v>
      </c>
      <c r="C2381" s="37">
        <v>11.204499</v>
      </c>
      <c r="D2381" s="37">
        <v>-2.795501</v>
      </c>
    </row>
    <row r="2382" ht="14.25" customHeight="1">
      <c r="A2382" s="4" t="s">
        <v>6866</v>
      </c>
      <c r="B2382" s="37">
        <v>3.0</v>
      </c>
      <c r="C2382" s="37">
        <v>0.200803</v>
      </c>
      <c r="D2382" s="37">
        <v>-2.799197</v>
      </c>
    </row>
    <row r="2383" ht="14.25" customHeight="1">
      <c r="A2383" s="4" t="s">
        <v>3793</v>
      </c>
      <c r="B2383" s="37">
        <v>25.0</v>
      </c>
      <c r="C2383" s="37">
        <v>22.2</v>
      </c>
      <c r="D2383" s="37">
        <v>-2.8</v>
      </c>
    </row>
    <row r="2384" ht="14.25" customHeight="1">
      <c r="A2384" s="4" t="s">
        <v>2616</v>
      </c>
      <c r="B2384" s="37">
        <v>38.0</v>
      </c>
      <c r="C2384" s="37">
        <v>35.183792</v>
      </c>
      <c r="D2384" s="37">
        <v>-2.816208</v>
      </c>
    </row>
    <row r="2385" ht="14.25" customHeight="1">
      <c r="A2385" s="4" t="s">
        <v>4590</v>
      </c>
      <c r="B2385" s="37">
        <v>18.0</v>
      </c>
      <c r="C2385" s="37">
        <v>15.155772</v>
      </c>
      <c r="D2385" s="37">
        <v>-2.844228</v>
      </c>
    </row>
    <row r="2386" ht="14.25" customHeight="1">
      <c r="A2386" s="4" t="s">
        <v>6064</v>
      </c>
      <c r="B2386" s="37">
        <v>7.3</v>
      </c>
      <c r="C2386" s="37">
        <v>4.443403</v>
      </c>
      <c r="D2386" s="37">
        <v>-2.856597</v>
      </c>
    </row>
    <row r="2387" ht="14.25" customHeight="1">
      <c r="A2387" s="4" t="s">
        <v>7059</v>
      </c>
      <c r="B2387" s="37">
        <v>3.4</v>
      </c>
      <c r="C2387" s="37">
        <v>0.535249</v>
      </c>
      <c r="D2387" s="37">
        <v>-2.864751</v>
      </c>
    </row>
    <row r="2388" ht="14.25" customHeight="1">
      <c r="A2388" s="4" t="s">
        <v>2118</v>
      </c>
      <c r="B2388" s="37">
        <v>50.0</v>
      </c>
      <c r="C2388" s="37">
        <v>47.105085</v>
      </c>
      <c r="D2388" s="37">
        <v>-2.894915</v>
      </c>
    </row>
    <row r="2389" ht="14.25" customHeight="1">
      <c r="A2389" s="4" t="s">
        <v>4294</v>
      </c>
      <c r="B2389" s="37">
        <v>20.0</v>
      </c>
      <c r="C2389" s="37">
        <v>17.104669</v>
      </c>
      <c r="D2389" s="37">
        <v>-2.895331</v>
      </c>
    </row>
    <row r="2390" ht="14.25" customHeight="1">
      <c r="A2390" s="4" t="s">
        <v>2611</v>
      </c>
      <c r="B2390" s="37">
        <v>40.0</v>
      </c>
      <c r="C2390" s="37">
        <v>37.101011</v>
      </c>
      <c r="D2390" s="37">
        <v>-2.898989</v>
      </c>
    </row>
    <row r="2391" ht="14.25" customHeight="1">
      <c r="A2391" s="4" t="s">
        <v>6887</v>
      </c>
      <c r="B2391" s="37">
        <v>3.0</v>
      </c>
      <c r="C2391" s="37">
        <v>0.100675</v>
      </c>
      <c r="D2391" s="37">
        <v>-2.899325</v>
      </c>
    </row>
    <row r="2392" ht="14.25" customHeight="1">
      <c r="A2392" s="4" t="s">
        <v>6871</v>
      </c>
      <c r="B2392" s="37">
        <v>3.0</v>
      </c>
      <c r="C2392" s="37">
        <v>0.073678</v>
      </c>
      <c r="D2392" s="37">
        <v>-2.926322</v>
      </c>
    </row>
    <row r="2393" ht="14.25" customHeight="1">
      <c r="A2393" s="4" t="s">
        <v>6875</v>
      </c>
      <c r="B2393" s="37">
        <v>3.0</v>
      </c>
      <c r="C2393" s="37">
        <v>0.039852</v>
      </c>
      <c r="D2393" s="37">
        <v>-2.960148</v>
      </c>
    </row>
    <row r="2394" ht="14.25" customHeight="1">
      <c r="A2394" s="4" t="s">
        <v>715</v>
      </c>
      <c r="B2394" s="37">
        <v>100.0</v>
      </c>
      <c r="C2394" s="37">
        <v>97.030725</v>
      </c>
      <c r="D2394" s="37">
        <v>-2.969275</v>
      </c>
    </row>
    <row r="2395" ht="14.25" customHeight="1">
      <c r="A2395" s="4" t="s">
        <v>6300</v>
      </c>
      <c r="B2395" s="37">
        <v>6.0</v>
      </c>
      <c r="C2395" s="37">
        <v>3.029081</v>
      </c>
      <c r="D2395" s="37">
        <v>-2.970919</v>
      </c>
    </row>
    <row r="2396" ht="14.25" customHeight="1">
      <c r="A2396" s="4" t="s">
        <v>6591</v>
      </c>
      <c r="B2396" s="37">
        <v>3.0</v>
      </c>
      <c r="C2396" s="37">
        <v>0.026345</v>
      </c>
      <c r="D2396" s="37">
        <v>-2.973655</v>
      </c>
    </row>
    <row r="2397" ht="14.25" customHeight="1">
      <c r="A2397" s="4" t="s">
        <v>6876</v>
      </c>
      <c r="B2397" s="37">
        <v>3.0</v>
      </c>
      <c r="C2397" s="37">
        <v>0.022</v>
      </c>
      <c r="D2397" s="37">
        <v>-2.978</v>
      </c>
    </row>
    <row r="2398" ht="14.25" customHeight="1">
      <c r="A2398" s="4" t="s">
        <v>5977</v>
      </c>
      <c r="B2398" s="37">
        <v>8.0</v>
      </c>
      <c r="C2398" s="37">
        <v>5.01845</v>
      </c>
      <c r="D2398" s="37">
        <v>-2.98155</v>
      </c>
    </row>
    <row r="2399" ht="14.25" customHeight="1">
      <c r="A2399" s="4" t="s">
        <v>6550</v>
      </c>
      <c r="B2399" s="37">
        <v>4.7</v>
      </c>
      <c r="C2399" s="37">
        <v>1.705139</v>
      </c>
      <c r="D2399" s="37">
        <v>-2.994861</v>
      </c>
    </row>
    <row r="2400" ht="14.25" customHeight="1">
      <c r="A2400" s="4" t="s">
        <v>6879</v>
      </c>
      <c r="B2400" s="37">
        <v>3.0</v>
      </c>
      <c r="C2400" s="37">
        <v>0.005005</v>
      </c>
      <c r="D2400" s="37">
        <v>-2.994995</v>
      </c>
    </row>
    <row r="2401" ht="14.25" customHeight="1">
      <c r="A2401" s="4" t="s">
        <v>5413</v>
      </c>
      <c r="B2401" s="37">
        <v>10.0</v>
      </c>
      <c r="C2401" s="37">
        <v>6.98268</v>
      </c>
      <c r="D2401" s="37">
        <v>-3.01732</v>
      </c>
    </row>
    <row r="2402" ht="14.25" customHeight="1">
      <c r="A2402" s="4" t="s">
        <v>2105</v>
      </c>
      <c r="B2402" s="37">
        <v>50.0</v>
      </c>
      <c r="C2402" s="37">
        <v>46.982632</v>
      </c>
      <c r="D2402" s="37">
        <v>-3.017368</v>
      </c>
    </row>
    <row r="2403" ht="14.25" customHeight="1">
      <c r="A2403" s="4" t="s">
        <v>6504</v>
      </c>
      <c r="B2403" s="37">
        <v>5.0</v>
      </c>
      <c r="C2403" s="37">
        <v>1.980338</v>
      </c>
      <c r="D2403" s="37">
        <v>-3.019662</v>
      </c>
    </row>
    <row r="2404" ht="14.25" customHeight="1">
      <c r="A2404" s="4" t="s">
        <v>5238</v>
      </c>
      <c r="B2404" s="37">
        <v>13.0</v>
      </c>
      <c r="C2404" s="37">
        <v>9.975684</v>
      </c>
      <c r="D2404" s="37">
        <v>-3.024316</v>
      </c>
    </row>
    <row r="2405" ht="14.25" customHeight="1">
      <c r="A2405" s="4" t="s">
        <v>2825</v>
      </c>
      <c r="B2405" s="37">
        <v>38.0</v>
      </c>
      <c r="C2405" s="37">
        <v>34.912982</v>
      </c>
      <c r="D2405" s="37">
        <v>-3.087018</v>
      </c>
    </row>
    <row r="2406" ht="14.25" customHeight="1">
      <c r="A2406" s="4" t="s">
        <v>4472</v>
      </c>
      <c r="B2406" s="37">
        <v>19.0</v>
      </c>
      <c r="C2406" s="37">
        <v>15.911333</v>
      </c>
      <c r="D2406" s="37">
        <v>-3.088667</v>
      </c>
    </row>
    <row r="2407" ht="14.25" customHeight="1">
      <c r="A2407" s="4" t="s">
        <v>6653</v>
      </c>
      <c r="B2407" s="37">
        <v>4.0</v>
      </c>
      <c r="C2407" s="37">
        <v>0.864959</v>
      </c>
      <c r="D2407" s="37">
        <v>-3.135041</v>
      </c>
    </row>
    <row r="2408" ht="14.25" customHeight="1">
      <c r="A2408" s="4" t="s">
        <v>5704</v>
      </c>
      <c r="B2408" s="37">
        <v>10.0</v>
      </c>
      <c r="C2408" s="37">
        <v>6.842058</v>
      </c>
      <c r="D2408" s="37">
        <v>-3.157942</v>
      </c>
    </row>
    <row r="2409" ht="14.25" customHeight="1">
      <c r="A2409" s="4" t="s">
        <v>6771</v>
      </c>
      <c r="B2409" s="37">
        <v>3.8</v>
      </c>
      <c r="C2409" s="37">
        <v>0.610968</v>
      </c>
      <c r="D2409" s="37">
        <v>-3.189032</v>
      </c>
    </row>
    <row r="2410" ht="14.25" customHeight="1">
      <c r="A2410" s="4" t="s">
        <v>6655</v>
      </c>
      <c r="B2410" s="37">
        <v>4.0</v>
      </c>
      <c r="C2410" s="37">
        <v>0.8</v>
      </c>
      <c r="D2410" s="37">
        <v>-3.2</v>
      </c>
    </row>
    <row r="2411" ht="14.25" customHeight="1">
      <c r="A2411" s="4" t="s">
        <v>4577</v>
      </c>
      <c r="B2411" s="37">
        <v>18.0</v>
      </c>
      <c r="C2411" s="37">
        <v>14.793904</v>
      </c>
      <c r="D2411" s="37">
        <v>-3.206096</v>
      </c>
    </row>
    <row r="2412" ht="14.25" customHeight="1">
      <c r="A2412" s="4" t="s">
        <v>4384</v>
      </c>
      <c r="B2412" s="37">
        <v>8.7</v>
      </c>
      <c r="C2412" s="37">
        <v>5.480996</v>
      </c>
      <c r="D2412" s="37">
        <v>-3.219004</v>
      </c>
    </row>
    <row r="2413" ht="14.25" customHeight="1">
      <c r="A2413" s="4" t="s">
        <v>6365</v>
      </c>
      <c r="B2413" s="37">
        <v>3.85</v>
      </c>
      <c r="C2413" s="37">
        <v>0.611709</v>
      </c>
      <c r="D2413" s="37">
        <v>-3.238291</v>
      </c>
    </row>
    <row r="2414" ht="14.25" customHeight="1">
      <c r="A2414" s="4" t="s">
        <v>4099</v>
      </c>
      <c r="B2414" s="37">
        <v>21.0</v>
      </c>
      <c r="C2414" s="37">
        <v>17.757087</v>
      </c>
      <c r="D2414" s="37">
        <v>-3.242913</v>
      </c>
    </row>
    <row r="2415" ht="14.25" customHeight="1">
      <c r="A2415" s="4" t="s">
        <v>6044</v>
      </c>
      <c r="B2415" s="37">
        <v>7.5</v>
      </c>
      <c r="C2415" s="37">
        <v>4.239767</v>
      </c>
      <c r="D2415" s="37">
        <v>-3.260233</v>
      </c>
    </row>
    <row r="2416" ht="14.25" customHeight="1">
      <c r="A2416" s="4" t="s">
        <v>6152</v>
      </c>
      <c r="B2416" s="37">
        <v>3.5</v>
      </c>
      <c r="C2416" s="37">
        <v>0.236266</v>
      </c>
      <c r="D2416" s="37">
        <v>-3.263734</v>
      </c>
    </row>
    <row r="2417" ht="14.25" customHeight="1">
      <c r="A2417" s="4" t="s">
        <v>6547</v>
      </c>
      <c r="B2417" s="37">
        <v>5.0</v>
      </c>
      <c r="C2417" s="37">
        <v>1.729969</v>
      </c>
      <c r="D2417" s="37">
        <v>-3.270031</v>
      </c>
    </row>
    <row r="2418" ht="14.25" customHeight="1">
      <c r="A2418" s="4" t="s">
        <v>6749</v>
      </c>
      <c r="B2418" s="37">
        <v>3.5</v>
      </c>
      <c r="C2418" s="37">
        <v>0.220234</v>
      </c>
      <c r="D2418" s="37">
        <v>-3.279766</v>
      </c>
    </row>
    <row r="2419" ht="14.25" customHeight="1">
      <c r="A2419" s="4" t="s">
        <v>1676</v>
      </c>
      <c r="B2419" s="37">
        <v>60.0</v>
      </c>
      <c r="C2419" s="37">
        <v>56.702901</v>
      </c>
      <c r="D2419" s="37">
        <v>-3.297099</v>
      </c>
    </row>
    <row r="2420" ht="14.25" customHeight="1">
      <c r="A2420" s="4" t="s">
        <v>5975</v>
      </c>
      <c r="B2420" s="37">
        <v>8.0</v>
      </c>
      <c r="C2420" s="37">
        <v>4.692814</v>
      </c>
      <c r="D2420" s="37">
        <v>-3.307186</v>
      </c>
    </row>
    <row r="2421" ht="14.25" customHeight="1">
      <c r="A2421" s="4" t="s">
        <v>3341</v>
      </c>
      <c r="B2421" s="37">
        <v>30.0</v>
      </c>
      <c r="C2421" s="37">
        <v>26.687172</v>
      </c>
      <c r="D2421" s="37">
        <v>-3.312828</v>
      </c>
    </row>
    <row r="2422" ht="14.25" customHeight="1">
      <c r="A2422" s="4" t="s">
        <v>2663</v>
      </c>
      <c r="B2422" s="37">
        <v>40.0</v>
      </c>
      <c r="C2422" s="37">
        <v>36.665854</v>
      </c>
      <c r="D2422" s="37">
        <v>-3.334146</v>
      </c>
    </row>
    <row r="2423" ht="14.25" customHeight="1">
      <c r="A2423" s="4" t="s">
        <v>6046</v>
      </c>
      <c r="B2423" s="37">
        <v>7.5</v>
      </c>
      <c r="C2423" s="37">
        <v>4.13164</v>
      </c>
      <c r="D2423" s="37">
        <v>-3.36836</v>
      </c>
    </row>
    <row r="2424" ht="14.25" customHeight="1">
      <c r="A2424" s="4" t="s">
        <v>6756</v>
      </c>
      <c r="B2424" s="37">
        <v>3.5</v>
      </c>
      <c r="C2424" s="37">
        <v>0.123777</v>
      </c>
      <c r="D2424" s="37">
        <v>-3.376223</v>
      </c>
    </row>
    <row r="2425" ht="14.25" customHeight="1">
      <c r="A2425" s="4" t="s">
        <v>5699</v>
      </c>
      <c r="B2425" s="37">
        <v>10.0</v>
      </c>
      <c r="C2425" s="37">
        <v>6.619173</v>
      </c>
      <c r="D2425" s="37">
        <v>-3.380827</v>
      </c>
    </row>
    <row r="2426" ht="14.25" customHeight="1">
      <c r="A2426" s="4" t="s">
        <v>4978</v>
      </c>
      <c r="B2426" s="37">
        <v>15.0</v>
      </c>
      <c r="C2426" s="37">
        <v>11.614236</v>
      </c>
      <c r="D2426" s="37">
        <v>-3.385764</v>
      </c>
    </row>
    <row r="2427" ht="14.25" customHeight="1">
      <c r="A2427" s="4" t="s">
        <v>6751</v>
      </c>
      <c r="B2427" s="37">
        <v>3.5</v>
      </c>
      <c r="C2427" s="37">
        <v>0.101228</v>
      </c>
      <c r="D2427" s="37">
        <v>-3.398772</v>
      </c>
    </row>
    <row r="2428" ht="14.25" customHeight="1">
      <c r="A2428" s="4" t="s">
        <v>5835</v>
      </c>
      <c r="B2428" s="37">
        <v>6.0</v>
      </c>
      <c r="C2428" s="37">
        <v>2.6</v>
      </c>
      <c r="D2428" s="37">
        <v>-3.4</v>
      </c>
    </row>
    <row r="2429" ht="14.25" customHeight="1">
      <c r="A2429" s="4" t="s">
        <v>2310</v>
      </c>
      <c r="B2429" s="37">
        <v>35.0</v>
      </c>
      <c r="C2429" s="37">
        <v>31.598308</v>
      </c>
      <c r="D2429" s="37">
        <v>-3.401692</v>
      </c>
    </row>
    <row r="2430" ht="14.25" customHeight="1">
      <c r="A2430" s="4" t="s">
        <v>6752</v>
      </c>
      <c r="B2430" s="37">
        <v>3.5</v>
      </c>
      <c r="C2430" s="37">
        <v>0.096793</v>
      </c>
      <c r="D2430" s="37">
        <v>-3.403207</v>
      </c>
    </row>
    <row r="2431" ht="14.25" customHeight="1">
      <c r="A2431" s="4" t="s">
        <v>6657</v>
      </c>
      <c r="B2431" s="37">
        <v>4.0</v>
      </c>
      <c r="C2431" s="37">
        <v>0.562059</v>
      </c>
      <c r="D2431" s="37">
        <v>-3.437941</v>
      </c>
    </row>
    <row r="2432" ht="14.25" customHeight="1">
      <c r="A2432" s="4" t="s">
        <v>3791</v>
      </c>
      <c r="B2432" s="37">
        <v>25.0</v>
      </c>
      <c r="C2432" s="37">
        <v>21.554585</v>
      </c>
      <c r="D2432" s="37">
        <v>-3.445415</v>
      </c>
    </row>
    <row r="2433" ht="14.25" customHeight="1">
      <c r="A2433" s="4" t="s">
        <v>6330</v>
      </c>
      <c r="B2433" s="37">
        <v>4.0</v>
      </c>
      <c r="C2433" s="37">
        <v>0.54286</v>
      </c>
      <c r="D2433" s="37">
        <v>-3.45714</v>
      </c>
    </row>
    <row r="2434" ht="14.25" customHeight="1">
      <c r="A2434" s="4" t="s">
        <v>6706</v>
      </c>
      <c r="B2434" s="37">
        <v>3.5</v>
      </c>
      <c r="C2434" s="37">
        <v>0.037606</v>
      </c>
      <c r="D2434" s="37">
        <v>-3.462394</v>
      </c>
    </row>
    <row r="2435" ht="14.25" customHeight="1">
      <c r="A2435" s="4" t="s">
        <v>5299</v>
      </c>
      <c r="B2435" s="37">
        <v>12.5</v>
      </c>
      <c r="C2435" s="37">
        <v>9.030581</v>
      </c>
      <c r="D2435" s="37">
        <v>-3.469419</v>
      </c>
    </row>
    <row r="2436" ht="14.25" customHeight="1">
      <c r="A2436" s="4" t="s">
        <v>6759</v>
      </c>
      <c r="B2436" s="37">
        <v>3.5</v>
      </c>
      <c r="C2436" s="37">
        <v>0.029233</v>
      </c>
      <c r="D2436" s="37">
        <v>-3.470767</v>
      </c>
    </row>
    <row r="2437" ht="14.25" customHeight="1">
      <c r="A2437" s="4" t="s">
        <v>3345</v>
      </c>
      <c r="B2437" s="37">
        <v>30.0</v>
      </c>
      <c r="C2437" s="37">
        <v>26.525834</v>
      </c>
      <c r="D2437" s="37">
        <v>-3.474166</v>
      </c>
    </row>
    <row r="2438" ht="14.25" customHeight="1">
      <c r="A2438" s="4" t="s">
        <v>5706</v>
      </c>
      <c r="B2438" s="37">
        <v>10.0</v>
      </c>
      <c r="C2438" s="37">
        <v>6.49135</v>
      </c>
      <c r="D2438" s="37">
        <v>-3.50865</v>
      </c>
    </row>
    <row r="2439" ht="14.25" customHeight="1">
      <c r="A2439" s="4" t="s">
        <v>5766</v>
      </c>
      <c r="B2439" s="37">
        <v>5.0</v>
      </c>
      <c r="C2439" s="37">
        <v>1.474508</v>
      </c>
      <c r="D2439" s="37">
        <v>-3.525492</v>
      </c>
    </row>
    <row r="2440" ht="14.25" customHeight="1">
      <c r="A2440" s="4" t="s">
        <v>577</v>
      </c>
      <c r="B2440" s="37">
        <v>130.0</v>
      </c>
      <c r="C2440" s="37">
        <v>126.464904</v>
      </c>
      <c r="D2440" s="37">
        <v>-3.535096</v>
      </c>
    </row>
    <row r="2441" ht="14.25" customHeight="1">
      <c r="A2441" s="4" t="s">
        <v>1697</v>
      </c>
      <c r="B2441" s="37">
        <v>60.0</v>
      </c>
      <c r="C2441" s="37">
        <v>56.443482</v>
      </c>
      <c r="D2441" s="37">
        <v>-3.556518</v>
      </c>
    </row>
    <row r="2442" ht="14.25" customHeight="1">
      <c r="A2442" s="4" t="s">
        <v>5925</v>
      </c>
      <c r="B2442" s="37">
        <v>8.55</v>
      </c>
      <c r="C2442" s="37">
        <v>4.992159</v>
      </c>
      <c r="D2442" s="37">
        <v>-3.557841</v>
      </c>
    </row>
    <row r="2443" ht="14.25" customHeight="1">
      <c r="A2443" s="4" t="s">
        <v>6658</v>
      </c>
      <c r="B2443" s="37">
        <v>4.0</v>
      </c>
      <c r="C2443" s="37">
        <v>0.399793</v>
      </c>
      <c r="D2443" s="37">
        <v>-3.600207</v>
      </c>
    </row>
    <row r="2444" ht="14.25" customHeight="1">
      <c r="A2444" s="4" t="s">
        <v>5134</v>
      </c>
      <c r="B2444" s="37">
        <v>14.0</v>
      </c>
      <c r="C2444" s="37">
        <v>10.397365</v>
      </c>
      <c r="D2444" s="37">
        <v>-3.602635</v>
      </c>
    </row>
    <row r="2445" ht="14.25" customHeight="1">
      <c r="A2445" s="4" t="s">
        <v>7244</v>
      </c>
      <c r="B2445" s="37">
        <v>4.0</v>
      </c>
      <c r="C2445" s="37">
        <v>0.375723</v>
      </c>
      <c r="D2445" s="37">
        <v>-3.624277</v>
      </c>
    </row>
    <row r="2446" ht="14.25" customHeight="1">
      <c r="A2446" s="4" t="s">
        <v>6659</v>
      </c>
      <c r="B2446" s="37">
        <v>4.0</v>
      </c>
      <c r="C2446" s="37">
        <v>0.371897</v>
      </c>
      <c r="D2446" s="37">
        <v>-3.628103</v>
      </c>
    </row>
    <row r="2447" ht="14.25" customHeight="1">
      <c r="A2447" s="4" t="s">
        <v>6219</v>
      </c>
      <c r="B2447" s="37">
        <v>4.5</v>
      </c>
      <c r="C2447" s="37">
        <v>0.871577</v>
      </c>
      <c r="D2447" s="37">
        <v>-3.628423</v>
      </c>
    </row>
    <row r="2448" ht="14.25" customHeight="1">
      <c r="A2448" s="4" t="s">
        <v>656</v>
      </c>
      <c r="B2448" s="37">
        <v>110.0</v>
      </c>
      <c r="C2448" s="37">
        <v>106.369117</v>
      </c>
      <c r="D2448" s="37">
        <v>-3.630883</v>
      </c>
    </row>
    <row r="2449" ht="14.25" customHeight="1">
      <c r="A2449" s="4" t="s">
        <v>5873</v>
      </c>
      <c r="B2449" s="37">
        <v>8.0</v>
      </c>
      <c r="C2449" s="37">
        <v>4.350774</v>
      </c>
      <c r="D2449" s="37">
        <v>-3.649226</v>
      </c>
    </row>
    <row r="2450" ht="14.25" customHeight="1">
      <c r="A2450" s="4" t="s">
        <v>7067</v>
      </c>
      <c r="B2450" s="37">
        <v>3.8</v>
      </c>
      <c r="C2450" s="37">
        <v>0.100669</v>
      </c>
      <c r="D2450" s="37">
        <v>-3.699331</v>
      </c>
    </row>
    <row r="2451" ht="14.25" customHeight="1">
      <c r="A2451" s="4" t="s">
        <v>2763</v>
      </c>
      <c r="B2451" s="37">
        <v>39.0</v>
      </c>
      <c r="C2451" s="37">
        <v>35.287788</v>
      </c>
      <c r="D2451" s="37">
        <v>-3.712212</v>
      </c>
    </row>
    <row r="2452" ht="14.25" customHeight="1">
      <c r="A2452" s="4" t="s">
        <v>6142</v>
      </c>
      <c r="B2452" s="37">
        <v>4.825</v>
      </c>
      <c r="C2452" s="37">
        <v>1.110286</v>
      </c>
      <c r="D2452" s="37">
        <v>-3.714714</v>
      </c>
    </row>
    <row r="2453" ht="14.25" customHeight="1">
      <c r="A2453" s="4" t="s">
        <v>2614</v>
      </c>
      <c r="B2453" s="37">
        <v>40.0</v>
      </c>
      <c r="C2453" s="37">
        <v>36.283504</v>
      </c>
      <c r="D2453" s="37">
        <v>-3.716496</v>
      </c>
    </row>
    <row r="2454" ht="14.25" customHeight="1">
      <c r="A2454" s="4" t="s">
        <v>6542</v>
      </c>
      <c r="B2454" s="37">
        <v>4.0</v>
      </c>
      <c r="C2454" s="37">
        <v>0.274385</v>
      </c>
      <c r="D2454" s="37">
        <v>-3.725615</v>
      </c>
    </row>
    <row r="2455" ht="14.25" customHeight="1">
      <c r="A2455" s="4" t="s">
        <v>3528</v>
      </c>
      <c r="B2455" s="37">
        <v>28.0</v>
      </c>
      <c r="C2455" s="37">
        <v>24.268828</v>
      </c>
      <c r="D2455" s="37">
        <v>-3.731172</v>
      </c>
    </row>
    <row r="2456" ht="14.25" customHeight="1">
      <c r="A2456" s="4" t="s">
        <v>1380</v>
      </c>
      <c r="B2456" s="37">
        <v>70.0</v>
      </c>
      <c r="C2456" s="37">
        <v>66.257002</v>
      </c>
      <c r="D2456" s="37">
        <v>-3.742998</v>
      </c>
    </row>
    <row r="2457" ht="14.25" customHeight="1">
      <c r="A2457" s="4" t="s">
        <v>4301</v>
      </c>
      <c r="B2457" s="37">
        <v>20.0</v>
      </c>
      <c r="C2457" s="37">
        <v>16.248701</v>
      </c>
      <c r="D2457" s="37">
        <v>-3.751299</v>
      </c>
    </row>
    <row r="2458" ht="14.25" customHeight="1">
      <c r="A2458" s="4" t="s">
        <v>5788</v>
      </c>
      <c r="B2458" s="37">
        <v>4.0</v>
      </c>
      <c r="C2458" s="37">
        <v>0.228524</v>
      </c>
      <c r="D2458" s="37">
        <v>-3.771476</v>
      </c>
    </row>
    <row r="2459" ht="14.25" customHeight="1">
      <c r="A2459" s="4" t="s">
        <v>6572</v>
      </c>
      <c r="B2459" s="37">
        <v>4.5</v>
      </c>
      <c r="C2459" s="37">
        <v>0.727883</v>
      </c>
      <c r="D2459" s="37">
        <v>-3.772117</v>
      </c>
    </row>
    <row r="2460" ht="14.25" customHeight="1">
      <c r="A2460" s="4" t="s">
        <v>6713</v>
      </c>
      <c r="B2460" s="37">
        <v>3.8</v>
      </c>
      <c r="C2460" s="37">
        <v>0.019959</v>
      </c>
      <c r="D2460" s="37">
        <v>-3.780041</v>
      </c>
    </row>
    <row r="2461" ht="14.25" customHeight="1">
      <c r="A2461" s="4" t="s">
        <v>6700</v>
      </c>
      <c r="B2461" s="37">
        <v>3.8</v>
      </c>
      <c r="C2461" s="37">
        <v>0.014873</v>
      </c>
      <c r="D2461" s="37">
        <v>-3.785127</v>
      </c>
    </row>
    <row r="2462" ht="14.25" customHeight="1">
      <c r="A2462" s="4" t="s">
        <v>6575</v>
      </c>
      <c r="B2462" s="37">
        <v>4.5</v>
      </c>
      <c r="C2462" s="37">
        <v>0.713413</v>
      </c>
      <c r="D2462" s="37">
        <v>-3.786587</v>
      </c>
    </row>
    <row r="2463" ht="14.25" customHeight="1">
      <c r="A2463" s="4" t="s">
        <v>6304</v>
      </c>
      <c r="B2463" s="37">
        <v>6.0</v>
      </c>
      <c r="C2463" s="37">
        <v>2.207975</v>
      </c>
      <c r="D2463" s="37">
        <v>-3.792025</v>
      </c>
    </row>
    <row r="2464" ht="14.25" customHeight="1">
      <c r="A2464" s="4" t="s">
        <v>4379</v>
      </c>
      <c r="B2464" s="37">
        <v>10.0</v>
      </c>
      <c r="C2464" s="37">
        <v>6.201757</v>
      </c>
      <c r="D2464" s="37">
        <v>-3.798243</v>
      </c>
    </row>
    <row r="2465" ht="14.25" customHeight="1">
      <c r="A2465" s="4" t="s">
        <v>5711</v>
      </c>
      <c r="B2465" s="37">
        <v>10.0</v>
      </c>
      <c r="C2465" s="37">
        <v>6.197866</v>
      </c>
      <c r="D2465" s="37">
        <v>-3.802134</v>
      </c>
    </row>
    <row r="2466" ht="14.25" customHeight="1">
      <c r="A2466" s="4" t="s">
        <v>6668</v>
      </c>
      <c r="B2466" s="37">
        <v>4.0</v>
      </c>
      <c r="C2466" s="37">
        <v>0.185577</v>
      </c>
      <c r="D2466" s="37">
        <v>-3.814423</v>
      </c>
    </row>
    <row r="2467" ht="14.25" customHeight="1">
      <c r="A2467" s="4" t="s">
        <v>6682</v>
      </c>
      <c r="B2467" s="37">
        <v>4.0</v>
      </c>
      <c r="C2467" s="37">
        <v>0.146402</v>
      </c>
      <c r="D2467" s="37">
        <v>-3.853598</v>
      </c>
    </row>
    <row r="2468" ht="14.25" customHeight="1">
      <c r="A2468" s="4" t="s">
        <v>4983</v>
      </c>
      <c r="B2468" s="37">
        <v>15.0</v>
      </c>
      <c r="C2468" s="37">
        <v>11.144518</v>
      </c>
      <c r="D2468" s="37">
        <v>-3.855482</v>
      </c>
    </row>
    <row r="2469" ht="14.25" customHeight="1">
      <c r="A2469" s="4" t="s">
        <v>6697</v>
      </c>
      <c r="B2469" s="37">
        <v>4.0</v>
      </c>
      <c r="C2469" s="37">
        <v>0.143653</v>
      </c>
      <c r="D2469" s="37">
        <v>-3.856347</v>
      </c>
    </row>
    <row r="2470" ht="14.25" customHeight="1">
      <c r="A2470" s="4" t="s">
        <v>5411</v>
      </c>
      <c r="B2470" s="37">
        <v>12.0</v>
      </c>
      <c r="C2470" s="37">
        <v>8.134217</v>
      </c>
      <c r="D2470" s="37">
        <v>-3.865783</v>
      </c>
    </row>
    <row r="2471" ht="14.25" customHeight="1">
      <c r="A2471" s="4" t="s">
        <v>6225</v>
      </c>
      <c r="B2471" s="37">
        <v>6.0</v>
      </c>
      <c r="C2471" s="37">
        <v>2.122561</v>
      </c>
      <c r="D2471" s="37">
        <v>-3.877439</v>
      </c>
    </row>
    <row r="2472" ht="14.25" customHeight="1">
      <c r="A2472" s="4" t="s">
        <v>6604</v>
      </c>
      <c r="B2472" s="37">
        <v>4.0</v>
      </c>
      <c r="C2472" s="37">
        <v>0.101055</v>
      </c>
      <c r="D2472" s="37">
        <v>-3.898945</v>
      </c>
    </row>
    <row r="2473" ht="14.25" customHeight="1">
      <c r="A2473" s="4" t="s">
        <v>6671</v>
      </c>
      <c r="B2473" s="37">
        <v>4.0</v>
      </c>
      <c r="C2473" s="37">
        <v>0.100412</v>
      </c>
      <c r="D2473" s="37">
        <v>-3.899588</v>
      </c>
    </row>
    <row r="2474" ht="14.25" customHeight="1">
      <c r="A2474" s="4" t="s">
        <v>6507</v>
      </c>
      <c r="B2474" s="37">
        <v>5.0</v>
      </c>
      <c r="C2474" s="37">
        <v>1.1</v>
      </c>
      <c r="D2474" s="37">
        <v>-3.9</v>
      </c>
    </row>
    <row r="2475" ht="14.25" customHeight="1">
      <c r="A2475" s="4" t="s">
        <v>6505</v>
      </c>
      <c r="B2475" s="37">
        <v>5.0</v>
      </c>
      <c r="C2475" s="37">
        <v>1.082044</v>
      </c>
      <c r="D2475" s="37">
        <v>-3.917956</v>
      </c>
    </row>
    <row r="2476" ht="14.25" customHeight="1">
      <c r="A2476" s="4" t="s">
        <v>6308</v>
      </c>
      <c r="B2476" s="37">
        <v>6.0</v>
      </c>
      <c r="C2476" s="37">
        <v>2.077046</v>
      </c>
      <c r="D2476" s="37">
        <v>-3.922954</v>
      </c>
    </row>
    <row r="2477" ht="14.25" customHeight="1">
      <c r="A2477" s="4" t="s">
        <v>6358</v>
      </c>
      <c r="B2477" s="37">
        <v>5.0</v>
      </c>
      <c r="C2477" s="37">
        <v>1.056102</v>
      </c>
      <c r="D2477" s="37">
        <v>-3.943898</v>
      </c>
    </row>
    <row r="2478" ht="14.25" customHeight="1">
      <c r="A2478" s="4" t="s">
        <v>5714</v>
      </c>
      <c r="B2478" s="37">
        <v>10.0</v>
      </c>
      <c r="C2478" s="37">
        <v>6.044618</v>
      </c>
      <c r="D2478" s="37">
        <v>-3.955382</v>
      </c>
    </row>
    <row r="2479" ht="14.25" customHeight="1">
      <c r="A2479" s="4" t="s">
        <v>2869</v>
      </c>
      <c r="B2479" s="37">
        <v>37.0</v>
      </c>
      <c r="C2479" s="37">
        <v>33.037754</v>
      </c>
      <c r="D2479" s="37">
        <v>-3.962246</v>
      </c>
    </row>
    <row r="2480" ht="14.25" customHeight="1">
      <c r="A2480" s="4" t="s">
        <v>6307</v>
      </c>
      <c r="B2480" s="37">
        <v>6.0</v>
      </c>
      <c r="C2480" s="37">
        <v>2.025238</v>
      </c>
      <c r="D2480" s="37">
        <v>-3.974762</v>
      </c>
    </row>
    <row r="2481" ht="14.25" customHeight="1">
      <c r="A2481" s="4" t="s">
        <v>6688</v>
      </c>
      <c r="B2481" s="37">
        <v>4.0</v>
      </c>
      <c r="C2481" s="37">
        <v>0.020262</v>
      </c>
      <c r="D2481" s="37">
        <v>-3.979738</v>
      </c>
    </row>
    <row r="2482" ht="14.25" customHeight="1">
      <c r="A2482" s="4" t="s">
        <v>6686</v>
      </c>
      <c r="B2482" s="37">
        <v>4.0</v>
      </c>
      <c r="C2482" s="37">
        <v>0.012836</v>
      </c>
      <c r="D2482" s="37">
        <v>-3.987164</v>
      </c>
    </row>
    <row r="2483" ht="14.25" customHeight="1">
      <c r="A2483" s="4" t="s">
        <v>6181</v>
      </c>
      <c r="B2483" s="37">
        <v>4.0</v>
      </c>
      <c r="C2483" s="37">
        <v>0.00806</v>
      </c>
      <c r="D2483" s="37">
        <v>-3.99194</v>
      </c>
    </row>
    <row r="2484" ht="14.25" customHeight="1">
      <c r="A2484" s="4" t="s">
        <v>6691</v>
      </c>
      <c r="B2484" s="37">
        <v>4.0</v>
      </c>
      <c r="C2484" s="37">
        <v>0.004063</v>
      </c>
      <c r="D2484" s="37">
        <v>-3.995937</v>
      </c>
    </row>
    <row r="2485" ht="14.25" customHeight="1">
      <c r="A2485" s="4" t="s">
        <v>1678</v>
      </c>
      <c r="B2485" s="37">
        <v>60.0</v>
      </c>
      <c r="C2485" s="37">
        <v>55.994557</v>
      </c>
      <c r="D2485" s="37">
        <v>-4.005443</v>
      </c>
    </row>
    <row r="2486" ht="14.25" customHeight="1">
      <c r="A2486" s="4" t="s">
        <v>6553</v>
      </c>
      <c r="B2486" s="37">
        <v>4.8</v>
      </c>
      <c r="C2486" s="37">
        <v>0.778565</v>
      </c>
      <c r="D2486" s="37">
        <v>-4.021435</v>
      </c>
    </row>
    <row r="2487" ht="14.25" customHeight="1">
      <c r="A2487" s="4" t="s">
        <v>5295</v>
      </c>
      <c r="B2487" s="37">
        <v>16.0</v>
      </c>
      <c r="C2487" s="37">
        <v>11.956207</v>
      </c>
      <c r="D2487" s="37">
        <v>-4.043793</v>
      </c>
    </row>
    <row r="2488" ht="14.25" customHeight="1">
      <c r="A2488" s="4" t="s">
        <v>5914</v>
      </c>
      <c r="B2488" s="37">
        <v>8.5</v>
      </c>
      <c r="C2488" s="37">
        <v>4.440055</v>
      </c>
      <c r="D2488" s="37">
        <v>-4.059945</v>
      </c>
    </row>
    <row r="2489" ht="14.25" customHeight="1">
      <c r="A2489" s="4" t="s">
        <v>3978</v>
      </c>
      <c r="B2489" s="37">
        <v>23.0</v>
      </c>
      <c r="C2489" s="37">
        <v>18.934858</v>
      </c>
      <c r="D2489" s="37">
        <v>-4.065142</v>
      </c>
    </row>
    <row r="2490" ht="14.25" customHeight="1">
      <c r="A2490" s="4" t="s">
        <v>3106</v>
      </c>
      <c r="B2490" s="37">
        <v>33.0</v>
      </c>
      <c r="C2490" s="37">
        <v>28.92772</v>
      </c>
      <c r="D2490" s="37">
        <v>-4.07228</v>
      </c>
    </row>
    <row r="2491" ht="14.25" customHeight="1">
      <c r="A2491" s="4" t="s">
        <v>6129</v>
      </c>
      <c r="B2491" s="37">
        <v>7.0</v>
      </c>
      <c r="C2491" s="37">
        <v>2.921738</v>
      </c>
      <c r="D2491" s="37">
        <v>-4.078262</v>
      </c>
    </row>
    <row r="2492" ht="14.25" customHeight="1">
      <c r="A2492" s="4" t="s">
        <v>5406</v>
      </c>
      <c r="B2492" s="37">
        <v>12.0</v>
      </c>
      <c r="C2492" s="37">
        <v>7.918283</v>
      </c>
      <c r="D2492" s="37">
        <v>-4.081717</v>
      </c>
    </row>
    <row r="2493" ht="14.25" customHeight="1">
      <c r="A2493" s="4" t="s">
        <v>6556</v>
      </c>
      <c r="B2493" s="37">
        <v>4.6</v>
      </c>
      <c r="C2493" s="37">
        <v>0.513836</v>
      </c>
      <c r="D2493" s="37">
        <v>-4.086164</v>
      </c>
    </row>
    <row r="2494" ht="14.25" customHeight="1">
      <c r="A2494" s="4" t="s">
        <v>919</v>
      </c>
      <c r="B2494" s="37">
        <v>90.0</v>
      </c>
      <c r="C2494" s="37">
        <v>85.884815</v>
      </c>
      <c r="D2494" s="37">
        <v>-4.115185</v>
      </c>
    </row>
    <row r="2495" ht="14.25" customHeight="1">
      <c r="A2495" s="4" t="s">
        <v>5876</v>
      </c>
      <c r="B2495" s="37">
        <v>9.0</v>
      </c>
      <c r="C2495" s="37">
        <v>4.881867</v>
      </c>
      <c r="D2495" s="37">
        <v>-4.118133</v>
      </c>
    </row>
    <row r="2496" ht="14.25" customHeight="1">
      <c r="A2496" s="4" t="s">
        <v>6049</v>
      </c>
      <c r="B2496" s="37">
        <v>7.5</v>
      </c>
      <c r="C2496" s="37">
        <v>3.347439</v>
      </c>
      <c r="D2496" s="37">
        <v>-4.152561</v>
      </c>
    </row>
    <row r="2497" ht="14.25" customHeight="1">
      <c r="A2497" s="4" t="s">
        <v>6558</v>
      </c>
      <c r="B2497" s="37">
        <v>4.6</v>
      </c>
      <c r="C2497" s="37">
        <v>0.434417</v>
      </c>
      <c r="D2497" s="37">
        <v>-4.165583</v>
      </c>
    </row>
    <row r="2498" ht="14.25" customHeight="1">
      <c r="A2498" s="4" t="s">
        <v>6519</v>
      </c>
      <c r="B2498" s="37">
        <v>5.0</v>
      </c>
      <c r="C2498" s="37">
        <v>0.83021</v>
      </c>
      <c r="D2498" s="37">
        <v>-4.16979</v>
      </c>
    </row>
    <row r="2499" ht="14.25" customHeight="1">
      <c r="A2499" s="4" t="s">
        <v>5842</v>
      </c>
      <c r="B2499" s="37">
        <v>7.2176</v>
      </c>
      <c r="C2499" s="37">
        <v>3.047539</v>
      </c>
      <c r="D2499" s="37">
        <v>-4.170061</v>
      </c>
    </row>
    <row r="2500" ht="14.25" customHeight="1">
      <c r="A2500" s="4" t="s">
        <v>4299</v>
      </c>
      <c r="B2500" s="37">
        <v>20.0</v>
      </c>
      <c r="C2500" s="37">
        <v>15.797907</v>
      </c>
      <c r="D2500" s="37">
        <v>-4.202093</v>
      </c>
    </row>
    <row r="2501" ht="14.25" customHeight="1">
      <c r="A2501" s="4" t="s">
        <v>6350</v>
      </c>
      <c r="B2501" s="37">
        <v>5.5</v>
      </c>
      <c r="C2501" s="37">
        <v>1.292119</v>
      </c>
      <c r="D2501" s="37">
        <v>-4.207881</v>
      </c>
    </row>
    <row r="2502" ht="14.25" customHeight="1">
      <c r="A2502" s="4" t="s">
        <v>6212</v>
      </c>
      <c r="B2502" s="37">
        <v>6.5</v>
      </c>
      <c r="C2502" s="37">
        <v>2.268296</v>
      </c>
      <c r="D2502" s="37">
        <v>-4.231704</v>
      </c>
    </row>
    <row r="2503" ht="14.25" customHeight="1">
      <c r="A2503" s="4" t="s">
        <v>4980</v>
      </c>
      <c r="B2503" s="37">
        <v>15.0</v>
      </c>
      <c r="C2503" s="37">
        <v>10.763469</v>
      </c>
      <c r="D2503" s="37">
        <v>-4.236531</v>
      </c>
    </row>
    <row r="2504" ht="14.25" customHeight="1">
      <c r="A2504" s="4" t="s">
        <v>5153</v>
      </c>
      <c r="B2504" s="37">
        <v>8.2</v>
      </c>
      <c r="C2504" s="37">
        <v>3.9585</v>
      </c>
      <c r="D2504" s="37">
        <v>-4.2415</v>
      </c>
    </row>
    <row r="2505" ht="14.25" customHeight="1">
      <c r="A2505" s="4" t="s">
        <v>6643</v>
      </c>
      <c r="B2505" s="37">
        <v>8.0</v>
      </c>
      <c r="C2505" s="37">
        <v>3.713002</v>
      </c>
      <c r="D2505" s="37">
        <v>-4.286998</v>
      </c>
    </row>
    <row r="2506" ht="14.25" customHeight="1">
      <c r="A2506" s="4" t="s">
        <v>4304</v>
      </c>
      <c r="B2506" s="37">
        <v>20.0</v>
      </c>
      <c r="C2506" s="37">
        <v>15.712072</v>
      </c>
      <c r="D2506" s="37">
        <v>-4.287928</v>
      </c>
    </row>
    <row r="2507" ht="14.25" customHeight="1">
      <c r="A2507" s="4" t="s">
        <v>4688</v>
      </c>
      <c r="B2507" s="37">
        <v>17.0</v>
      </c>
      <c r="C2507" s="37">
        <v>12.693621</v>
      </c>
      <c r="D2507" s="37">
        <v>-4.306379</v>
      </c>
    </row>
    <row r="2508" ht="14.25" customHeight="1">
      <c r="A2508" s="4" t="s">
        <v>2970</v>
      </c>
      <c r="B2508" s="37">
        <v>35.0</v>
      </c>
      <c r="C2508" s="37">
        <v>30.691439</v>
      </c>
      <c r="D2508" s="37">
        <v>-4.308561</v>
      </c>
    </row>
    <row r="2509" ht="14.25" customHeight="1">
      <c r="A2509" s="4" t="s">
        <v>5871</v>
      </c>
      <c r="B2509" s="37">
        <v>9.0</v>
      </c>
      <c r="C2509" s="37">
        <v>4.681503</v>
      </c>
      <c r="D2509" s="37">
        <v>-4.318497</v>
      </c>
    </row>
    <row r="2510" ht="14.25" customHeight="1">
      <c r="A2510" s="4" t="s">
        <v>2974</v>
      </c>
      <c r="B2510" s="37">
        <v>35.0</v>
      </c>
      <c r="C2510" s="37">
        <v>30.669413</v>
      </c>
      <c r="D2510" s="37">
        <v>-4.330587</v>
      </c>
    </row>
    <row r="2511" ht="14.25" customHeight="1">
      <c r="A2511" s="4" t="s">
        <v>3974</v>
      </c>
      <c r="B2511" s="37">
        <v>23.0</v>
      </c>
      <c r="C2511" s="37">
        <v>18.653615</v>
      </c>
      <c r="D2511" s="37">
        <v>-4.346385</v>
      </c>
    </row>
    <row r="2512" ht="14.25" customHeight="1">
      <c r="A2512" s="4" t="s">
        <v>2448</v>
      </c>
      <c r="B2512" s="37">
        <v>42.0</v>
      </c>
      <c r="C2512" s="37">
        <v>37.652565</v>
      </c>
      <c r="D2512" s="37">
        <v>-4.347435</v>
      </c>
    </row>
    <row r="2513" ht="14.25" customHeight="1">
      <c r="A2513" s="4" t="s">
        <v>5840</v>
      </c>
      <c r="B2513" s="37">
        <v>7.4</v>
      </c>
      <c r="C2513" s="37">
        <v>3.02987</v>
      </c>
      <c r="D2513" s="37">
        <v>-4.37013</v>
      </c>
    </row>
    <row r="2514" ht="14.25" customHeight="1">
      <c r="A2514" s="4" t="s">
        <v>6585</v>
      </c>
      <c r="B2514" s="37">
        <v>4.5</v>
      </c>
      <c r="C2514" s="37">
        <v>0.108229</v>
      </c>
      <c r="D2514" s="37">
        <v>-4.391771</v>
      </c>
    </row>
    <row r="2515" ht="14.25" customHeight="1">
      <c r="A2515" s="4" t="s">
        <v>6210</v>
      </c>
      <c r="B2515" s="37">
        <v>6.5</v>
      </c>
      <c r="C2515" s="37">
        <v>2.024854</v>
      </c>
      <c r="D2515" s="37">
        <v>-4.475146</v>
      </c>
    </row>
    <row r="2516" ht="14.25" customHeight="1">
      <c r="A2516" s="4" t="s">
        <v>6372</v>
      </c>
      <c r="B2516" s="37">
        <v>5.25</v>
      </c>
      <c r="C2516" s="37">
        <v>0.766487</v>
      </c>
      <c r="D2516" s="37">
        <v>-4.483513</v>
      </c>
    </row>
    <row r="2517" ht="14.25" customHeight="1">
      <c r="A2517" s="4" t="s">
        <v>6589</v>
      </c>
      <c r="B2517" s="37">
        <v>4.5</v>
      </c>
      <c r="C2517" s="37">
        <v>0.008691</v>
      </c>
      <c r="D2517" s="37">
        <v>-4.491309</v>
      </c>
    </row>
    <row r="2518" ht="14.25" customHeight="1">
      <c r="A2518" s="4" t="s">
        <v>3574</v>
      </c>
      <c r="B2518" s="37">
        <v>27.0</v>
      </c>
      <c r="C2518" s="37">
        <v>22.494487</v>
      </c>
      <c r="D2518" s="37">
        <v>-4.505513</v>
      </c>
    </row>
    <row r="2519" ht="14.25" customHeight="1">
      <c r="A2519" s="4" t="s">
        <v>3574</v>
      </c>
      <c r="B2519" s="37">
        <v>27.0</v>
      </c>
      <c r="C2519" s="37">
        <v>22.494487</v>
      </c>
      <c r="D2519" s="37">
        <v>-4.505513</v>
      </c>
    </row>
    <row r="2520" ht="14.25" customHeight="1">
      <c r="A2520" s="4" t="s">
        <v>4988</v>
      </c>
      <c r="B2520" s="37">
        <v>15.0</v>
      </c>
      <c r="C2520" s="37">
        <v>10.494147</v>
      </c>
      <c r="D2520" s="37">
        <v>-4.505853</v>
      </c>
    </row>
    <row r="2521" ht="14.25" customHeight="1">
      <c r="A2521" s="4" t="s">
        <v>4583</v>
      </c>
      <c r="B2521" s="37">
        <v>18.0</v>
      </c>
      <c r="C2521" s="37">
        <v>13.491653</v>
      </c>
      <c r="D2521" s="37">
        <v>-4.508347</v>
      </c>
    </row>
    <row r="2522" ht="14.25" customHeight="1">
      <c r="A2522" s="4" t="s">
        <v>5721</v>
      </c>
      <c r="B2522" s="37">
        <v>10.0</v>
      </c>
      <c r="C2522" s="37">
        <v>5.484375</v>
      </c>
      <c r="D2522" s="37">
        <v>-4.515625</v>
      </c>
    </row>
    <row r="2523" ht="14.25" customHeight="1">
      <c r="A2523" s="4" t="s">
        <v>1792</v>
      </c>
      <c r="B2523" s="37">
        <v>30.0</v>
      </c>
      <c r="C2523" s="37">
        <v>25.472967</v>
      </c>
      <c r="D2523" s="37">
        <v>-4.527033</v>
      </c>
    </row>
    <row r="2524" ht="14.25" customHeight="1">
      <c r="A2524" s="4" t="s">
        <v>4310</v>
      </c>
      <c r="B2524" s="37">
        <v>20.0</v>
      </c>
      <c r="C2524" s="37">
        <v>15.464026</v>
      </c>
      <c r="D2524" s="37">
        <v>-4.535974</v>
      </c>
    </row>
    <row r="2525" ht="14.25" customHeight="1">
      <c r="A2525" s="4" t="s">
        <v>4986</v>
      </c>
      <c r="B2525" s="37">
        <v>15.0</v>
      </c>
      <c r="C2525" s="37">
        <v>10.443316</v>
      </c>
      <c r="D2525" s="37">
        <v>-4.556684</v>
      </c>
    </row>
    <row r="2526" ht="14.25" customHeight="1">
      <c r="A2526" s="4" t="s">
        <v>5980</v>
      </c>
      <c r="B2526" s="37">
        <v>8.0</v>
      </c>
      <c r="C2526" s="37">
        <v>3.44282</v>
      </c>
      <c r="D2526" s="37">
        <v>-4.55718</v>
      </c>
    </row>
    <row r="2527" ht="14.25" customHeight="1">
      <c r="A2527" s="4" t="s">
        <v>4992</v>
      </c>
      <c r="B2527" s="37">
        <v>15.0</v>
      </c>
      <c r="C2527" s="37">
        <v>10.41198</v>
      </c>
      <c r="D2527" s="37">
        <v>-4.58802</v>
      </c>
    </row>
    <row r="2528" ht="14.25" customHeight="1">
      <c r="A2528" s="4" t="s">
        <v>4307</v>
      </c>
      <c r="B2528" s="37">
        <v>20.0</v>
      </c>
      <c r="C2528" s="37">
        <v>15.408822</v>
      </c>
      <c r="D2528" s="37">
        <v>-4.591178</v>
      </c>
    </row>
    <row r="2529" ht="14.25" customHeight="1">
      <c r="A2529" s="4" t="s">
        <v>5137</v>
      </c>
      <c r="B2529" s="37">
        <v>14.0</v>
      </c>
      <c r="C2529" s="37">
        <v>9.40241</v>
      </c>
      <c r="D2529" s="37">
        <v>-4.59759</v>
      </c>
    </row>
    <row r="2530" ht="14.25" customHeight="1">
      <c r="A2530" s="4" t="s">
        <v>4603</v>
      </c>
      <c r="B2530" s="37">
        <v>18.0</v>
      </c>
      <c r="C2530" s="37">
        <v>13.362308</v>
      </c>
      <c r="D2530" s="37">
        <v>-4.637692</v>
      </c>
    </row>
    <row r="2531" ht="14.25" customHeight="1">
      <c r="A2531" s="4" t="s">
        <v>5723</v>
      </c>
      <c r="B2531" s="37">
        <v>10.0</v>
      </c>
      <c r="C2531" s="37">
        <v>5.348317</v>
      </c>
      <c r="D2531" s="37">
        <v>-4.651683</v>
      </c>
    </row>
    <row r="2532" ht="14.25" customHeight="1">
      <c r="A2532" s="4" t="s">
        <v>6316</v>
      </c>
      <c r="B2532" s="37">
        <v>6.0</v>
      </c>
      <c r="C2532" s="37">
        <v>1.346503</v>
      </c>
      <c r="D2532" s="37">
        <v>-4.653497</v>
      </c>
    </row>
    <row r="2533" ht="14.25" customHeight="1">
      <c r="A2533" s="4" t="s">
        <v>6130</v>
      </c>
      <c r="B2533" s="37">
        <v>7.0</v>
      </c>
      <c r="C2533" s="37">
        <v>2.344847</v>
      </c>
      <c r="D2533" s="37">
        <v>-4.655153</v>
      </c>
    </row>
    <row r="2534" ht="14.25" customHeight="1">
      <c r="A2534" s="4" t="s">
        <v>835</v>
      </c>
      <c r="B2534" s="37">
        <v>100.0</v>
      </c>
      <c r="C2534" s="37">
        <v>95.328937</v>
      </c>
      <c r="D2534" s="37">
        <v>-4.671063</v>
      </c>
    </row>
    <row r="2535" ht="14.25" customHeight="1">
      <c r="A2535" s="4" t="s">
        <v>6521</v>
      </c>
      <c r="B2535" s="37">
        <v>5.0</v>
      </c>
      <c r="C2535" s="37">
        <v>0.326308</v>
      </c>
      <c r="D2535" s="37">
        <v>-4.673692</v>
      </c>
    </row>
    <row r="2536" ht="14.25" customHeight="1">
      <c r="A2536" s="4" t="s">
        <v>2973</v>
      </c>
      <c r="B2536" s="37">
        <v>35.0</v>
      </c>
      <c r="C2536" s="37">
        <v>30.307804</v>
      </c>
      <c r="D2536" s="37">
        <v>-4.692196</v>
      </c>
    </row>
    <row r="2537" ht="14.25" customHeight="1">
      <c r="A2537" s="4" t="s">
        <v>6513</v>
      </c>
      <c r="B2537" s="37">
        <v>5.0</v>
      </c>
      <c r="C2537" s="37">
        <v>0.296665</v>
      </c>
      <c r="D2537" s="37">
        <v>-4.703335</v>
      </c>
    </row>
    <row r="2538" ht="14.25" customHeight="1">
      <c r="A2538" s="4" t="s">
        <v>4102</v>
      </c>
      <c r="B2538" s="37">
        <v>21.0</v>
      </c>
      <c r="C2538" s="37">
        <v>16.28436</v>
      </c>
      <c r="D2538" s="37">
        <v>-4.71564</v>
      </c>
    </row>
    <row r="2539" ht="14.25" customHeight="1">
      <c r="A2539" s="4" t="s">
        <v>6179</v>
      </c>
      <c r="B2539" s="37">
        <v>5.0</v>
      </c>
      <c r="C2539" s="37">
        <v>0.223878</v>
      </c>
      <c r="D2539" s="37">
        <v>-4.776122</v>
      </c>
    </row>
    <row r="2540" ht="14.25" customHeight="1">
      <c r="A2540" s="4" t="s">
        <v>4732</v>
      </c>
      <c r="B2540" s="37">
        <v>16.5</v>
      </c>
      <c r="C2540" s="37">
        <v>11.70209</v>
      </c>
      <c r="D2540" s="37">
        <v>-4.79791</v>
      </c>
    </row>
    <row r="2541" ht="14.25" customHeight="1">
      <c r="A2541" s="4" t="s">
        <v>1051</v>
      </c>
      <c r="B2541" s="37">
        <v>85.0</v>
      </c>
      <c r="C2541" s="37">
        <v>80.170146</v>
      </c>
      <c r="D2541" s="37">
        <v>-4.829854</v>
      </c>
    </row>
    <row r="2542" ht="14.25" customHeight="1">
      <c r="A2542" s="4" t="s">
        <v>1204</v>
      </c>
      <c r="B2542" s="37">
        <v>79.0</v>
      </c>
      <c r="C2542" s="37">
        <v>74.158157</v>
      </c>
      <c r="D2542" s="37">
        <v>-4.841843</v>
      </c>
    </row>
    <row r="2543" ht="14.25" customHeight="1">
      <c r="A2543" s="4" t="s">
        <v>6133</v>
      </c>
      <c r="B2543" s="37">
        <v>7.0</v>
      </c>
      <c r="C2543" s="37">
        <v>2.148212</v>
      </c>
      <c r="D2543" s="37">
        <v>-4.851788</v>
      </c>
    </row>
    <row r="2544" ht="14.25" customHeight="1">
      <c r="A2544" s="4" t="s">
        <v>6874</v>
      </c>
      <c r="B2544" s="37">
        <v>5.0</v>
      </c>
      <c r="C2544" s="37">
        <v>0.143</v>
      </c>
      <c r="D2544" s="37">
        <v>-4.857</v>
      </c>
    </row>
    <row r="2545" ht="14.25" customHeight="1">
      <c r="A2545" s="4" t="s">
        <v>5794</v>
      </c>
      <c r="B2545" s="37">
        <v>5.0</v>
      </c>
      <c r="C2545" s="37">
        <v>0.136432</v>
      </c>
      <c r="D2545" s="37">
        <v>-4.863568</v>
      </c>
    </row>
    <row r="2546" ht="14.25" customHeight="1">
      <c r="A2546" s="4" t="s">
        <v>6523</v>
      </c>
      <c r="B2546" s="37">
        <v>5.0</v>
      </c>
      <c r="C2546" s="37">
        <v>0.12472</v>
      </c>
      <c r="D2546" s="37">
        <v>-4.87528</v>
      </c>
    </row>
    <row r="2547" ht="14.25" customHeight="1">
      <c r="A2547" s="4" t="s">
        <v>450</v>
      </c>
      <c r="B2547" s="37">
        <v>137.0</v>
      </c>
      <c r="C2547" s="37">
        <v>132.122995</v>
      </c>
      <c r="D2547" s="37">
        <v>-4.877005</v>
      </c>
    </row>
    <row r="2548" ht="14.25" customHeight="1">
      <c r="A2548" s="4" t="s">
        <v>5810</v>
      </c>
      <c r="B2548" s="37">
        <v>5.0</v>
      </c>
      <c r="C2548" s="37">
        <v>0.0929</v>
      </c>
      <c r="D2548" s="37">
        <v>-4.9071</v>
      </c>
    </row>
    <row r="2549" ht="14.25" customHeight="1">
      <c r="A2549" s="4" t="s">
        <v>2089</v>
      </c>
      <c r="B2549" s="37">
        <v>60.0</v>
      </c>
      <c r="C2549" s="37">
        <v>55.09283</v>
      </c>
      <c r="D2549" s="37">
        <v>-4.90717</v>
      </c>
    </row>
    <row r="2550" ht="14.25" customHeight="1">
      <c r="A2550" s="4" t="s">
        <v>4221</v>
      </c>
      <c r="B2550" s="37">
        <v>35.0</v>
      </c>
      <c r="C2550" s="37">
        <v>30.079316</v>
      </c>
      <c r="D2550" s="37">
        <v>-4.920684</v>
      </c>
    </row>
    <row r="2551" ht="14.25" customHeight="1">
      <c r="A2551" s="4" t="s">
        <v>2982</v>
      </c>
      <c r="B2551" s="37">
        <v>30.0</v>
      </c>
      <c r="C2551" s="37">
        <v>25.078937</v>
      </c>
      <c r="D2551" s="37">
        <v>-4.921063</v>
      </c>
    </row>
    <row r="2552" ht="14.25" customHeight="1">
      <c r="A2552" s="4" t="s">
        <v>5984</v>
      </c>
      <c r="B2552" s="37">
        <v>8.0</v>
      </c>
      <c r="C2552" s="37">
        <v>3.076425</v>
      </c>
      <c r="D2552" s="37">
        <v>-4.923575</v>
      </c>
    </row>
    <row r="2553" ht="14.25" customHeight="1">
      <c r="A2553" s="4" t="s">
        <v>6530</v>
      </c>
      <c r="B2553" s="37">
        <v>5.0</v>
      </c>
      <c r="C2553" s="37">
        <v>0.065087</v>
      </c>
      <c r="D2553" s="37">
        <v>-4.934913</v>
      </c>
    </row>
    <row r="2554" ht="14.25" customHeight="1">
      <c r="A2554" s="4" t="s">
        <v>6135</v>
      </c>
      <c r="B2554" s="37">
        <v>7.0</v>
      </c>
      <c r="C2554" s="37">
        <v>2.062066</v>
      </c>
      <c r="D2554" s="37">
        <v>-4.937934</v>
      </c>
    </row>
    <row r="2555" ht="14.25" customHeight="1">
      <c r="A2555" s="4" t="s">
        <v>6534</v>
      </c>
      <c r="B2555" s="37">
        <v>5.0</v>
      </c>
      <c r="C2555" s="37">
        <v>0.03744</v>
      </c>
      <c r="D2555" s="37">
        <v>-4.96256</v>
      </c>
    </row>
    <row r="2556" ht="14.25" customHeight="1">
      <c r="A2556" s="4" t="s">
        <v>5233</v>
      </c>
      <c r="B2556" s="37">
        <v>13.0</v>
      </c>
      <c r="C2556" s="37">
        <v>8.026971</v>
      </c>
      <c r="D2556" s="37">
        <v>-4.973029</v>
      </c>
    </row>
    <row r="2557" ht="14.25" customHeight="1">
      <c r="A2557" s="4" t="s">
        <v>6532</v>
      </c>
      <c r="B2557" s="37">
        <v>5.0</v>
      </c>
      <c r="C2557" s="37">
        <v>0.016066</v>
      </c>
      <c r="D2557" s="37">
        <v>-4.983934</v>
      </c>
    </row>
    <row r="2558" ht="14.25" customHeight="1">
      <c r="A2558" s="4" t="s">
        <v>6058</v>
      </c>
      <c r="B2558" s="37">
        <v>8.0</v>
      </c>
      <c r="C2558" s="37">
        <v>3.014541</v>
      </c>
      <c r="D2558" s="37">
        <v>-4.985459</v>
      </c>
    </row>
    <row r="2559" ht="14.25" customHeight="1">
      <c r="A2559" s="4" t="s">
        <v>1383</v>
      </c>
      <c r="B2559" s="37">
        <v>70.0</v>
      </c>
      <c r="C2559" s="37">
        <v>65.012</v>
      </c>
      <c r="D2559" s="37">
        <v>-4.988</v>
      </c>
    </row>
    <row r="2560" ht="14.25" customHeight="1">
      <c r="A2560" s="4" t="s">
        <v>5728</v>
      </c>
      <c r="B2560" s="37">
        <v>10.0</v>
      </c>
      <c r="C2560" s="37">
        <v>5.004648</v>
      </c>
      <c r="D2560" s="37">
        <v>-4.995352</v>
      </c>
    </row>
    <row r="2561" ht="14.25" customHeight="1">
      <c r="A2561" s="4" t="s">
        <v>4371</v>
      </c>
      <c r="B2561" s="37">
        <v>12.0</v>
      </c>
      <c r="C2561" s="37">
        <v>7.00172</v>
      </c>
      <c r="D2561" s="37">
        <v>-4.99828</v>
      </c>
    </row>
    <row r="2562" ht="14.25" customHeight="1">
      <c r="A2562" s="4" t="s">
        <v>1903</v>
      </c>
      <c r="B2562" s="37">
        <v>55.0</v>
      </c>
      <c r="C2562" s="37">
        <v>49.994804</v>
      </c>
      <c r="D2562" s="37">
        <v>-5.005196</v>
      </c>
    </row>
    <row r="2563" ht="14.25" customHeight="1">
      <c r="A2563" s="4" t="s">
        <v>4989</v>
      </c>
      <c r="B2563" s="37">
        <v>15.0</v>
      </c>
      <c r="C2563" s="37">
        <v>9.929</v>
      </c>
      <c r="D2563" s="37">
        <v>-5.071</v>
      </c>
    </row>
    <row r="2564" ht="14.25" customHeight="1">
      <c r="A2564" s="4" t="s">
        <v>1679</v>
      </c>
      <c r="B2564" s="37">
        <v>60.0</v>
      </c>
      <c r="C2564" s="37">
        <v>54.91056</v>
      </c>
      <c r="D2564" s="37">
        <v>-5.08944</v>
      </c>
    </row>
    <row r="2565" ht="14.25" customHeight="1">
      <c r="A2565" s="4" t="s">
        <v>2210</v>
      </c>
      <c r="B2565" s="37">
        <v>49.0</v>
      </c>
      <c r="C2565" s="37">
        <v>43.905746</v>
      </c>
      <c r="D2565" s="37">
        <v>-5.094254</v>
      </c>
    </row>
    <row r="2566" ht="14.25" customHeight="1">
      <c r="A2566" s="4" t="s">
        <v>6141</v>
      </c>
      <c r="B2566" s="37">
        <v>7.0</v>
      </c>
      <c r="C2566" s="37">
        <v>1.889522</v>
      </c>
      <c r="D2566" s="37">
        <v>-5.110478</v>
      </c>
    </row>
    <row r="2567" ht="14.25" customHeight="1">
      <c r="A2567" s="4" t="s">
        <v>5240</v>
      </c>
      <c r="B2567" s="37">
        <v>13.0</v>
      </c>
      <c r="C2567" s="37">
        <v>7.881335</v>
      </c>
      <c r="D2567" s="37">
        <v>-5.118665</v>
      </c>
    </row>
    <row r="2568" ht="14.25" customHeight="1">
      <c r="A2568" s="4" t="s">
        <v>6061</v>
      </c>
      <c r="B2568" s="37">
        <v>6.0</v>
      </c>
      <c r="C2568" s="37">
        <v>0.872643</v>
      </c>
      <c r="D2568" s="37">
        <v>-5.127357</v>
      </c>
    </row>
    <row r="2569" ht="14.25" customHeight="1">
      <c r="A2569" s="4" t="s">
        <v>6311</v>
      </c>
      <c r="B2569" s="37">
        <v>6.0</v>
      </c>
      <c r="C2569" s="37">
        <v>0.869325</v>
      </c>
      <c r="D2569" s="37">
        <v>-5.130675</v>
      </c>
    </row>
    <row r="2570" ht="14.25" customHeight="1">
      <c r="A2570" s="4" t="s">
        <v>5573</v>
      </c>
      <c r="B2570" s="37">
        <v>10.818775</v>
      </c>
      <c r="C2570" s="37">
        <v>5.669081</v>
      </c>
      <c r="D2570" s="37">
        <v>-5.149694</v>
      </c>
    </row>
    <row r="2571" ht="14.25" customHeight="1">
      <c r="A2571" s="4" t="s">
        <v>3602</v>
      </c>
      <c r="B2571" s="37">
        <v>26.0</v>
      </c>
      <c r="C2571" s="37">
        <v>20.819129</v>
      </c>
      <c r="D2571" s="37">
        <v>-5.180871</v>
      </c>
    </row>
    <row r="2572" ht="14.25" customHeight="1">
      <c r="A2572" s="4" t="s">
        <v>6378</v>
      </c>
      <c r="B2572" s="37">
        <v>6.0</v>
      </c>
      <c r="C2572" s="37">
        <v>0.795126</v>
      </c>
      <c r="D2572" s="37">
        <v>-5.204874</v>
      </c>
    </row>
    <row r="2573" ht="14.25" customHeight="1">
      <c r="A2573" s="4" t="s">
        <v>1840</v>
      </c>
      <c r="B2573" s="37">
        <v>57.0</v>
      </c>
      <c r="C2573" s="37">
        <v>51.774002</v>
      </c>
      <c r="D2573" s="37">
        <v>-5.225998</v>
      </c>
    </row>
    <row r="2574" ht="14.25" customHeight="1">
      <c r="A2574" s="4" t="s">
        <v>6147</v>
      </c>
      <c r="B2574" s="37">
        <v>7.0</v>
      </c>
      <c r="C2574" s="37">
        <v>1.768416</v>
      </c>
      <c r="D2574" s="37">
        <v>-5.231584</v>
      </c>
    </row>
    <row r="2575" ht="14.25" customHeight="1">
      <c r="A2575" s="4" t="s">
        <v>5421</v>
      </c>
      <c r="B2575" s="37">
        <v>12.0</v>
      </c>
      <c r="C2575" s="37">
        <v>6.754898</v>
      </c>
      <c r="D2575" s="37">
        <v>-5.245102</v>
      </c>
    </row>
    <row r="2576" ht="14.25" customHeight="1">
      <c r="A2576" s="4" t="s">
        <v>5229</v>
      </c>
      <c r="B2576" s="37">
        <v>19.0</v>
      </c>
      <c r="C2576" s="37">
        <v>13.753931</v>
      </c>
      <c r="D2576" s="37">
        <v>-5.246069</v>
      </c>
    </row>
    <row r="2577" ht="14.25" customHeight="1">
      <c r="A2577" s="4" t="s">
        <v>6139</v>
      </c>
      <c r="B2577" s="37">
        <v>7.0</v>
      </c>
      <c r="C2577" s="37">
        <v>1.738692</v>
      </c>
      <c r="D2577" s="37">
        <v>-5.261308</v>
      </c>
    </row>
    <row r="2578" ht="14.25" customHeight="1">
      <c r="A2578" s="4" t="s">
        <v>2107</v>
      </c>
      <c r="B2578" s="37">
        <v>50.0</v>
      </c>
      <c r="C2578" s="37">
        <v>44.737059</v>
      </c>
      <c r="D2578" s="37">
        <v>-5.262941</v>
      </c>
    </row>
    <row r="2579" ht="14.25" customHeight="1">
      <c r="A2579" s="4" t="s">
        <v>6136</v>
      </c>
      <c r="B2579" s="37">
        <v>7.0</v>
      </c>
      <c r="C2579" s="37">
        <v>1.654367</v>
      </c>
      <c r="D2579" s="37">
        <v>-5.345633</v>
      </c>
    </row>
    <row r="2580" ht="14.25" customHeight="1">
      <c r="A2580" s="4" t="s">
        <v>4694</v>
      </c>
      <c r="B2580" s="37">
        <v>17.0</v>
      </c>
      <c r="C2580" s="37">
        <v>11.634458</v>
      </c>
      <c r="D2580" s="37">
        <v>-5.365542</v>
      </c>
    </row>
    <row r="2581" ht="14.25" customHeight="1">
      <c r="A2581" s="4" t="s">
        <v>1516</v>
      </c>
      <c r="B2581" s="37">
        <v>65.0</v>
      </c>
      <c r="C2581" s="37">
        <v>59.617068</v>
      </c>
      <c r="D2581" s="37">
        <v>-5.382932</v>
      </c>
    </row>
    <row r="2582" ht="14.25" customHeight="1">
      <c r="A2582" s="4" t="s">
        <v>6362</v>
      </c>
      <c r="B2582" s="37">
        <v>5.5</v>
      </c>
      <c r="C2582" s="37">
        <v>0.056007</v>
      </c>
      <c r="D2582" s="37">
        <v>-5.443993</v>
      </c>
    </row>
    <row r="2583" ht="14.25" customHeight="1">
      <c r="A2583" s="4" t="s">
        <v>6213</v>
      </c>
      <c r="B2583" s="37">
        <v>6.5</v>
      </c>
      <c r="C2583" s="37">
        <v>1.029017</v>
      </c>
      <c r="D2583" s="37">
        <v>-5.470983</v>
      </c>
    </row>
    <row r="2584" ht="14.25" customHeight="1">
      <c r="A2584" s="4" t="s">
        <v>6368</v>
      </c>
      <c r="B2584" s="37">
        <v>5.5</v>
      </c>
      <c r="C2584" s="37">
        <v>0.02277</v>
      </c>
      <c r="D2584" s="37">
        <v>-5.47723</v>
      </c>
    </row>
    <row r="2585" ht="14.25" customHeight="1">
      <c r="A2585" s="4" t="s">
        <v>6067</v>
      </c>
      <c r="B2585" s="37">
        <v>7.3</v>
      </c>
      <c r="C2585" s="37">
        <v>1.818681</v>
      </c>
      <c r="D2585" s="37">
        <v>-5.481319</v>
      </c>
    </row>
    <row r="2586" ht="14.25" customHeight="1">
      <c r="A2586" s="4" t="s">
        <v>3653</v>
      </c>
      <c r="B2586" s="37">
        <v>25.53</v>
      </c>
      <c r="C2586" s="37">
        <v>20.047715</v>
      </c>
      <c r="D2586" s="37">
        <v>-5.482285</v>
      </c>
    </row>
    <row r="2587" ht="14.25" customHeight="1">
      <c r="A2587" s="4" t="s">
        <v>3576</v>
      </c>
      <c r="B2587" s="37">
        <v>27.0</v>
      </c>
      <c r="C2587" s="37">
        <v>21.5</v>
      </c>
      <c r="D2587" s="37">
        <v>-5.5</v>
      </c>
    </row>
    <row r="2588" ht="14.25" customHeight="1">
      <c r="A2588" s="4" t="s">
        <v>2110</v>
      </c>
      <c r="B2588" s="37">
        <v>50.0</v>
      </c>
      <c r="C2588" s="37">
        <v>44.484065</v>
      </c>
      <c r="D2588" s="37">
        <v>-5.515935</v>
      </c>
    </row>
    <row r="2589" ht="14.25" customHeight="1">
      <c r="A2589" s="4" t="s">
        <v>6340</v>
      </c>
      <c r="B2589" s="37">
        <v>5.6</v>
      </c>
      <c r="C2589" s="37">
        <v>0.027024</v>
      </c>
      <c r="D2589" s="37">
        <v>-5.572976</v>
      </c>
    </row>
    <row r="2590" ht="14.25" customHeight="1">
      <c r="A2590" s="4" t="s">
        <v>6314</v>
      </c>
      <c r="B2590" s="37">
        <v>6.0</v>
      </c>
      <c r="C2590" s="37">
        <v>0.399611</v>
      </c>
      <c r="D2590" s="37">
        <v>-5.600389</v>
      </c>
    </row>
    <row r="2591" ht="14.25" customHeight="1">
      <c r="A2591" s="4" t="s">
        <v>4995</v>
      </c>
      <c r="B2591" s="37">
        <v>15.0</v>
      </c>
      <c r="C2591" s="37">
        <v>9.396487</v>
      </c>
      <c r="D2591" s="37">
        <v>-5.603513</v>
      </c>
    </row>
    <row r="2592" ht="14.25" customHeight="1">
      <c r="A2592" s="4" t="s">
        <v>7061</v>
      </c>
      <c r="B2592" s="37">
        <v>6.0</v>
      </c>
      <c r="C2592" s="37">
        <v>0.371081</v>
      </c>
      <c r="D2592" s="37">
        <v>-5.628919</v>
      </c>
    </row>
    <row r="2593" ht="14.25" customHeight="1">
      <c r="A2593" s="4" t="s">
        <v>6065</v>
      </c>
      <c r="B2593" s="37">
        <v>7.0</v>
      </c>
      <c r="C2593" s="37">
        <v>1.330827</v>
      </c>
      <c r="D2593" s="37">
        <v>-5.669173</v>
      </c>
    </row>
    <row r="2594" ht="14.25" customHeight="1">
      <c r="A2594" s="4" t="s">
        <v>1836</v>
      </c>
      <c r="B2594" s="37">
        <v>57.0</v>
      </c>
      <c r="C2594" s="37">
        <v>51.31735</v>
      </c>
      <c r="D2594" s="37">
        <v>-5.68265</v>
      </c>
    </row>
    <row r="2595" ht="14.25" customHeight="1">
      <c r="A2595" s="4" t="s">
        <v>4320</v>
      </c>
      <c r="B2595" s="37">
        <v>20.0</v>
      </c>
      <c r="C2595" s="37">
        <v>14.29157</v>
      </c>
      <c r="D2595" s="37">
        <v>-5.70843</v>
      </c>
    </row>
    <row r="2596" ht="14.25" customHeight="1">
      <c r="A2596" s="4" t="s">
        <v>3111</v>
      </c>
      <c r="B2596" s="37">
        <v>10.0</v>
      </c>
      <c r="C2596" s="37">
        <v>4.280577</v>
      </c>
      <c r="D2596" s="37">
        <v>-5.719423</v>
      </c>
    </row>
    <row r="2597" ht="14.25" customHeight="1">
      <c r="A2597" s="4" t="s">
        <v>5985</v>
      </c>
      <c r="B2597" s="37">
        <v>8.0</v>
      </c>
      <c r="C2597" s="37">
        <v>2.275557</v>
      </c>
      <c r="D2597" s="37">
        <v>-5.724443</v>
      </c>
    </row>
    <row r="2598" ht="14.25" customHeight="1">
      <c r="A2598" s="4" t="s">
        <v>1577</v>
      </c>
      <c r="B2598" s="37">
        <v>64.0</v>
      </c>
      <c r="C2598" s="37">
        <v>58.255287</v>
      </c>
      <c r="D2598" s="37">
        <v>-5.744713</v>
      </c>
    </row>
    <row r="2599" ht="14.25" customHeight="1">
      <c r="A2599" s="4" t="s">
        <v>5725</v>
      </c>
      <c r="B2599" s="37">
        <v>10.0</v>
      </c>
      <c r="C2599" s="37">
        <v>4.244155</v>
      </c>
      <c r="D2599" s="37">
        <v>-5.755845</v>
      </c>
    </row>
    <row r="2600" ht="14.25" customHeight="1">
      <c r="A2600" s="4" t="s">
        <v>5735</v>
      </c>
      <c r="B2600" s="37">
        <v>9.0</v>
      </c>
      <c r="C2600" s="37">
        <v>3.193102</v>
      </c>
      <c r="D2600" s="37">
        <v>-5.806898</v>
      </c>
    </row>
    <row r="2601" ht="14.25" customHeight="1">
      <c r="A2601" s="4" t="s">
        <v>5995</v>
      </c>
      <c r="B2601" s="37">
        <v>6.5</v>
      </c>
      <c r="C2601" s="37">
        <v>0.686383</v>
      </c>
      <c r="D2601" s="37">
        <v>-5.813617</v>
      </c>
    </row>
    <row r="2602" ht="14.25" customHeight="1">
      <c r="A2602" s="4" t="s">
        <v>5012</v>
      </c>
      <c r="B2602" s="37">
        <v>15.0</v>
      </c>
      <c r="C2602" s="37">
        <v>9.123834</v>
      </c>
      <c r="D2602" s="37">
        <v>-5.876166</v>
      </c>
    </row>
    <row r="2603" ht="14.25" customHeight="1">
      <c r="A2603" s="4" t="s">
        <v>6318</v>
      </c>
      <c r="B2603" s="37">
        <v>6.0</v>
      </c>
      <c r="C2603" s="37">
        <v>0.11756</v>
      </c>
      <c r="D2603" s="37">
        <v>-5.88244</v>
      </c>
    </row>
    <row r="2604" ht="14.25" customHeight="1">
      <c r="A2604" s="4" t="s">
        <v>6315</v>
      </c>
      <c r="B2604" s="37">
        <v>6.0</v>
      </c>
      <c r="C2604" s="37">
        <v>0.115862</v>
      </c>
      <c r="D2604" s="37">
        <v>-5.884138</v>
      </c>
    </row>
    <row r="2605" ht="14.25" customHeight="1">
      <c r="A2605" s="4" t="s">
        <v>4997</v>
      </c>
      <c r="B2605" s="37">
        <v>15.0</v>
      </c>
      <c r="C2605" s="37">
        <v>9.059588</v>
      </c>
      <c r="D2605" s="37">
        <v>-5.940412</v>
      </c>
    </row>
    <row r="2606" ht="14.25" customHeight="1">
      <c r="A2606" s="4" t="s">
        <v>6320</v>
      </c>
      <c r="B2606" s="37">
        <v>6.0</v>
      </c>
      <c r="C2606" s="37">
        <v>0.054606</v>
      </c>
      <c r="D2606" s="37">
        <v>-5.945394</v>
      </c>
    </row>
    <row r="2607" ht="14.25" customHeight="1">
      <c r="A2607" s="4" t="s">
        <v>3351</v>
      </c>
      <c r="B2607" s="37">
        <v>30.0</v>
      </c>
      <c r="C2607" s="37">
        <v>24.048</v>
      </c>
      <c r="D2607" s="37">
        <v>-5.952</v>
      </c>
    </row>
    <row r="2608" ht="14.25" customHeight="1">
      <c r="A2608" s="4" t="s">
        <v>6520</v>
      </c>
      <c r="B2608" s="37">
        <v>7.0</v>
      </c>
      <c r="C2608" s="37">
        <v>1.040879</v>
      </c>
      <c r="D2608" s="37">
        <v>-5.959121</v>
      </c>
    </row>
    <row r="2609" ht="14.25" customHeight="1">
      <c r="A2609" s="4" t="s">
        <v>6322</v>
      </c>
      <c r="B2609" s="37">
        <v>6.0</v>
      </c>
      <c r="C2609" s="37">
        <v>0.036497</v>
      </c>
      <c r="D2609" s="37">
        <v>-5.963503</v>
      </c>
    </row>
    <row r="2610" ht="14.25" customHeight="1">
      <c r="A2610" s="4" t="s">
        <v>2411</v>
      </c>
      <c r="B2610" s="37">
        <v>43.0</v>
      </c>
      <c r="C2610" s="37">
        <v>37.035515</v>
      </c>
      <c r="D2610" s="37">
        <v>-5.964485</v>
      </c>
    </row>
    <row r="2611" ht="14.25" customHeight="1">
      <c r="A2611" s="4" t="s">
        <v>5046</v>
      </c>
      <c r="B2611" s="37">
        <v>6.0</v>
      </c>
      <c r="C2611" s="37">
        <v>0.026435</v>
      </c>
      <c r="D2611" s="37">
        <v>-5.973565</v>
      </c>
    </row>
    <row r="2612" ht="14.25" customHeight="1">
      <c r="A2612" s="4" t="s">
        <v>6327</v>
      </c>
      <c r="B2612" s="37">
        <v>6.0</v>
      </c>
      <c r="C2612" s="37">
        <v>0.0202</v>
      </c>
      <c r="D2612" s="37">
        <v>-5.9798</v>
      </c>
    </row>
    <row r="2613" ht="14.25" customHeight="1">
      <c r="A2613" s="4" t="s">
        <v>7591</v>
      </c>
      <c r="B2613" s="37">
        <v>6.0</v>
      </c>
      <c r="C2613" s="37">
        <v>0.012843</v>
      </c>
      <c r="D2613" s="37">
        <v>-5.987157</v>
      </c>
    </row>
    <row r="2614" ht="14.25" customHeight="1">
      <c r="A2614" s="4" t="s">
        <v>5919</v>
      </c>
      <c r="B2614" s="37">
        <v>8.0</v>
      </c>
      <c r="C2614" s="37">
        <v>1.997807</v>
      </c>
      <c r="D2614" s="37">
        <v>-6.002193</v>
      </c>
    </row>
    <row r="2615" ht="14.25" customHeight="1">
      <c r="A2615" s="4" t="s">
        <v>2985</v>
      </c>
      <c r="B2615" s="37">
        <v>35.0</v>
      </c>
      <c r="C2615" s="37">
        <v>28.99545</v>
      </c>
      <c r="D2615" s="37">
        <v>-6.00455</v>
      </c>
    </row>
    <row r="2616" ht="14.25" customHeight="1">
      <c r="A2616" s="4" t="s">
        <v>4318</v>
      </c>
      <c r="B2616" s="37">
        <v>20.0</v>
      </c>
      <c r="C2616" s="37">
        <v>13.987482</v>
      </c>
      <c r="D2616" s="37">
        <v>-6.012518</v>
      </c>
    </row>
    <row r="2617" ht="14.25" customHeight="1">
      <c r="A2617" s="4" t="s">
        <v>5874</v>
      </c>
      <c r="B2617" s="37">
        <v>9.0</v>
      </c>
      <c r="C2617" s="37">
        <v>2.955039</v>
      </c>
      <c r="D2617" s="37">
        <v>-6.044961</v>
      </c>
    </row>
    <row r="2618" ht="14.25" customHeight="1">
      <c r="A2618" s="4" t="s">
        <v>5296</v>
      </c>
      <c r="B2618" s="37">
        <v>12.0</v>
      </c>
      <c r="C2618" s="37">
        <v>5.949693</v>
      </c>
      <c r="D2618" s="37">
        <v>-6.050307</v>
      </c>
    </row>
    <row r="2619" ht="14.25" customHeight="1">
      <c r="A2619" s="4" t="s">
        <v>1744</v>
      </c>
      <c r="B2619" s="37">
        <v>40.0</v>
      </c>
      <c r="C2619" s="37">
        <v>33.927476</v>
      </c>
      <c r="D2619" s="37">
        <v>-6.072524</v>
      </c>
    </row>
    <row r="2620" ht="14.25" customHeight="1">
      <c r="A2620" s="4" t="s">
        <v>5797</v>
      </c>
      <c r="B2620" s="37">
        <v>6.2</v>
      </c>
      <c r="C2620" s="37">
        <v>0.126247</v>
      </c>
      <c r="D2620" s="37">
        <v>-6.073753</v>
      </c>
    </row>
    <row r="2621" ht="14.25" customHeight="1">
      <c r="A2621" s="4" t="s">
        <v>5989</v>
      </c>
      <c r="B2621" s="37">
        <v>7.2</v>
      </c>
      <c r="C2621" s="37">
        <v>1.094798</v>
      </c>
      <c r="D2621" s="37">
        <v>-6.105202</v>
      </c>
    </row>
    <row r="2622" ht="14.25" customHeight="1">
      <c r="A2622" s="4" t="s">
        <v>2626</v>
      </c>
      <c r="B2622" s="37">
        <v>40.0</v>
      </c>
      <c r="C2622" s="37">
        <v>33.864342</v>
      </c>
      <c r="D2622" s="37">
        <v>-6.135658</v>
      </c>
    </row>
    <row r="2623" ht="14.25" customHeight="1">
      <c r="A2623" s="4" t="s">
        <v>3839</v>
      </c>
      <c r="B2623" s="37">
        <v>25.0</v>
      </c>
      <c r="C2623" s="37">
        <v>18.860403</v>
      </c>
      <c r="D2623" s="37">
        <v>-6.139597</v>
      </c>
    </row>
    <row r="2624" ht="14.25" customHeight="1">
      <c r="A2624" s="4" t="s">
        <v>4789</v>
      </c>
      <c r="B2624" s="37">
        <v>20.0</v>
      </c>
      <c r="C2624" s="37">
        <v>13.854</v>
      </c>
      <c r="D2624" s="37">
        <v>-6.146</v>
      </c>
    </row>
    <row r="2625" ht="14.25" customHeight="1">
      <c r="A2625" s="4" t="s">
        <v>5532</v>
      </c>
      <c r="B2625" s="37">
        <v>11.0</v>
      </c>
      <c r="C2625" s="37">
        <v>4.814244</v>
      </c>
      <c r="D2625" s="37">
        <v>-6.185756</v>
      </c>
    </row>
    <row r="2626" ht="14.25" customHeight="1">
      <c r="A2626" s="4" t="s">
        <v>4316</v>
      </c>
      <c r="B2626" s="37">
        <v>20.0</v>
      </c>
      <c r="C2626" s="37">
        <v>13.801755</v>
      </c>
      <c r="D2626" s="37">
        <v>-6.198245</v>
      </c>
    </row>
    <row r="2627" ht="14.25" customHeight="1">
      <c r="A2627" s="4" t="s">
        <v>5986</v>
      </c>
      <c r="B2627" s="37">
        <v>8.0</v>
      </c>
      <c r="C2627" s="37">
        <v>1.789892</v>
      </c>
      <c r="D2627" s="37">
        <v>-6.210108</v>
      </c>
    </row>
    <row r="2628" ht="14.25" customHeight="1">
      <c r="A2628" s="4" t="s">
        <v>1681</v>
      </c>
      <c r="B2628" s="37">
        <v>60.0</v>
      </c>
      <c r="C2628" s="37">
        <v>53.789313</v>
      </c>
      <c r="D2628" s="37">
        <v>-6.210687</v>
      </c>
    </row>
    <row r="2629" ht="14.25" customHeight="1">
      <c r="A2629" s="4" t="s">
        <v>879</v>
      </c>
      <c r="B2629" s="37">
        <v>95.0</v>
      </c>
      <c r="C2629" s="37">
        <v>88.76172</v>
      </c>
      <c r="D2629" s="37">
        <v>-6.23828</v>
      </c>
    </row>
    <row r="2630" ht="14.25" customHeight="1">
      <c r="A2630" s="4" t="s">
        <v>5002</v>
      </c>
      <c r="B2630" s="37">
        <v>15.0</v>
      </c>
      <c r="C2630" s="37">
        <v>8.735529</v>
      </c>
      <c r="D2630" s="37">
        <v>-6.264471</v>
      </c>
    </row>
    <row r="2631" ht="14.25" customHeight="1">
      <c r="A2631" s="4" t="s">
        <v>2975</v>
      </c>
      <c r="B2631" s="37">
        <v>35.0</v>
      </c>
      <c r="C2631" s="37">
        <v>28.687835</v>
      </c>
      <c r="D2631" s="37">
        <v>-6.312165</v>
      </c>
    </row>
    <row r="2632" ht="14.25" customHeight="1">
      <c r="A2632" s="4" t="s">
        <v>4348</v>
      </c>
      <c r="B2632" s="37">
        <v>20.0</v>
      </c>
      <c r="C2632" s="37">
        <v>13.650738</v>
      </c>
      <c r="D2632" s="37">
        <v>-6.349262</v>
      </c>
    </row>
    <row r="2633" ht="14.25" customHeight="1">
      <c r="A2633" s="4" t="s">
        <v>5758</v>
      </c>
      <c r="B2633" s="37">
        <v>8.0</v>
      </c>
      <c r="C2633" s="37">
        <v>1.641788</v>
      </c>
      <c r="D2633" s="37">
        <v>-6.358212</v>
      </c>
    </row>
    <row r="2634" ht="14.25" customHeight="1">
      <c r="A2634" s="4" t="s">
        <v>5439</v>
      </c>
      <c r="B2634" s="37">
        <v>9.2</v>
      </c>
      <c r="C2634" s="37">
        <v>2.835886</v>
      </c>
      <c r="D2634" s="37">
        <v>-6.364114</v>
      </c>
    </row>
    <row r="2635" ht="14.25" customHeight="1">
      <c r="A2635" s="4" t="s">
        <v>4322</v>
      </c>
      <c r="B2635" s="37">
        <v>20.0</v>
      </c>
      <c r="C2635" s="37">
        <v>13.630226</v>
      </c>
      <c r="D2635" s="37">
        <v>-6.369774</v>
      </c>
    </row>
    <row r="2636" ht="14.25" customHeight="1">
      <c r="A2636" s="4" t="s">
        <v>4601</v>
      </c>
      <c r="B2636" s="37">
        <v>13.0</v>
      </c>
      <c r="C2636" s="37">
        <v>6.615578</v>
      </c>
      <c r="D2636" s="37">
        <v>-6.384422</v>
      </c>
    </row>
    <row r="2637" ht="14.25" customHeight="1">
      <c r="A2637" s="4" t="s">
        <v>6187</v>
      </c>
      <c r="B2637" s="37">
        <v>6.5</v>
      </c>
      <c r="C2637" s="37">
        <v>0.110029</v>
      </c>
      <c r="D2637" s="37">
        <v>-6.389971</v>
      </c>
    </row>
    <row r="2638" ht="14.25" customHeight="1">
      <c r="A2638" s="4" t="s">
        <v>5846</v>
      </c>
      <c r="B2638" s="37">
        <v>10.0</v>
      </c>
      <c r="C2638" s="37">
        <v>3.571735</v>
      </c>
      <c r="D2638" s="37">
        <v>-6.428265</v>
      </c>
    </row>
    <row r="2639" ht="14.25" customHeight="1">
      <c r="A2639" s="4" t="s">
        <v>5818</v>
      </c>
      <c r="B2639" s="37">
        <v>6.5</v>
      </c>
      <c r="C2639" s="37">
        <v>0.070527</v>
      </c>
      <c r="D2639" s="37">
        <v>-6.429473</v>
      </c>
    </row>
    <row r="2640" ht="14.25" customHeight="1">
      <c r="A2640" s="4" t="s">
        <v>6217</v>
      </c>
      <c r="B2640" s="37">
        <v>6.5</v>
      </c>
      <c r="C2640" s="37">
        <v>0.066637</v>
      </c>
      <c r="D2640" s="37">
        <v>-6.433363</v>
      </c>
    </row>
    <row r="2641" ht="14.25" customHeight="1">
      <c r="A2641" s="4" t="s">
        <v>6215</v>
      </c>
      <c r="B2641" s="37">
        <v>6.5</v>
      </c>
      <c r="C2641" s="37">
        <v>0.064148</v>
      </c>
      <c r="D2641" s="37">
        <v>-6.435852</v>
      </c>
    </row>
    <row r="2642" ht="14.25" customHeight="1">
      <c r="A2642" s="4" t="s">
        <v>5166</v>
      </c>
      <c r="B2642" s="37">
        <v>13.5</v>
      </c>
      <c r="C2642" s="37">
        <v>7.060876</v>
      </c>
      <c r="D2642" s="37">
        <v>-6.439124</v>
      </c>
    </row>
    <row r="2643" ht="14.25" customHeight="1">
      <c r="A2643" s="4" t="s">
        <v>5417</v>
      </c>
      <c r="B2643" s="37">
        <v>12.0</v>
      </c>
      <c r="C2643" s="37">
        <v>5.542025</v>
      </c>
      <c r="D2643" s="37">
        <v>-6.457975</v>
      </c>
    </row>
    <row r="2644" ht="14.25" customHeight="1">
      <c r="A2644" s="4" t="s">
        <v>6155</v>
      </c>
      <c r="B2644" s="37">
        <v>7.0</v>
      </c>
      <c r="C2644" s="37">
        <v>0.532988</v>
      </c>
      <c r="D2644" s="37">
        <v>-6.467012</v>
      </c>
    </row>
    <row r="2645" ht="14.25" customHeight="1">
      <c r="A2645" s="4" t="s">
        <v>5049</v>
      </c>
      <c r="B2645" s="37">
        <v>7.0</v>
      </c>
      <c r="C2645" s="37">
        <v>0.529766</v>
      </c>
      <c r="D2645" s="37">
        <v>-6.470234</v>
      </c>
    </row>
    <row r="2646" ht="14.25" customHeight="1">
      <c r="A2646" s="4" t="s">
        <v>2627</v>
      </c>
      <c r="B2646" s="37">
        <v>40.0</v>
      </c>
      <c r="C2646" s="37">
        <v>33.508922</v>
      </c>
      <c r="D2646" s="37">
        <v>-6.491078</v>
      </c>
    </row>
    <row r="2647" ht="14.25" customHeight="1">
      <c r="A2647" s="4" t="s">
        <v>1250</v>
      </c>
      <c r="B2647" s="37">
        <v>75.0</v>
      </c>
      <c r="C2647" s="37">
        <v>68.47336</v>
      </c>
      <c r="D2647" s="37">
        <v>-6.52664</v>
      </c>
    </row>
    <row r="2648" ht="14.25" customHeight="1">
      <c r="A2648" s="4" t="s">
        <v>6158</v>
      </c>
      <c r="B2648" s="37">
        <v>7.0</v>
      </c>
      <c r="C2648" s="37">
        <v>0.453079</v>
      </c>
      <c r="D2648" s="37">
        <v>-6.546921</v>
      </c>
    </row>
    <row r="2649" ht="14.25" customHeight="1">
      <c r="A2649" s="4" t="s">
        <v>4326</v>
      </c>
      <c r="B2649" s="37">
        <v>20.0</v>
      </c>
      <c r="C2649" s="37">
        <v>13.391174</v>
      </c>
      <c r="D2649" s="37">
        <v>-6.608826</v>
      </c>
    </row>
    <row r="2650" ht="14.25" customHeight="1">
      <c r="A2650" s="4" t="s">
        <v>4323</v>
      </c>
      <c r="B2650" s="37">
        <v>20.0</v>
      </c>
      <c r="C2650" s="37">
        <v>13.383737</v>
      </c>
      <c r="D2650" s="37">
        <v>-6.616263</v>
      </c>
    </row>
    <row r="2651" ht="14.25" customHeight="1">
      <c r="A2651" s="4" t="s">
        <v>6151</v>
      </c>
      <c r="B2651" s="37">
        <v>7.0</v>
      </c>
      <c r="C2651" s="37">
        <v>0.382946</v>
      </c>
      <c r="D2651" s="37">
        <v>-6.617054</v>
      </c>
    </row>
    <row r="2652" ht="14.25" customHeight="1">
      <c r="A2652" s="4" t="s">
        <v>5005</v>
      </c>
      <c r="B2652" s="37">
        <v>15.0</v>
      </c>
      <c r="C2652" s="37">
        <v>8.378141</v>
      </c>
      <c r="D2652" s="37">
        <v>-6.621859</v>
      </c>
    </row>
    <row r="2653" ht="14.25" customHeight="1">
      <c r="A2653" s="4" t="s">
        <v>2325</v>
      </c>
      <c r="B2653" s="37">
        <v>45.0</v>
      </c>
      <c r="C2653" s="37">
        <v>38.360195</v>
      </c>
      <c r="D2653" s="37">
        <v>-6.639805</v>
      </c>
    </row>
    <row r="2654" ht="14.25" customHeight="1">
      <c r="A2654" s="4" t="s">
        <v>3452</v>
      </c>
      <c r="B2654" s="37">
        <v>29.0</v>
      </c>
      <c r="C2654" s="37">
        <v>22.359293</v>
      </c>
      <c r="D2654" s="37">
        <v>-6.640707</v>
      </c>
    </row>
    <row r="2655" ht="14.25" customHeight="1">
      <c r="A2655" s="4" t="s">
        <v>948</v>
      </c>
      <c r="B2655" s="37">
        <v>68.0</v>
      </c>
      <c r="C2655" s="37">
        <v>61.355436</v>
      </c>
      <c r="D2655" s="37">
        <v>-6.644564</v>
      </c>
    </row>
    <row r="2656" ht="14.25" customHeight="1">
      <c r="A2656" s="4" t="s">
        <v>4979</v>
      </c>
      <c r="B2656" s="37">
        <v>20.0</v>
      </c>
      <c r="C2656" s="37">
        <v>13.337299</v>
      </c>
      <c r="D2656" s="37">
        <v>-6.662701</v>
      </c>
    </row>
    <row r="2657" ht="14.25" customHeight="1">
      <c r="A2657" s="4" t="s">
        <v>5731</v>
      </c>
      <c r="B2657" s="37">
        <v>10.0</v>
      </c>
      <c r="C2657" s="37">
        <v>3.333823</v>
      </c>
      <c r="D2657" s="37">
        <v>-6.666177</v>
      </c>
    </row>
    <row r="2658" ht="14.25" customHeight="1">
      <c r="A2658" s="4" t="s">
        <v>6169</v>
      </c>
      <c r="B2658" s="37">
        <v>6.8</v>
      </c>
      <c r="C2658" s="37">
        <v>0.049526</v>
      </c>
      <c r="D2658" s="37">
        <v>-6.750474</v>
      </c>
    </row>
    <row r="2659" ht="14.25" customHeight="1">
      <c r="A2659" s="4" t="s">
        <v>5241</v>
      </c>
      <c r="B2659" s="37">
        <v>13.0</v>
      </c>
      <c r="C2659" s="37">
        <v>6.241697</v>
      </c>
      <c r="D2659" s="37">
        <v>-6.758303</v>
      </c>
    </row>
    <row r="2660" ht="14.25" customHeight="1">
      <c r="A2660" s="4" t="s">
        <v>6161</v>
      </c>
      <c r="B2660" s="37">
        <v>7.0</v>
      </c>
      <c r="C2660" s="37">
        <v>0.233103</v>
      </c>
      <c r="D2660" s="37">
        <v>-6.766897</v>
      </c>
    </row>
    <row r="2661" ht="14.25" customHeight="1">
      <c r="A2661" s="4" t="s">
        <v>5270</v>
      </c>
      <c r="B2661" s="37">
        <v>8.495</v>
      </c>
      <c r="C2661" s="37">
        <v>1.712111</v>
      </c>
      <c r="D2661" s="37">
        <v>-6.782889</v>
      </c>
    </row>
    <row r="2662" ht="14.25" customHeight="1">
      <c r="A2662" s="4" t="s">
        <v>1124</v>
      </c>
      <c r="B2662" s="37">
        <v>80.0</v>
      </c>
      <c r="C2662" s="37">
        <v>73.21531</v>
      </c>
      <c r="D2662" s="37">
        <v>-6.78469</v>
      </c>
    </row>
    <row r="2663" ht="14.25" customHeight="1">
      <c r="A2663" s="4" t="s">
        <v>4333</v>
      </c>
      <c r="B2663" s="37">
        <v>20.0</v>
      </c>
      <c r="C2663" s="37">
        <v>13.21403</v>
      </c>
      <c r="D2663" s="37">
        <v>-6.78597</v>
      </c>
    </row>
    <row r="2664" ht="14.25" customHeight="1">
      <c r="A2664" s="4" t="s">
        <v>6172</v>
      </c>
      <c r="B2664" s="37">
        <v>6.8</v>
      </c>
      <c r="C2664" s="37">
        <v>0.010696</v>
      </c>
      <c r="D2664" s="37">
        <v>-6.789304</v>
      </c>
    </row>
    <row r="2665" ht="14.25" customHeight="1">
      <c r="A2665" s="4" t="s">
        <v>3349</v>
      </c>
      <c r="B2665" s="37">
        <v>30.0</v>
      </c>
      <c r="C2665" s="37">
        <v>23.20944</v>
      </c>
      <c r="D2665" s="37">
        <v>-6.79056</v>
      </c>
    </row>
    <row r="2666" ht="14.25" customHeight="1">
      <c r="A2666" s="4" t="s">
        <v>5981</v>
      </c>
      <c r="B2666" s="37">
        <v>10.0</v>
      </c>
      <c r="C2666" s="37">
        <v>3.205244</v>
      </c>
      <c r="D2666" s="37">
        <v>-6.794756</v>
      </c>
    </row>
    <row r="2667" ht="14.25" customHeight="1">
      <c r="A2667" s="4" t="s">
        <v>6154</v>
      </c>
      <c r="B2667" s="37">
        <v>7.0</v>
      </c>
      <c r="C2667" s="37">
        <v>0.196067</v>
      </c>
      <c r="D2667" s="37">
        <v>-6.803933</v>
      </c>
    </row>
    <row r="2668" ht="14.25" customHeight="1">
      <c r="A2668" s="4" t="s">
        <v>3193</v>
      </c>
      <c r="B2668" s="37">
        <v>31.0</v>
      </c>
      <c r="C2668" s="37">
        <v>24.185781</v>
      </c>
      <c r="D2668" s="37">
        <v>-6.814219</v>
      </c>
    </row>
    <row r="2669" ht="14.25" customHeight="1">
      <c r="A2669" s="4" t="s">
        <v>5000</v>
      </c>
      <c r="B2669" s="37">
        <v>16.0</v>
      </c>
      <c r="C2669" s="37">
        <v>9.17281</v>
      </c>
      <c r="D2669" s="37">
        <v>-6.82719</v>
      </c>
    </row>
    <row r="2670" ht="14.25" customHeight="1">
      <c r="A2670" s="4" t="s">
        <v>3998</v>
      </c>
      <c r="B2670" s="37">
        <v>23.0</v>
      </c>
      <c r="C2670" s="37">
        <v>16.123851</v>
      </c>
      <c r="D2670" s="37">
        <v>-6.876149</v>
      </c>
    </row>
    <row r="2671" ht="14.25" customHeight="1">
      <c r="A2671" s="4" t="s">
        <v>2876</v>
      </c>
      <c r="B2671" s="37">
        <v>37.0</v>
      </c>
      <c r="C2671" s="37">
        <v>30.105968</v>
      </c>
      <c r="D2671" s="37">
        <v>-6.894032</v>
      </c>
    </row>
    <row r="2672" ht="14.25" customHeight="1">
      <c r="A2672" s="4" t="s">
        <v>5007</v>
      </c>
      <c r="B2672" s="37">
        <v>15.0</v>
      </c>
      <c r="C2672" s="37">
        <v>8.080116</v>
      </c>
      <c r="D2672" s="37">
        <v>-6.919884</v>
      </c>
    </row>
    <row r="2673" ht="14.25" customHeight="1">
      <c r="A2673" s="4" t="s">
        <v>5990</v>
      </c>
      <c r="B2673" s="37">
        <v>8.0</v>
      </c>
      <c r="C2673" s="37">
        <v>1.07124</v>
      </c>
      <c r="D2673" s="37">
        <v>-6.92876</v>
      </c>
    </row>
    <row r="2674" ht="14.25" customHeight="1">
      <c r="A2674" s="4" t="s">
        <v>3356</v>
      </c>
      <c r="B2674" s="37">
        <v>30.0</v>
      </c>
      <c r="C2674" s="37">
        <v>23.070045</v>
      </c>
      <c r="D2674" s="37">
        <v>-6.929955</v>
      </c>
    </row>
    <row r="2675" ht="14.25" customHeight="1">
      <c r="A2675" s="4" t="s">
        <v>2996</v>
      </c>
      <c r="B2675" s="37">
        <v>35.0</v>
      </c>
      <c r="C2675" s="37">
        <v>28.064226</v>
      </c>
      <c r="D2675" s="37">
        <v>-6.935774</v>
      </c>
    </row>
    <row r="2676" ht="14.25" customHeight="1">
      <c r="A2676" s="4" t="s">
        <v>5742</v>
      </c>
      <c r="B2676" s="37">
        <v>10.0</v>
      </c>
      <c r="C2676" s="37">
        <v>3.060858</v>
      </c>
      <c r="D2676" s="37">
        <v>-6.939142</v>
      </c>
    </row>
    <row r="2677" ht="14.25" customHeight="1">
      <c r="A2677" s="4" t="s">
        <v>6160</v>
      </c>
      <c r="B2677" s="37">
        <v>7.0</v>
      </c>
      <c r="C2677" s="37">
        <v>0.046451</v>
      </c>
      <c r="D2677" s="37">
        <v>-6.953549</v>
      </c>
    </row>
    <row r="2678" ht="14.25" customHeight="1">
      <c r="A2678" s="4" t="s">
        <v>5739</v>
      </c>
      <c r="B2678" s="37">
        <v>10.0</v>
      </c>
      <c r="C2678" s="37">
        <v>3.041803</v>
      </c>
      <c r="D2678" s="37">
        <v>-6.958197</v>
      </c>
    </row>
    <row r="2679" ht="14.25" customHeight="1">
      <c r="A2679" s="4" t="s">
        <v>1674</v>
      </c>
      <c r="B2679" s="37">
        <v>66.0</v>
      </c>
      <c r="C2679" s="37">
        <v>59.035104</v>
      </c>
      <c r="D2679" s="37">
        <v>-6.964896</v>
      </c>
    </row>
    <row r="2680" ht="14.25" customHeight="1">
      <c r="A2680" s="4" t="s">
        <v>5419</v>
      </c>
      <c r="B2680" s="37">
        <v>12.0</v>
      </c>
      <c r="C2680" s="37">
        <v>5.032496</v>
      </c>
      <c r="D2680" s="37">
        <v>-6.967504</v>
      </c>
    </row>
    <row r="2681" ht="14.25" customHeight="1">
      <c r="A2681" s="4" t="s">
        <v>5558</v>
      </c>
      <c r="B2681" s="37">
        <v>7.0</v>
      </c>
      <c r="C2681" s="37">
        <v>0.023838</v>
      </c>
      <c r="D2681" s="37">
        <v>-6.976162</v>
      </c>
    </row>
    <row r="2682" ht="14.25" customHeight="1">
      <c r="A2682" s="4" t="s">
        <v>744</v>
      </c>
      <c r="B2682" s="37">
        <v>92.0</v>
      </c>
      <c r="C2682" s="37">
        <v>85.017401</v>
      </c>
      <c r="D2682" s="37">
        <v>-6.9825990000000004</v>
      </c>
    </row>
    <row r="2683" ht="14.25" customHeight="1">
      <c r="A2683" s="4" t="s">
        <v>2336</v>
      </c>
      <c r="B2683" s="37">
        <v>35.0</v>
      </c>
      <c r="C2683" s="37">
        <v>27.97241</v>
      </c>
      <c r="D2683" s="37">
        <v>-7.02759</v>
      </c>
    </row>
    <row r="2684" ht="14.25" customHeight="1">
      <c r="A2684" s="4" t="s">
        <v>3934</v>
      </c>
      <c r="B2684" s="37">
        <v>24.0</v>
      </c>
      <c r="C2684" s="37">
        <v>16.964743</v>
      </c>
      <c r="D2684" s="37">
        <v>-7.035257</v>
      </c>
    </row>
    <row r="2685" ht="14.25" customHeight="1">
      <c r="A2685" s="4" t="s">
        <v>5423</v>
      </c>
      <c r="B2685" s="37">
        <v>12.0</v>
      </c>
      <c r="C2685" s="37">
        <v>4.922166</v>
      </c>
      <c r="D2685" s="37">
        <v>-7.077834</v>
      </c>
    </row>
    <row r="2686" ht="14.25" customHeight="1">
      <c r="A2686" s="4" t="s">
        <v>5424</v>
      </c>
      <c r="B2686" s="37">
        <v>12.0</v>
      </c>
      <c r="C2686" s="37">
        <v>4.903</v>
      </c>
      <c r="D2686" s="37">
        <v>-7.097</v>
      </c>
    </row>
    <row r="2687" ht="14.25" customHeight="1">
      <c r="A2687" s="4" t="s">
        <v>5512</v>
      </c>
      <c r="B2687" s="37">
        <v>12.0</v>
      </c>
      <c r="C2687" s="37">
        <v>4.884663</v>
      </c>
      <c r="D2687" s="37">
        <v>-7.115337</v>
      </c>
    </row>
    <row r="2688" ht="14.25" customHeight="1">
      <c r="A2688" s="4" t="s">
        <v>5827</v>
      </c>
      <c r="B2688" s="37">
        <v>9.6</v>
      </c>
      <c r="C2688" s="37">
        <v>2.483955</v>
      </c>
      <c r="D2688" s="37">
        <v>-7.116045</v>
      </c>
    </row>
    <row r="2689" ht="14.25" customHeight="1">
      <c r="A2689" s="4" t="s">
        <v>5243</v>
      </c>
      <c r="B2689" s="37">
        <v>13.0</v>
      </c>
      <c r="C2689" s="37">
        <v>5.871603</v>
      </c>
      <c r="D2689" s="37">
        <v>-7.128397</v>
      </c>
    </row>
    <row r="2690" ht="14.25" customHeight="1">
      <c r="A2690" s="4" t="s">
        <v>2630</v>
      </c>
      <c r="B2690" s="37">
        <v>40.0</v>
      </c>
      <c r="C2690" s="37">
        <v>32.85364</v>
      </c>
      <c r="D2690" s="37">
        <v>-7.14636</v>
      </c>
    </row>
    <row r="2691" ht="14.25" customHeight="1">
      <c r="A2691" s="4" t="s">
        <v>2141</v>
      </c>
      <c r="B2691" s="37">
        <v>40.0</v>
      </c>
      <c r="C2691" s="37">
        <v>32.8</v>
      </c>
      <c r="D2691" s="37">
        <v>-7.2</v>
      </c>
    </row>
    <row r="2692" ht="14.25" customHeight="1">
      <c r="A2692" s="4" t="s">
        <v>3803</v>
      </c>
      <c r="B2692" s="37">
        <v>25.0</v>
      </c>
      <c r="C2692" s="37">
        <v>17.791031</v>
      </c>
      <c r="D2692" s="37">
        <v>-7.208969</v>
      </c>
    </row>
    <row r="2693" ht="14.25" customHeight="1">
      <c r="A2693" s="4" t="s">
        <v>3790</v>
      </c>
      <c r="B2693" s="37">
        <v>23.0</v>
      </c>
      <c r="C2693" s="37">
        <v>15.785632</v>
      </c>
      <c r="D2693" s="37">
        <v>-7.214368</v>
      </c>
    </row>
    <row r="2694" ht="14.25" customHeight="1">
      <c r="A2694" s="4" t="s">
        <v>3790</v>
      </c>
      <c r="B2694" s="37">
        <v>23.0</v>
      </c>
      <c r="C2694" s="37">
        <v>15.785632</v>
      </c>
      <c r="D2694" s="37">
        <v>-7.214368</v>
      </c>
    </row>
    <row r="2695" ht="14.25" customHeight="1">
      <c r="A2695" s="4" t="s">
        <v>6026</v>
      </c>
      <c r="B2695" s="37">
        <v>7.9</v>
      </c>
      <c r="C2695" s="37">
        <v>0.67124</v>
      </c>
      <c r="D2695" s="37">
        <v>-7.22876</v>
      </c>
    </row>
    <row r="2696" ht="14.25" customHeight="1">
      <c r="A2696" s="4" t="s">
        <v>5010</v>
      </c>
      <c r="B2696" s="37">
        <v>15.0</v>
      </c>
      <c r="C2696" s="37">
        <v>7.75713</v>
      </c>
      <c r="D2696" s="37">
        <v>-7.24287</v>
      </c>
    </row>
    <row r="2697" ht="14.25" customHeight="1">
      <c r="A2697" s="4" t="s">
        <v>5536</v>
      </c>
      <c r="B2697" s="37">
        <v>11.0</v>
      </c>
      <c r="C2697" s="37">
        <v>3.753806</v>
      </c>
      <c r="D2697" s="37">
        <v>-7.246194</v>
      </c>
    </row>
    <row r="2698" ht="14.25" customHeight="1">
      <c r="A2698" s="4" t="s">
        <v>3805</v>
      </c>
      <c r="B2698" s="37">
        <v>25.0</v>
      </c>
      <c r="C2698" s="37">
        <v>17.718223</v>
      </c>
      <c r="D2698" s="37">
        <v>-7.281777</v>
      </c>
    </row>
    <row r="2699" ht="14.25" customHeight="1">
      <c r="A2699" s="4" t="s">
        <v>5426</v>
      </c>
      <c r="B2699" s="37">
        <v>12.0</v>
      </c>
      <c r="C2699" s="37">
        <v>4.717455</v>
      </c>
      <c r="D2699" s="37">
        <v>-7.282545</v>
      </c>
    </row>
    <row r="2700" ht="14.25" customHeight="1">
      <c r="A2700" s="4" t="s">
        <v>6056</v>
      </c>
      <c r="B2700" s="37">
        <v>7.5</v>
      </c>
      <c r="C2700" s="37">
        <v>0.197148</v>
      </c>
      <c r="D2700" s="37">
        <v>-7.302852</v>
      </c>
    </row>
    <row r="2701" ht="14.25" customHeight="1">
      <c r="A2701" s="4" t="s">
        <v>1326</v>
      </c>
      <c r="B2701" s="37">
        <v>70.0</v>
      </c>
      <c r="C2701" s="37">
        <v>62.64754</v>
      </c>
      <c r="D2701" s="37">
        <v>-7.35246</v>
      </c>
    </row>
    <row r="2702" ht="14.25" customHeight="1">
      <c r="A2702" s="4" t="s">
        <v>4344</v>
      </c>
      <c r="B2702" s="37">
        <v>20.0</v>
      </c>
      <c r="C2702" s="37">
        <v>12.626905</v>
      </c>
      <c r="D2702" s="37">
        <v>-7.373095</v>
      </c>
    </row>
    <row r="2703" ht="14.25" customHeight="1">
      <c r="A2703" s="4" t="s">
        <v>647</v>
      </c>
      <c r="B2703" s="37">
        <v>110.0</v>
      </c>
      <c r="C2703" s="37">
        <v>102.608827</v>
      </c>
      <c r="D2703" s="37">
        <v>-7.391173</v>
      </c>
    </row>
    <row r="2704" ht="14.25" customHeight="1">
      <c r="A2704" s="4" t="s">
        <v>5999</v>
      </c>
      <c r="B2704" s="37">
        <v>8.0</v>
      </c>
      <c r="C2704" s="37">
        <v>0.568695</v>
      </c>
      <c r="D2704" s="37">
        <v>-7.431305</v>
      </c>
    </row>
    <row r="2705" ht="14.25" customHeight="1">
      <c r="A2705" s="4" t="s">
        <v>5017</v>
      </c>
      <c r="B2705" s="37">
        <v>15.0</v>
      </c>
      <c r="C2705" s="37">
        <v>7.556708</v>
      </c>
      <c r="D2705" s="37">
        <v>-7.443292</v>
      </c>
    </row>
    <row r="2706" ht="14.25" customHeight="1">
      <c r="A2706" s="4" t="s">
        <v>5992</v>
      </c>
      <c r="B2706" s="37">
        <v>8.0</v>
      </c>
      <c r="C2706" s="37">
        <v>0.53219</v>
      </c>
      <c r="D2706" s="37">
        <v>-7.46781</v>
      </c>
    </row>
    <row r="2707" ht="14.25" customHeight="1">
      <c r="A2707" s="4" t="s">
        <v>5875</v>
      </c>
      <c r="B2707" s="37">
        <v>9.0</v>
      </c>
      <c r="C2707" s="37">
        <v>1.530535</v>
      </c>
      <c r="D2707" s="37">
        <v>-7.469465</v>
      </c>
    </row>
    <row r="2708" ht="14.25" customHeight="1">
      <c r="A2708" s="4" t="s">
        <v>3353</v>
      </c>
      <c r="B2708" s="37">
        <v>30.0</v>
      </c>
      <c r="C2708" s="37">
        <v>22.526144</v>
      </c>
      <c r="D2708" s="37">
        <v>-7.473856</v>
      </c>
    </row>
    <row r="2709" ht="14.25" customHeight="1">
      <c r="A2709" s="4" t="s">
        <v>3169</v>
      </c>
      <c r="B2709" s="37">
        <v>30.0</v>
      </c>
      <c r="C2709" s="37">
        <v>22.525921</v>
      </c>
      <c r="D2709" s="37">
        <v>-7.474079</v>
      </c>
    </row>
    <row r="2710" ht="14.25" customHeight="1">
      <c r="A2710" s="4" t="s">
        <v>940</v>
      </c>
      <c r="B2710" s="37">
        <v>80.0</v>
      </c>
      <c r="C2710" s="37">
        <v>72.51536</v>
      </c>
      <c r="D2710" s="37">
        <v>-7.48464</v>
      </c>
    </row>
    <row r="2711" ht="14.25" customHeight="1">
      <c r="A2711" s="4" t="s">
        <v>452</v>
      </c>
      <c r="B2711" s="37">
        <v>130.0</v>
      </c>
      <c r="C2711" s="37">
        <v>122.512052</v>
      </c>
      <c r="D2711" s="37">
        <v>-7.487948</v>
      </c>
    </row>
    <row r="2712" ht="14.25" customHeight="1">
      <c r="A2712" s="4" t="s">
        <v>4586</v>
      </c>
      <c r="B2712" s="37">
        <v>18.0</v>
      </c>
      <c r="C2712" s="37">
        <v>10.494494</v>
      </c>
      <c r="D2712" s="37">
        <v>-7.505506</v>
      </c>
    </row>
    <row r="2713" ht="14.25" customHeight="1">
      <c r="A2713" s="4" t="s">
        <v>4100</v>
      </c>
      <c r="B2713" s="37">
        <v>17.0</v>
      </c>
      <c r="C2713" s="37">
        <v>9.430988</v>
      </c>
      <c r="D2713" s="37">
        <v>-7.569012</v>
      </c>
    </row>
    <row r="2714" ht="14.25" customHeight="1">
      <c r="A2714" s="4" t="s">
        <v>4331</v>
      </c>
      <c r="B2714" s="37">
        <v>20.0</v>
      </c>
      <c r="C2714" s="37">
        <v>12.398628</v>
      </c>
      <c r="D2714" s="37">
        <v>-7.601372</v>
      </c>
    </row>
    <row r="2715" ht="14.25" customHeight="1">
      <c r="A2715" s="4" t="s">
        <v>6001</v>
      </c>
      <c r="B2715" s="37">
        <v>8.0</v>
      </c>
      <c r="C2715" s="37">
        <v>0.39842</v>
      </c>
      <c r="D2715" s="37">
        <v>-7.60158</v>
      </c>
    </row>
    <row r="2716" ht="14.25" customHeight="1">
      <c r="A2716" s="4" t="s">
        <v>6004</v>
      </c>
      <c r="B2716" s="37">
        <v>8.0</v>
      </c>
      <c r="C2716" s="37">
        <v>0.336456</v>
      </c>
      <c r="D2716" s="37">
        <v>-7.663544</v>
      </c>
    </row>
    <row r="2717" ht="14.25" customHeight="1">
      <c r="A2717" s="4" t="s">
        <v>5746</v>
      </c>
      <c r="B2717" s="37">
        <v>10.0</v>
      </c>
      <c r="C2717" s="37">
        <v>2.331318</v>
      </c>
      <c r="D2717" s="37">
        <v>-7.668682</v>
      </c>
    </row>
    <row r="2718" ht="14.25" customHeight="1">
      <c r="A2718" s="4" t="s">
        <v>1412</v>
      </c>
      <c r="B2718" s="37">
        <v>70.0</v>
      </c>
      <c r="C2718" s="37">
        <v>62.321039</v>
      </c>
      <c r="D2718" s="37">
        <v>-7.678961</v>
      </c>
    </row>
    <row r="2719" ht="14.25" customHeight="1">
      <c r="A2719" s="4" t="s">
        <v>5459</v>
      </c>
      <c r="B2719" s="37">
        <v>8.0</v>
      </c>
      <c r="C2719" s="37">
        <v>0.303439</v>
      </c>
      <c r="D2719" s="37">
        <v>-7.696561</v>
      </c>
    </row>
    <row r="2720" ht="14.25" customHeight="1">
      <c r="A2720" s="4" t="s">
        <v>6007</v>
      </c>
      <c r="B2720" s="37">
        <v>8.0</v>
      </c>
      <c r="C2720" s="37">
        <v>0.29811</v>
      </c>
      <c r="D2720" s="37">
        <v>-7.70189</v>
      </c>
    </row>
    <row r="2721" ht="14.25" customHeight="1">
      <c r="A2721" s="4" t="s">
        <v>3936</v>
      </c>
      <c r="B2721" s="37">
        <v>24.0</v>
      </c>
      <c r="C2721" s="37">
        <v>16.290976</v>
      </c>
      <c r="D2721" s="37">
        <v>-7.709024</v>
      </c>
    </row>
    <row r="2722" ht="14.25" customHeight="1">
      <c r="A2722" s="4" t="s">
        <v>3871</v>
      </c>
      <c r="B2722" s="37">
        <v>17.0</v>
      </c>
      <c r="C2722" s="37">
        <v>9.286314</v>
      </c>
      <c r="D2722" s="37">
        <v>-7.713686</v>
      </c>
    </row>
    <row r="2723" ht="14.25" customHeight="1">
      <c r="A2723" s="4" t="s">
        <v>3545</v>
      </c>
      <c r="B2723" s="37">
        <v>28.0</v>
      </c>
      <c r="C2723" s="37">
        <v>20.285518</v>
      </c>
      <c r="D2723" s="37">
        <v>-7.714482</v>
      </c>
    </row>
    <row r="2724" ht="14.25" customHeight="1">
      <c r="A2724" s="4" t="s">
        <v>4832</v>
      </c>
      <c r="B2724" s="37">
        <v>15.5</v>
      </c>
      <c r="C2724" s="37">
        <v>7.77473</v>
      </c>
      <c r="D2724" s="37">
        <v>-7.72527</v>
      </c>
    </row>
    <row r="2725" ht="14.25" customHeight="1">
      <c r="A2725" s="4" t="s">
        <v>4044</v>
      </c>
      <c r="B2725" s="37">
        <v>22.0</v>
      </c>
      <c r="C2725" s="37">
        <v>14.25283</v>
      </c>
      <c r="D2725" s="37">
        <v>-7.74717</v>
      </c>
    </row>
    <row r="2726" ht="14.25" customHeight="1">
      <c r="A2726" s="4" t="s">
        <v>5031</v>
      </c>
      <c r="B2726" s="37">
        <v>15.0</v>
      </c>
      <c r="C2726" s="37">
        <v>7.219578</v>
      </c>
      <c r="D2726" s="37">
        <v>-7.780422</v>
      </c>
    </row>
    <row r="2727" ht="14.25" customHeight="1">
      <c r="A2727" s="4" t="s">
        <v>1975</v>
      </c>
      <c r="B2727" s="37">
        <v>53.0</v>
      </c>
      <c r="C2727" s="37">
        <v>45.207112</v>
      </c>
      <c r="D2727" s="37">
        <v>-7.792888</v>
      </c>
    </row>
    <row r="2728" ht="14.25" customHeight="1">
      <c r="A2728" s="4" t="s">
        <v>5748</v>
      </c>
      <c r="B2728" s="37">
        <v>10.0</v>
      </c>
      <c r="C2728" s="37">
        <v>2.185266</v>
      </c>
      <c r="D2728" s="37">
        <v>-7.814734</v>
      </c>
    </row>
    <row r="2729" ht="14.25" customHeight="1">
      <c r="A2729" s="4" t="s">
        <v>4337</v>
      </c>
      <c r="B2729" s="37">
        <v>20.0</v>
      </c>
      <c r="C2729" s="37">
        <v>12.13442</v>
      </c>
      <c r="D2729" s="37">
        <v>-7.86558</v>
      </c>
    </row>
    <row r="2730" ht="14.25" customHeight="1">
      <c r="A2730" s="4" t="s">
        <v>6009</v>
      </c>
      <c r="B2730" s="37">
        <v>8.0</v>
      </c>
      <c r="C2730" s="37">
        <v>0.127144</v>
      </c>
      <c r="D2730" s="37">
        <v>-7.872856</v>
      </c>
    </row>
    <row r="2731" ht="14.25" customHeight="1">
      <c r="A2731" s="4" t="s">
        <v>6011</v>
      </c>
      <c r="B2731" s="37">
        <v>8.0</v>
      </c>
      <c r="C2731" s="37">
        <v>0.11719</v>
      </c>
      <c r="D2731" s="37">
        <v>-7.88281</v>
      </c>
    </row>
    <row r="2732" ht="14.25" customHeight="1">
      <c r="A2732" s="4" t="s">
        <v>2171</v>
      </c>
      <c r="B2732" s="37">
        <v>25.0</v>
      </c>
      <c r="C2732" s="37">
        <v>17.114882</v>
      </c>
      <c r="D2732" s="37">
        <v>-7.885118</v>
      </c>
    </row>
    <row r="2733" ht="14.25" customHeight="1">
      <c r="A2733" s="4" t="s">
        <v>6013</v>
      </c>
      <c r="B2733" s="37">
        <v>8.0</v>
      </c>
      <c r="C2733" s="37">
        <v>0.108662</v>
      </c>
      <c r="D2733" s="37">
        <v>-7.891338</v>
      </c>
    </row>
    <row r="2734" ht="14.25" customHeight="1">
      <c r="A2734" s="4" t="s">
        <v>5807</v>
      </c>
      <c r="B2734" s="37">
        <v>8.0</v>
      </c>
      <c r="C2734" s="37">
        <v>0.100503</v>
      </c>
      <c r="D2734" s="37">
        <v>-7.899497</v>
      </c>
    </row>
    <row r="2735" ht="14.25" customHeight="1">
      <c r="A2735" s="4" t="s">
        <v>3371</v>
      </c>
      <c r="B2735" s="37">
        <v>25.0</v>
      </c>
      <c r="C2735" s="37">
        <v>17.1</v>
      </c>
      <c r="D2735" s="37">
        <v>-7.9</v>
      </c>
    </row>
    <row r="2736" ht="14.25" customHeight="1">
      <c r="A2736" s="4" t="s">
        <v>5170</v>
      </c>
      <c r="B2736" s="37">
        <v>10.0</v>
      </c>
      <c r="C2736" s="37">
        <v>2.086345</v>
      </c>
      <c r="D2736" s="37">
        <v>-7.913655</v>
      </c>
    </row>
    <row r="2737" ht="14.25" customHeight="1">
      <c r="A2737" s="4" t="s">
        <v>5259</v>
      </c>
      <c r="B2737" s="37">
        <v>11.0</v>
      </c>
      <c r="C2737" s="37">
        <v>3.074838</v>
      </c>
      <c r="D2737" s="37">
        <v>-7.925162</v>
      </c>
    </row>
    <row r="2738" ht="14.25" customHeight="1">
      <c r="A2738" s="4" t="s">
        <v>4499</v>
      </c>
      <c r="B2738" s="37">
        <v>18.5</v>
      </c>
      <c r="C2738" s="37">
        <v>10.562387</v>
      </c>
      <c r="D2738" s="37">
        <v>-7.937613</v>
      </c>
    </row>
    <row r="2739" ht="14.25" customHeight="1">
      <c r="A2739" s="4" t="s">
        <v>6015</v>
      </c>
      <c r="B2739" s="37">
        <v>8.0</v>
      </c>
      <c r="C2739" s="37">
        <v>0.053481</v>
      </c>
      <c r="D2739" s="37">
        <v>-7.946519</v>
      </c>
    </row>
    <row r="2740" ht="14.25" customHeight="1">
      <c r="A2740" s="4" t="s">
        <v>6020</v>
      </c>
      <c r="B2740" s="37">
        <v>8.0</v>
      </c>
      <c r="C2740" s="37">
        <v>0.052961</v>
      </c>
      <c r="D2740" s="37">
        <v>-7.947039</v>
      </c>
    </row>
    <row r="2741" ht="14.25" customHeight="1">
      <c r="A2741" s="4" t="s">
        <v>5894</v>
      </c>
      <c r="B2741" s="37">
        <v>9.0</v>
      </c>
      <c r="C2741" s="37">
        <v>1.046166</v>
      </c>
      <c r="D2741" s="37">
        <v>-7.953834</v>
      </c>
    </row>
    <row r="2742" ht="14.25" customHeight="1">
      <c r="A2742" s="4" t="s">
        <v>5538</v>
      </c>
      <c r="B2742" s="37">
        <v>11.0</v>
      </c>
      <c r="C2742" s="37">
        <v>3.034181</v>
      </c>
      <c r="D2742" s="37">
        <v>-7.965819</v>
      </c>
    </row>
    <row r="2743" ht="14.25" customHeight="1">
      <c r="A2743" s="4" t="s">
        <v>5915</v>
      </c>
      <c r="B2743" s="37">
        <v>12.0</v>
      </c>
      <c r="C2743" s="37">
        <v>4.018695</v>
      </c>
      <c r="D2743" s="37">
        <v>-7.981305</v>
      </c>
    </row>
    <row r="2744" ht="14.25" customHeight="1">
      <c r="A2744" s="4" t="s">
        <v>5248</v>
      </c>
      <c r="B2744" s="37">
        <v>13.0</v>
      </c>
      <c r="C2744" s="37">
        <v>5.00231</v>
      </c>
      <c r="D2744" s="37">
        <v>-7.99769</v>
      </c>
    </row>
    <row r="2745" ht="14.25" customHeight="1">
      <c r="A2745" s="4" t="s">
        <v>5168</v>
      </c>
      <c r="B2745" s="37">
        <v>13.5</v>
      </c>
      <c r="C2745" s="37">
        <v>5.50194</v>
      </c>
      <c r="D2745" s="37">
        <v>-7.99806</v>
      </c>
    </row>
    <row r="2746" ht="14.25" customHeight="1">
      <c r="A2746" s="4" t="s">
        <v>6144</v>
      </c>
      <c r="B2746" s="37">
        <v>9.0</v>
      </c>
      <c r="C2746" s="37">
        <v>1.0</v>
      </c>
      <c r="D2746" s="37">
        <v>-8.0</v>
      </c>
    </row>
    <row r="2747" ht="14.25" customHeight="1">
      <c r="A2747" s="4" t="s">
        <v>3903</v>
      </c>
      <c r="B2747" s="37">
        <v>25.0</v>
      </c>
      <c r="C2747" s="37">
        <v>16.96939</v>
      </c>
      <c r="D2747" s="37">
        <v>-8.03061</v>
      </c>
    </row>
    <row r="2748" ht="14.25" customHeight="1">
      <c r="A2748" s="4" t="s">
        <v>5436</v>
      </c>
      <c r="B2748" s="37">
        <v>12.0</v>
      </c>
      <c r="C2748" s="37">
        <v>3.950294</v>
      </c>
      <c r="D2748" s="37">
        <v>-8.049706</v>
      </c>
    </row>
    <row r="2749" ht="14.25" customHeight="1">
      <c r="A2749" s="4" t="s">
        <v>5762</v>
      </c>
      <c r="B2749" s="37">
        <v>10.0</v>
      </c>
      <c r="C2749" s="37">
        <v>1.939441</v>
      </c>
      <c r="D2749" s="37">
        <v>-8.060559</v>
      </c>
    </row>
    <row r="2750" ht="14.25" customHeight="1">
      <c r="A2750" s="4" t="s">
        <v>462</v>
      </c>
      <c r="B2750" s="37">
        <v>135.0</v>
      </c>
      <c r="C2750" s="37">
        <v>126.93066</v>
      </c>
      <c r="D2750" s="37">
        <v>-8.06934</v>
      </c>
    </row>
    <row r="2751" ht="14.25" customHeight="1">
      <c r="A2751" s="4" t="s">
        <v>5250</v>
      </c>
      <c r="B2751" s="37">
        <v>13.0</v>
      </c>
      <c r="C2751" s="37">
        <v>4.919896</v>
      </c>
      <c r="D2751" s="37">
        <v>-8.080104</v>
      </c>
    </row>
    <row r="2752" ht="14.25" customHeight="1">
      <c r="A2752" s="4" t="s">
        <v>829</v>
      </c>
      <c r="B2752" s="37">
        <v>95.0</v>
      </c>
      <c r="C2752" s="37">
        <v>86.897182</v>
      </c>
      <c r="D2752" s="37">
        <v>-8.102818</v>
      </c>
    </row>
    <row r="2753" ht="14.25" customHeight="1">
      <c r="A2753" s="4" t="s">
        <v>5886</v>
      </c>
      <c r="B2753" s="37">
        <v>9.0</v>
      </c>
      <c r="C2753" s="37">
        <v>0.883887</v>
      </c>
      <c r="D2753" s="37">
        <v>-8.116113</v>
      </c>
    </row>
    <row r="2754" ht="14.25" customHeight="1">
      <c r="A2754" s="4" t="s">
        <v>1832</v>
      </c>
      <c r="B2754" s="37">
        <v>58.0</v>
      </c>
      <c r="C2754" s="37">
        <v>49.875589</v>
      </c>
      <c r="D2754" s="37">
        <v>-8.124411</v>
      </c>
    </row>
    <row r="2755" ht="14.25" customHeight="1">
      <c r="A2755" s="4" t="s">
        <v>5254</v>
      </c>
      <c r="B2755" s="37">
        <v>13.0</v>
      </c>
      <c r="C2755" s="37">
        <v>4.857376</v>
      </c>
      <c r="D2755" s="37">
        <v>-8.142624</v>
      </c>
    </row>
    <row r="2756" ht="14.25" customHeight="1">
      <c r="A2756" s="4" t="s">
        <v>2637</v>
      </c>
      <c r="B2756" s="37">
        <v>40.0</v>
      </c>
      <c r="C2756" s="37">
        <v>31.836745</v>
      </c>
      <c r="D2756" s="37">
        <v>-8.163255</v>
      </c>
    </row>
    <row r="2757" ht="14.25" customHeight="1">
      <c r="A2757" s="4" t="s">
        <v>3787</v>
      </c>
      <c r="B2757" s="37">
        <v>30.0</v>
      </c>
      <c r="C2757" s="37">
        <v>21.835784</v>
      </c>
      <c r="D2757" s="37">
        <v>-8.164216</v>
      </c>
    </row>
    <row r="2758" ht="14.25" customHeight="1">
      <c r="A2758" s="4" t="s">
        <v>5539</v>
      </c>
      <c r="B2758" s="37">
        <v>11.0</v>
      </c>
      <c r="C2758" s="37">
        <v>2.832826</v>
      </c>
      <c r="D2758" s="37">
        <v>-8.167174</v>
      </c>
    </row>
    <row r="2759" ht="14.25" customHeight="1">
      <c r="A2759" s="4" t="s">
        <v>2654</v>
      </c>
      <c r="B2759" s="37">
        <v>35.0</v>
      </c>
      <c r="C2759" s="37">
        <v>26.814957</v>
      </c>
      <c r="D2759" s="37">
        <v>-8.185043</v>
      </c>
    </row>
    <row r="2760" ht="14.25" customHeight="1">
      <c r="A2760" s="4" t="s">
        <v>1240</v>
      </c>
      <c r="B2760" s="37">
        <v>50.0</v>
      </c>
      <c r="C2760" s="37">
        <v>41.814863</v>
      </c>
      <c r="D2760" s="37">
        <v>-8.185137</v>
      </c>
    </row>
    <row r="2761" ht="14.25" customHeight="1">
      <c r="A2761" s="4" t="s">
        <v>5543</v>
      </c>
      <c r="B2761" s="37">
        <v>11.0</v>
      </c>
      <c r="C2761" s="37">
        <v>2.807854</v>
      </c>
      <c r="D2761" s="37">
        <v>-8.192146</v>
      </c>
    </row>
    <row r="2762" ht="14.25" customHeight="1">
      <c r="A2762" s="4" t="s">
        <v>3361</v>
      </c>
      <c r="B2762" s="37">
        <v>30.0</v>
      </c>
      <c r="C2762" s="37">
        <v>21.800302</v>
      </c>
      <c r="D2762" s="37">
        <v>-8.199698</v>
      </c>
    </row>
    <row r="2763" ht="14.25" customHeight="1">
      <c r="A2763" s="4" t="s">
        <v>4339</v>
      </c>
      <c r="B2763" s="37">
        <v>20.0</v>
      </c>
      <c r="C2763" s="37">
        <v>11.784</v>
      </c>
      <c r="D2763" s="37">
        <v>-8.216</v>
      </c>
    </row>
    <row r="2764" ht="14.25" customHeight="1">
      <c r="A2764" s="4" t="s">
        <v>5733</v>
      </c>
      <c r="B2764" s="37">
        <v>11.5</v>
      </c>
      <c r="C2764" s="37">
        <v>3.275585</v>
      </c>
      <c r="D2764" s="37">
        <v>-8.224415</v>
      </c>
    </row>
    <row r="2765" ht="14.25" customHeight="1">
      <c r="A2765" s="4" t="s">
        <v>5756</v>
      </c>
      <c r="B2765" s="37">
        <v>10.0</v>
      </c>
      <c r="C2765" s="37">
        <v>1.754319</v>
      </c>
      <c r="D2765" s="37">
        <v>-8.245681</v>
      </c>
    </row>
    <row r="2766" ht="14.25" customHeight="1">
      <c r="A2766" s="4" t="s">
        <v>4699</v>
      </c>
      <c r="B2766" s="37">
        <v>17.0</v>
      </c>
      <c r="C2766" s="37">
        <v>8.662318</v>
      </c>
      <c r="D2766" s="37">
        <v>-8.337682</v>
      </c>
    </row>
    <row r="2767" ht="14.25" customHeight="1">
      <c r="A2767" s="4" t="s">
        <v>5921</v>
      </c>
      <c r="B2767" s="37">
        <v>8.5</v>
      </c>
      <c r="C2767" s="37">
        <v>0.140244</v>
      </c>
      <c r="D2767" s="37">
        <v>-8.359756</v>
      </c>
    </row>
    <row r="2768" ht="14.25" customHeight="1">
      <c r="A2768" s="4" t="s">
        <v>1253</v>
      </c>
      <c r="B2768" s="37">
        <v>75.0</v>
      </c>
      <c r="C2768" s="37">
        <v>66.636385</v>
      </c>
      <c r="D2768" s="37">
        <v>-8.363615</v>
      </c>
    </row>
    <row r="2769" ht="14.25" customHeight="1">
      <c r="A2769" s="4" t="s">
        <v>5760</v>
      </c>
      <c r="B2769" s="37">
        <v>10.0</v>
      </c>
      <c r="C2769" s="37">
        <v>1.631839</v>
      </c>
      <c r="D2769" s="37">
        <v>-8.368161</v>
      </c>
    </row>
    <row r="2770" ht="14.25" customHeight="1">
      <c r="A2770" s="4" t="s">
        <v>6612</v>
      </c>
      <c r="B2770" s="37">
        <v>8.5</v>
      </c>
      <c r="C2770" s="37">
        <v>0.131175</v>
      </c>
      <c r="D2770" s="37">
        <v>-8.368825</v>
      </c>
    </row>
    <row r="2771" ht="14.25" customHeight="1">
      <c r="A2771" s="4" t="s">
        <v>6957</v>
      </c>
      <c r="B2771" s="37">
        <v>8.4</v>
      </c>
      <c r="C2771" s="37">
        <v>0.005725</v>
      </c>
      <c r="D2771" s="37">
        <v>-8.394275</v>
      </c>
    </row>
    <row r="2772" ht="14.25" customHeight="1">
      <c r="A2772" s="4" t="s">
        <v>4047</v>
      </c>
      <c r="B2772" s="37">
        <v>22.0</v>
      </c>
      <c r="C2772" s="37">
        <v>13.555988</v>
      </c>
      <c r="D2772" s="37">
        <v>-8.444012</v>
      </c>
    </row>
    <row r="2773" ht="14.25" customHeight="1">
      <c r="A2773" s="4" t="s">
        <v>2978</v>
      </c>
      <c r="B2773" s="37">
        <v>35.0</v>
      </c>
      <c r="C2773" s="37">
        <v>26.494611</v>
      </c>
      <c r="D2773" s="37">
        <v>-8.505389</v>
      </c>
    </row>
    <row r="2774" ht="14.25" customHeight="1">
      <c r="A2774" s="4" t="s">
        <v>2117</v>
      </c>
      <c r="B2774" s="37">
        <v>50.0</v>
      </c>
      <c r="C2774" s="37">
        <v>41.482207</v>
      </c>
      <c r="D2774" s="37">
        <v>-8.517793</v>
      </c>
    </row>
    <row r="2775" ht="14.25" customHeight="1">
      <c r="A2775" s="4" t="s">
        <v>135</v>
      </c>
      <c r="B2775" s="37">
        <v>200.0</v>
      </c>
      <c r="C2775" s="37">
        <v>191.450875</v>
      </c>
      <c r="D2775" s="37">
        <v>-8.549125</v>
      </c>
    </row>
    <row r="2776" ht="14.25" customHeight="1">
      <c r="A2776" s="4" t="s">
        <v>685</v>
      </c>
      <c r="B2776" s="37">
        <v>109.0</v>
      </c>
      <c r="C2776" s="37">
        <v>100.446895</v>
      </c>
      <c r="D2776" s="37">
        <v>-8.553105</v>
      </c>
    </row>
    <row r="2777" ht="14.25" customHeight="1">
      <c r="A2777" s="4" t="s">
        <v>3096</v>
      </c>
      <c r="B2777" s="37">
        <v>30.0</v>
      </c>
      <c r="C2777" s="37">
        <v>21.426805</v>
      </c>
      <c r="D2777" s="37">
        <v>-8.573195</v>
      </c>
    </row>
    <row r="2778" ht="14.25" customHeight="1">
      <c r="A2778" s="4" t="s">
        <v>5014</v>
      </c>
      <c r="B2778" s="37">
        <v>15.0</v>
      </c>
      <c r="C2778" s="37">
        <v>6.409206</v>
      </c>
      <c r="D2778" s="37">
        <v>-8.590794</v>
      </c>
    </row>
    <row r="2779" ht="14.25" customHeight="1">
      <c r="A2779" s="4" t="s">
        <v>2777</v>
      </c>
      <c r="B2779" s="37">
        <v>39.0</v>
      </c>
      <c r="C2779" s="37">
        <v>30.4</v>
      </c>
      <c r="D2779" s="37">
        <v>-8.6</v>
      </c>
    </row>
    <row r="2780" ht="14.25" customHeight="1">
      <c r="A2780" s="4" t="s">
        <v>5016</v>
      </c>
      <c r="B2780" s="37">
        <v>15.0</v>
      </c>
      <c r="C2780" s="37">
        <v>6.373693</v>
      </c>
      <c r="D2780" s="37">
        <v>-8.626307</v>
      </c>
    </row>
    <row r="2781" ht="14.25" customHeight="1">
      <c r="A2781" s="4" t="s">
        <v>5301</v>
      </c>
      <c r="B2781" s="37">
        <v>12.8</v>
      </c>
      <c r="C2781" s="37">
        <v>4.157491</v>
      </c>
      <c r="D2781" s="37">
        <v>-8.642509</v>
      </c>
    </row>
    <row r="2782" ht="14.25" customHeight="1">
      <c r="A2782" s="4" t="s">
        <v>5882</v>
      </c>
      <c r="B2782" s="37">
        <v>9.0</v>
      </c>
      <c r="C2782" s="37">
        <v>0.349618</v>
      </c>
      <c r="D2782" s="37">
        <v>-8.650382</v>
      </c>
    </row>
    <row r="2783" ht="14.25" customHeight="1">
      <c r="A2783" s="4" t="s">
        <v>5830</v>
      </c>
      <c r="B2783" s="37">
        <v>8.9</v>
      </c>
      <c r="C2783" s="37">
        <v>0.225377</v>
      </c>
      <c r="D2783" s="37">
        <v>-8.674623</v>
      </c>
    </row>
    <row r="2784" ht="14.25" customHeight="1">
      <c r="A2784" s="4" t="s">
        <v>5761</v>
      </c>
      <c r="B2784" s="37">
        <v>10.0</v>
      </c>
      <c r="C2784" s="37">
        <v>1.309849</v>
      </c>
      <c r="D2784" s="37">
        <v>-8.690151</v>
      </c>
    </row>
    <row r="2785" ht="14.25" customHeight="1">
      <c r="A2785" s="4" t="s">
        <v>5763</v>
      </c>
      <c r="B2785" s="37">
        <v>10.0</v>
      </c>
      <c r="C2785" s="37">
        <v>1.276984</v>
      </c>
      <c r="D2785" s="37">
        <v>-8.723016</v>
      </c>
    </row>
    <row r="2786" ht="14.25" customHeight="1">
      <c r="A2786" s="4" t="s">
        <v>2120</v>
      </c>
      <c r="B2786" s="37">
        <v>50.0</v>
      </c>
      <c r="C2786" s="37">
        <v>41.256277</v>
      </c>
      <c r="D2786" s="37">
        <v>-8.743723</v>
      </c>
    </row>
    <row r="2787" ht="14.25" customHeight="1">
      <c r="A2787" s="4" t="s">
        <v>5653</v>
      </c>
      <c r="B2787" s="37">
        <v>25.0</v>
      </c>
      <c r="C2787" s="37">
        <v>16.247775</v>
      </c>
      <c r="D2787" s="37">
        <v>-8.752225</v>
      </c>
    </row>
    <row r="2788" ht="14.25" customHeight="1">
      <c r="A2788" s="4" t="s">
        <v>4341</v>
      </c>
      <c r="B2788" s="37">
        <v>20.0</v>
      </c>
      <c r="C2788" s="37">
        <v>11.169531</v>
      </c>
      <c r="D2788" s="37">
        <v>-8.830469</v>
      </c>
    </row>
    <row r="2789" ht="14.25" customHeight="1">
      <c r="A2789" s="4" t="s">
        <v>5427</v>
      </c>
      <c r="B2789" s="37">
        <v>12.0</v>
      </c>
      <c r="C2789" s="37">
        <v>3.148482</v>
      </c>
      <c r="D2789" s="37">
        <v>-8.851518</v>
      </c>
    </row>
    <row r="2790" ht="14.25" customHeight="1">
      <c r="A2790" s="4" t="s">
        <v>3814</v>
      </c>
      <c r="B2790" s="37">
        <v>25.0</v>
      </c>
      <c r="C2790" s="37">
        <v>16.118077</v>
      </c>
      <c r="D2790" s="37">
        <v>-8.881923</v>
      </c>
    </row>
    <row r="2791" ht="14.25" customHeight="1">
      <c r="A2791" s="4" t="s">
        <v>5883</v>
      </c>
      <c r="B2791" s="37">
        <v>9.0</v>
      </c>
      <c r="C2791" s="37">
        <v>0.112935</v>
      </c>
      <c r="D2791" s="37">
        <v>-8.887065</v>
      </c>
    </row>
    <row r="2792" ht="14.25" customHeight="1">
      <c r="A2792" s="4" t="s">
        <v>2469</v>
      </c>
      <c r="B2792" s="37">
        <v>65.0</v>
      </c>
      <c r="C2792" s="37">
        <v>56.083966</v>
      </c>
      <c r="D2792" s="37">
        <v>-8.916034</v>
      </c>
    </row>
    <row r="2793" ht="14.25" customHeight="1">
      <c r="A2793" s="4" t="s">
        <v>53</v>
      </c>
      <c r="B2793" s="37">
        <v>209.0</v>
      </c>
      <c r="C2793" s="37">
        <v>200.069408</v>
      </c>
      <c r="D2793" s="37">
        <v>-8.930592</v>
      </c>
    </row>
    <row r="2794" ht="14.25" customHeight="1">
      <c r="A2794" s="4" t="s">
        <v>1532</v>
      </c>
      <c r="B2794" s="37">
        <v>45.0</v>
      </c>
      <c r="C2794" s="37">
        <v>36.06491</v>
      </c>
      <c r="D2794" s="37">
        <v>-8.93509</v>
      </c>
    </row>
    <row r="2795" ht="14.25" customHeight="1">
      <c r="A2795" s="4" t="s">
        <v>68</v>
      </c>
      <c r="B2795" s="37">
        <v>250.0</v>
      </c>
      <c r="C2795" s="37">
        <v>241.063875</v>
      </c>
      <c r="D2795" s="37">
        <v>-8.936125</v>
      </c>
    </row>
    <row r="2796" ht="14.25" customHeight="1">
      <c r="A2796" s="4" t="s">
        <v>5744</v>
      </c>
      <c r="B2796" s="37">
        <v>10.0</v>
      </c>
      <c r="C2796" s="37">
        <v>1.055654</v>
      </c>
      <c r="D2796" s="37">
        <v>-8.944346</v>
      </c>
    </row>
    <row r="2797" ht="14.25" customHeight="1">
      <c r="A2797" s="4" t="s">
        <v>4475</v>
      </c>
      <c r="B2797" s="37">
        <v>19.0</v>
      </c>
      <c r="C2797" s="37">
        <v>10.049886</v>
      </c>
      <c r="D2797" s="37">
        <v>-8.950114</v>
      </c>
    </row>
    <row r="2798" ht="14.25" customHeight="1">
      <c r="A2798" s="4" t="s">
        <v>1683</v>
      </c>
      <c r="B2798" s="37">
        <v>60.0</v>
      </c>
      <c r="C2798" s="37">
        <v>51.045801</v>
      </c>
      <c r="D2798" s="37">
        <v>-8.954199</v>
      </c>
    </row>
    <row r="2799" ht="14.25" customHeight="1">
      <c r="A2799" s="4" t="s">
        <v>4343</v>
      </c>
      <c r="B2799" s="37">
        <v>20.0</v>
      </c>
      <c r="C2799" s="37">
        <v>11.034436</v>
      </c>
      <c r="D2799" s="37">
        <v>-8.965564</v>
      </c>
    </row>
    <row r="2800" ht="14.25" customHeight="1">
      <c r="A2800" s="4" t="s">
        <v>4059</v>
      </c>
      <c r="B2800" s="37">
        <v>25.0</v>
      </c>
      <c r="C2800" s="37">
        <v>16.027866</v>
      </c>
      <c r="D2800" s="37">
        <v>-8.972134</v>
      </c>
    </row>
    <row r="2801" ht="14.25" customHeight="1">
      <c r="A2801" s="4" t="s">
        <v>6371</v>
      </c>
      <c r="B2801" s="37">
        <v>9.0</v>
      </c>
      <c r="C2801" s="37">
        <v>0.027445</v>
      </c>
      <c r="D2801" s="37">
        <v>-8.972555</v>
      </c>
    </row>
    <row r="2802" ht="14.25" customHeight="1">
      <c r="A2802" s="4" t="s">
        <v>5768</v>
      </c>
      <c r="B2802" s="37">
        <v>10.0</v>
      </c>
      <c r="C2802" s="37">
        <v>1.011054</v>
      </c>
      <c r="D2802" s="37">
        <v>-8.988946</v>
      </c>
    </row>
    <row r="2803" ht="14.25" customHeight="1">
      <c r="A2803" s="4" t="s">
        <v>5901</v>
      </c>
      <c r="B2803" s="37">
        <v>9.0</v>
      </c>
      <c r="C2803" s="37">
        <v>1.62E-4</v>
      </c>
      <c r="D2803" s="37">
        <v>-8.999838</v>
      </c>
    </row>
    <row r="2804" ht="14.25" customHeight="1">
      <c r="A2804" s="4" t="s">
        <v>4890</v>
      </c>
      <c r="B2804" s="37">
        <v>15.0</v>
      </c>
      <c r="C2804" s="37">
        <v>6.0</v>
      </c>
      <c r="D2804" s="37">
        <v>-9.0</v>
      </c>
    </row>
    <row r="2805" ht="14.25" customHeight="1">
      <c r="A2805" s="4" t="s">
        <v>3382</v>
      </c>
      <c r="B2805" s="37">
        <v>26.0</v>
      </c>
      <c r="C2805" s="37">
        <v>16.999046</v>
      </c>
      <c r="D2805" s="37">
        <v>-9.000954</v>
      </c>
    </row>
    <row r="2806" ht="14.25" customHeight="1">
      <c r="A2806" s="4" t="s">
        <v>2639</v>
      </c>
      <c r="B2806" s="37">
        <v>40.0</v>
      </c>
      <c r="C2806" s="37">
        <v>30.993544</v>
      </c>
      <c r="D2806" s="37">
        <v>-9.006456</v>
      </c>
    </row>
    <row r="2807" ht="14.25" customHeight="1">
      <c r="A2807" s="4" t="s">
        <v>5764</v>
      </c>
      <c r="B2807" s="37">
        <v>11.0</v>
      </c>
      <c r="C2807" s="37">
        <v>1.987762</v>
      </c>
      <c r="D2807" s="37">
        <v>-9.012238</v>
      </c>
    </row>
    <row r="2808" ht="14.25" customHeight="1">
      <c r="A2808" s="4" t="s">
        <v>2642</v>
      </c>
      <c r="B2808" s="37">
        <v>40.0</v>
      </c>
      <c r="C2808" s="37">
        <v>30.98185</v>
      </c>
      <c r="D2808" s="37">
        <v>-9.01815</v>
      </c>
    </row>
    <row r="2809" ht="14.25" customHeight="1">
      <c r="A2809" s="4" t="s">
        <v>2990</v>
      </c>
      <c r="B2809" s="37">
        <v>30.0</v>
      </c>
      <c r="C2809" s="37">
        <v>20.981633</v>
      </c>
      <c r="D2809" s="37">
        <v>-9.018367</v>
      </c>
    </row>
    <row r="2810" ht="14.25" customHeight="1">
      <c r="A2810" s="4" t="s">
        <v>2127</v>
      </c>
      <c r="B2810" s="37">
        <v>50.0</v>
      </c>
      <c r="C2810" s="37">
        <v>40.905277</v>
      </c>
      <c r="D2810" s="37">
        <v>-9.094723</v>
      </c>
    </row>
    <row r="2811" ht="14.25" customHeight="1">
      <c r="A2811" s="4" t="s">
        <v>5770</v>
      </c>
      <c r="B2811" s="37">
        <v>10.0</v>
      </c>
      <c r="C2811" s="37">
        <v>0.900926</v>
      </c>
      <c r="D2811" s="37">
        <v>-9.099074</v>
      </c>
    </row>
    <row r="2812" ht="14.25" customHeight="1">
      <c r="A2812" s="4" t="s">
        <v>6028</v>
      </c>
      <c r="B2812" s="37">
        <v>10.0</v>
      </c>
      <c r="C2812" s="37">
        <v>0.88229</v>
      </c>
      <c r="D2812" s="37">
        <v>-9.11771</v>
      </c>
    </row>
    <row r="2813" ht="14.25" customHeight="1">
      <c r="A2813" s="4" t="s">
        <v>3004</v>
      </c>
      <c r="B2813" s="37">
        <v>35.0</v>
      </c>
      <c r="C2813" s="37">
        <v>25.871834</v>
      </c>
      <c r="D2813" s="37">
        <v>-9.128166</v>
      </c>
    </row>
    <row r="2814" ht="14.25" customHeight="1">
      <c r="A2814" s="4" t="s">
        <v>5771</v>
      </c>
      <c r="B2814" s="37">
        <v>10.0</v>
      </c>
      <c r="C2814" s="37">
        <v>0.866778</v>
      </c>
      <c r="D2814" s="37">
        <v>-9.133222</v>
      </c>
    </row>
    <row r="2815" ht="14.25" customHeight="1">
      <c r="A2815" s="4" t="s">
        <v>2981</v>
      </c>
      <c r="B2815" s="37">
        <v>35.0</v>
      </c>
      <c r="C2815" s="37">
        <v>25.863915</v>
      </c>
      <c r="D2815" s="37">
        <v>-9.136085</v>
      </c>
    </row>
    <row r="2816" ht="14.25" customHeight="1">
      <c r="A2816" s="4" t="s">
        <v>1686</v>
      </c>
      <c r="B2816" s="37">
        <v>60.0</v>
      </c>
      <c r="C2816" s="37">
        <v>50.81875</v>
      </c>
      <c r="D2816" s="37">
        <v>-9.18125</v>
      </c>
    </row>
    <row r="2817" ht="14.25" customHeight="1">
      <c r="A2817" s="4" t="s">
        <v>1708</v>
      </c>
      <c r="B2817" s="37">
        <v>60.0</v>
      </c>
      <c r="C2817" s="37">
        <v>50.807639</v>
      </c>
      <c r="D2817" s="37">
        <v>-9.192361</v>
      </c>
    </row>
    <row r="2818" ht="14.25" customHeight="1">
      <c r="A2818" s="4" t="s">
        <v>4048</v>
      </c>
      <c r="B2818" s="37">
        <v>22.0</v>
      </c>
      <c r="C2818" s="37">
        <v>12.784713</v>
      </c>
      <c r="D2818" s="37">
        <v>-9.215287</v>
      </c>
    </row>
    <row r="2819" ht="14.25" customHeight="1">
      <c r="A2819" s="4" t="s">
        <v>1054</v>
      </c>
      <c r="B2819" s="37">
        <v>85.0</v>
      </c>
      <c r="C2819" s="37">
        <v>75.75467</v>
      </c>
      <c r="D2819" s="37">
        <v>-9.24533</v>
      </c>
    </row>
    <row r="2820" ht="14.25" customHeight="1">
      <c r="A2820" s="4" t="s">
        <v>926</v>
      </c>
      <c r="B2820" s="37">
        <v>88.0</v>
      </c>
      <c r="C2820" s="37">
        <v>78.747585</v>
      </c>
      <c r="D2820" s="37">
        <v>-9.252415</v>
      </c>
    </row>
    <row r="2821" ht="14.25" customHeight="1">
      <c r="A2821" s="4" t="s">
        <v>2208</v>
      </c>
      <c r="B2821" s="37">
        <v>18.0</v>
      </c>
      <c r="C2821" s="37">
        <v>8.742261</v>
      </c>
      <c r="D2821" s="37">
        <v>-9.257739</v>
      </c>
    </row>
    <row r="2822" ht="14.25" customHeight="1">
      <c r="A2822" s="4" t="s">
        <v>5142</v>
      </c>
      <c r="B2822" s="37">
        <v>14.0</v>
      </c>
      <c r="C2822" s="37">
        <v>4.741987</v>
      </c>
      <c r="D2822" s="37">
        <v>-9.258013</v>
      </c>
    </row>
    <row r="2823" ht="14.25" customHeight="1">
      <c r="A2823" s="4" t="s">
        <v>1824</v>
      </c>
      <c r="B2823" s="37">
        <v>63.0</v>
      </c>
      <c r="C2823" s="37">
        <v>53.715611</v>
      </c>
      <c r="D2823" s="37">
        <v>-9.284389</v>
      </c>
    </row>
    <row r="2824" ht="14.25" customHeight="1">
      <c r="A2824" s="4" t="s">
        <v>4382</v>
      </c>
      <c r="B2824" s="37">
        <v>15.0</v>
      </c>
      <c r="C2824" s="37">
        <v>5.702083</v>
      </c>
      <c r="D2824" s="37">
        <v>-9.297917</v>
      </c>
    </row>
    <row r="2825" ht="14.25" customHeight="1">
      <c r="A2825" s="4" t="s">
        <v>3811</v>
      </c>
      <c r="B2825" s="37">
        <v>26.0</v>
      </c>
      <c r="C2825" s="37">
        <v>16.647384</v>
      </c>
      <c r="D2825" s="37">
        <v>-9.352616</v>
      </c>
    </row>
    <row r="2826" ht="14.25" customHeight="1">
      <c r="A2826" s="4" t="s">
        <v>1518</v>
      </c>
      <c r="B2826" s="37">
        <v>65.0</v>
      </c>
      <c r="C2826" s="37">
        <v>55.63768</v>
      </c>
      <c r="D2826" s="37">
        <v>-9.36232</v>
      </c>
    </row>
    <row r="2827" ht="14.25" customHeight="1">
      <c r="A2827" s="4" t="s">
        <v>2328</v>
      </c>
      <c r="B2827" s="37">
        <v>45.0</v>
      </c>
      <c r="C2827" s="37">
        <v>35.617599</v>
      </c>
      <c r="D2827" s="37">
        <v>-9.382401</v>
      </c>
    </row>
    <row r="2828" ht="14.25" customHeight="1">
      <c r="A2828" s="4" t="s">
        <v>5772</v>
      </c>
      <c r="B2828" s="37">
        <v>10.0</v>
      </c>
      <c r="C2828" s="37">
        <v>0.598645</v>
      </c>
      <c r="D2828" s="37">
        <v>-9.401355</v>
      </c>
    </row>
    <row r="2829" ht="14.25" customHeight="1">
      <c r="A2829" s="4" t="s">
        <v>5775</v>
      </c>
      <c r="B2829" s="37">
        <v>10.0</v>
      </c>
      <c r="C2829" s="37">
        <v>0.578527</v>
      </c>
      <c r="D2829" s="37">
        <v>-9.421473</v>
      </c>
    </row>
    <row r="2830" ht="14.25" customHeight="1">
      <c r="A2830" s="4" t="s">
        <v>4345</v>
      </c>
      <c r="B2830" s="37">
        <v>20.0</v>
      </c>
      <c r="C2830" s="37">
        <v>10.569071</v>
      </c>
      <c r="D2830" s="37">
        <v>-9.430929</v>
      </c>
    </row>
    <row r="2831" ht="14.25" customHeight="1">
      <c r="A2831" s="4" t="s">
        <v>6674</v>
      </c>
      <c r="B2831" s="37">
        <v>9.5</v>
      </c>
      <c r="C2831" s="37">
        <v>0.058214</v>
      </c>
      <c r="D2831" s="37">
        <v>-9.441786</v>
      </c>
    </row>
    <row r="2832" ht="14.25" customHeight="1">
      <c r="A2832" s="4" t="s">
        <v>4349</v>
      </c>
      <c r="B2832" s="37">
        <v>20.0</v>
      </c>
      <c r="C2832" s="37">
        <v>10.555348</v>
      </c>
      <c r="D2832" s="37">
        <v>-9.444652</v>
      </c>
    </row>
    <row r="2833" ht="14.25" customHeight="1">
      <c r="A2833" s="4" t="s">
        <v>1694</v>
      </c>
      <c r="B2833" s="37">
        <v>60.0</v>
      </c>
      <c r="C2833" s="37">
        <v>50.549107</v>
      </c>
      <c r="D2833" s="37">
        <v>-9.450893</v>
      </c>
    </row>
    <row r="2834" ht="14.25" customHeight="1">
      <c r="A2834" s="4" t="s">
        <v>4347</v>
      </c>
      <c r="B2834" s="37">
        <v>20.0</v>
      </c>
      <c r="C2834" s="37">
        <v>10.544143</v>
      </c>
      <c r="D2834" s="37">
        <v>-9.455857</v>
      </c>
    </row>
    <row r="2835" ht="14.25" customHeight="1">
      <c r="A2835" s="4" t="s">
        <v>4427</v>
      </c>
      <c r="B2835" s="37">
        <v>10.0</v>
      </c>
      <c r="C2835" s="37">
        <v>0.531009</v>
      </c>
      <c r="D2835" s="37">
        <v>-9.468991</v>
      </c>
    </row>
    <row r="2836" ht="14.25" customHeight="1">
      <c r="A2836" s="4" t="s">
        <v>4592</v>
      </c>
      <c r="B2836" s="37">
        <v>18.0</v>
      </c>
      <c r="C2836" s="37">
        <v>8.508843</v>
      </c>
      <c r="D2836" s="37">
        <v>-9.491157</v>
      </c>
    </row>
    <row r="2837" ht="14.25" customHeight="1">
      <c r="A2837" s="4" t="s">
        <v>5777</v>
      </c>
      <c r="B2837" s="37">
        <v>10.0</v>
      </c>
      <c r="C2837" s="37">
        <v>0.488872</v>
      </c>
      <c r="D2837" s="37">
        <v>-9.511128</v>
      </c>
    </row>
    <row r="2838" ht="14.25" customHeight="1">
      <c r="A2838" s="4" t="s">
        <v>5325</v>
      </c>
      <c r="B2838" s="37">
        <v>9.6</v>
      </c>
      <c r="C2838" s="37">
        <v>0.071442</v>
      </c>
      <c r="D2838" s="37">
        <v>-9.528558</v>
      </c>
    </row>
    <row r="2839" ht="14.25" customHeight="1">
      <c r="A2839" s="4" t="s">
        <v>4329</v>
      </c>
      <c r="B2839" s="37">
        <v>22.0</v>
      </c>
      <c r="C2839" s="37">
        <v>12.469811</v>
      </c>
      <c r="D2839" s="37">
        <v>-9.530189</v>
      </c>
    </row>
    <row r="2840" ht="14.25" customHeight="1">
      <c r="A2840" s="4" t="s">
        <v>6224</v>
      </c>
      <c r="B2840" s="37">
        <v>10.0</v>
      </c>
      <c r="C2840" s="37">
        <v>0.449558</v>
      </c>
      <c r="D2840" s="37">
        <v>-9.550442</v>
      </c>
    </row>
    <row r="2841" ht="14.25" customHeight="1">
      <c r="A2841" s="4" t="s">
        <v>5455</v>
      </c>
      <c r="B2841" s="37">
        <v>10.0</v>
      </c>
      <c r="C2841" s="37">
        <v>0.44775</v>
      </c>
      <c r="D2841" s="37">
        <v>-9.55225</v>
      </c>
    </row>
    <row r="2842" ht="14.25" customHeight="1">
      <c r="A2842" s="4" t="s">
        <v>2006</v>
      </c>
      <c r="B2842" s="37">
        <v>52.0</v>
      </c>
      <c r="C2842" s="37">
        <v>42.4383</v>
      </c>
      <c r="D2842" s="37">
        <v>-9.5617</v>
      </c>
    </row>
    <row r="2843" ht="14.25" customHeight="1">
      <c r="A2843" s="4" t="s">
        <v>5779</v>
      </c>
      <c r="B2843" s="37">
        <v>10.0</v>
      </c>
      <c r="C2843" s="37">
        <v>0.365734</v>
      </c>
      <c r="D2843" s="37">
        <v>-9.634266</v>
      </c>
    </row>
    <row r="2844" ht="14.25" customHeight="1">
      <c r="A2844" s="4" t="s">
        <v>5429</v>
      </c>
      <c r="B2844" s="37">
        <v>12.0</v>
      </c>
      <c r="C2844" s="37">
        <v>2.326407</v>
      </c>
      <c r="D2844" s="37">
        <v>-9.673593</v>
      </c>
    </row>
    <row r="2845" ht="14.25" customHeight="1">
      <c r="A2845" s="4" t="s">
        <v>6149</v>
      </c>
      <c r="B2845" s="37">
        <v>10.0</v>
      </c>
      <c r="C2845" s="37">
        <v>0.306715</v>
      </c>
      <c r="D2845" s="37">
        <v>-9.693285</v>
      </c>
    </row>
    <row r="2846" ht="14.25" customHeight="1">
      <c r="A2846" s="4" t="s">
        <v>5019</v>
      </c>
      <c r="B2846" s="37">
        <v>15.0</v>
      </c>
      <c r="C2846" s="37">
        <v>5.306447</v>
      </c>
      <c r="D2846" s="37">
        <v>-9.693553</v>
      </c>
    </row>
    <row r="2847" ht="14.25" customHeight="1">
      <c r="A2847" s="4" t="s">
        <v>5144</v>
      </c>
      <c r="B2847" s="37">
        <v>14.0</v>
      </c>
      <c r="C2847" s="37">
        <v>4.291965</v>
      </c>
      <c r="D2847" s="37">
        <v>-9.708035</v>
      </c>
    </row>
    <row r="2848" ht="14.25" customHeight="1">
      <c r="A2848" s="4" t="s">
        <v>1818</v>
      </c>
      <c r="B2848" s="37">
        <v>58.0</v>
      </c>
      <c r="C2848" s="37">
        <v>48.291624</v>
      </c>
      <c r="D2848" s="37">
        <v>-9.708376</v>
      </c>
    </row>
    <row r="2849" ht="14.25" customHeight="1">
      <c r="A2849" s="4" t="s">
        <v>2979</v>
      </c>
      <c r="B2849" s="37">
        <v>35.0</v>
      </c>
      <c r="C2849" s="37">
        <v>25.266129</v>
      </c>
      <c r="D2849" s="37">
        <v>-9.733871</v>
      </c>
    </row>
    <row r="2850" ht="14.25" customHeight="1">
      <c r="A2850" s="4" t="s">
        <v>4335</v>
      </c>
      <c r="B2850" s="37">
        <v>22.0</v>
      </c>
      <c r="C2850" s="37">
        <v>12.232937</v>
      </c>
      <c r="D2850" s="37">
        <v>-9.767063</v>
      </c>
    </row>
    <row r="2851" ht="14.25" customHeight="1">
      <c r="A2851" s="4" t="s">
        <v>5791</v>
      </c>
      <c r="B2851" s="37">
        <v>10.0</v>
      </c>
      <c r="C2851" s="37">
        <v>0.226792</v>
      </c>
      <c r="D2851" s="37">
        <v>-9.773208</v>
      </c>
    </row>
    <row r="2852" ht="14.25" customHeight="1">
      <c r="A2852" s="4" t="s">
        <v>4621</v>
      </c>
      <c r="B2852" s="37">
        <v>12.0</v>
      </c>
      <c r="C2852" s="37">
        <v>2.222647</v>
      </c>
      <c r="D2852" s="37">
        <v>-9.777353</v>
      </c>
    </row>
    <row r="2853" ht="14.25" customHeight="1">
      <c r="A2853" s="4" t="s">
        <v>5022</v>
      </c>
      <c r="B2853" s="37">
        <v>15.0</v>
      </c>
      <c r="C2853" s="37">
        <v>5.217498</v>
      </c>
      <c r="D2853" s="37">
        <v>-9.782502</v>
      </c>
    </row>
    <row r="2854" ht="14.25" customHeight="1">
      <c r="A2854" s="4" t="s">
        <v>2644</v>
      </c>
      <c r="B2854" s="37">
        <v>40.0</v>
      </c>
      <c r="C2854" s="37">
        <v>30.199105</v>
      </c>
      <c r="D2854" s="37">
        <v>-9.800895</v>
      </c>
    </row>
    <row r="2855" ht="14.25" customHeight="1">
      <c r="A2855" s="4" t="s">
        <v>1689</v>
      </c>
      <c r="B2855" s="37">
        <v>60.0</v>
      </c>
      <c r="C2855" s="37">
        <v>50.189179</v>
      </c>
      <c r="D2855" s="37">
        <v>-9.810821</v>
      </c>
    </row>
    <row r="2856" ht="14.25" customHeight="1">
      <c r="A2856" s="4" t="s">
        <v>2863</v>
      </c>
      <c r="B2856" s="37">
        <v>36.0</v>
      </c>
      <c r="C2856" s="37">
        <v>26.183197</v>
      </c>
      <c r="D2856" s="37">
        <v>-9.816803</v>
      </c>
    </row>
    <row r="2857" ht="14.25" customHeight="1">
      <c r="A2857" s="4" t="s">
        <v>5255</v>
      </c>
      <c r="B2857" s="37">
        <v>13.0</v>
      </c>
      <c r="C2857" s="37">
        <v>3.169424</v>
      </c>
      <c r="D2857" s="37">
        <v>-9.830576</v>
      </c>
    </row>
    <row r="2858" ht="14.25" customHeight="1">
      <c r="A2858" s="4" t="s">
        <v>5800</v>
      </c>
      <c r="B2858" s="37">
        <v>10.0</v>
      </c>
      <c r="C2858" s="37">
        <v>0.169379</v>
      </c>
      <c r="D2858" s="37">
        <v>-9.830621</v>
      </c>
    </row>
    <row r="2859" ht="14.25" customHeight="1">
      <c r="A2859" s="4" t="s">
        <v>5795</v>
      </c>
      <c r="B2859" s="37">
        <v>10.0</v>
      </c>
      <c r="C2859" s="37">
        <v>0.131617</v>
      </c>
      <c r="D2859" s="37">
        <v>-9.868383</v>
      </c>
    </row>
    <row r="2860" ht="14.25" customHeight="1">
      <c r="A2860" s="4" t="s">
        <v>5824</v>
      </c>
      <c r="B2860" s="37">
        <v>10.0</v>
      </c>
      <c r="C2860" s="37">
        <v>0.128486</v>
      </c>
      <c r="D2860" s="37">
        <v>-9.871514</v>
      </c>
    </row>
    <row r="2861" ht="14.25" customHeight="1">
      <c r="A2861" s="4" t="s">
        <v>1419</v>
      </c>
      <c r="B2861" s="37">
        <v>35.0</v>
      </c>
      <c r="C2861" s="37">
        <v>25.093607</v>
      </c>
      <c r="D2861" s="37">
        <v>-9.906393</v>
      </c>
    </row>
    <row r="2862" ht="14.25" customHeight="1">
      <c r="A2862" s="4" t="s">
        <v>3817</v>
      </c>
      <c r="B2862" s="37">
        <v>25.0</v>
      </c>
      <c r="C2862" s="37">
        <v>15.091542</v>
      </c>
      <c r="D2862" s="37">
        <v>-9.908458</v>
      </c>
    </row>
    <row r="2863" ht="14.25" customHeight="1">
      <c r="A2863" s="4" t="s">
        <v>5434</v>
      </c>
      <c r="B2863" s="37">
        <v>12.0</v>
      </c>
      <c r="C2863" s="37">
        <v>2.060953</v>
      </c>
      <c r="D2863" s="37">
        <v>-9.939047</v>
      </c>
    </row>
    <row r="2864" ht="14.25" customHeight="1">
      <c r="A2864" s="4" t="s">
        <v>1692</v>
      </c>
      <c r="B2864" s="37">
        <v>60.0</v>
      </c>
      <c r="C2864" s="37">
        <v>50.024083</v>
      </c>
      <c r="D2864" s="37">
        <v>-9.975917</v>
      </c>
    </row>
    <row r="2865" ht="14.25" customHeight="1">
      <c r="A2865" s="4" t="s">
        <v>5025</v>
      </c>
      <c r="B2865" s="37">
        <v>15.0</v>
      </c>
      <c r="C2865" s="37">
        <v>5.023275</v>
      </c>
      <c r="D2865" s="37">
        <v>-9.976725</v>
      </c>
    </row>
    <row r="2866" ht="14.25" customHeight="1">
      <c r="A2866" s="4" t="s">
        <v>5804</v>
      </c>
      <c r="B2866" s="37">
        <v>10.0</v>
      </c>
      <c r="C2866" s="37">
        <v>0.019348</v>
      </c>
      <c r="D2866" s="37">
        <v>-9.980652</v>
      </c>
    </row>
    <row r="2867" ht="14.25" customHeight="1">
      <c r="A2867" s="4" t="s">
        <v>3977</v>
      </c>
      <c r="B2867" s="37">
        <v>23.0</v>
      </c>
      <c r="C2867" s="37">
        <v>13.019253</v>
      </c>
      <c r="D2867" s="37">
        <v>-9.980747</v>
      </c>
    </row>
    <row r="2868" ht="14.25" customHeight="1">
      <c r="A2868" s="4" t="s">
        <v>5802</v>
      </c>
      <c r="B2868" s="37">
        <v>10.0</v>
      </c>
      <c r="C2868" s="37">
        <v>0.015447</v>
      </c>
      <c r="D2868" s="37">
        <v>-9.984553</v>
      </c>
    </row>
    <row r="2869" ht="14.25" customHeight="1">
      <c r="A2869" s="4" t="s">
        <v>5821</v>
      </c>
      <c r="B2869" s="37">
        <v>10.0</v>
      </c>
      <c r="C2869" s="37">
        <v>0.011835</v>
      </c>
      <c r="D2869" s="37">
        <v>-9.988165</v>
      </c>
    </row>
    <row r="2870" ht="14.25" customHeight="1">
      <c r="A2870" s="4" t="s">
        <v>3638</v>
      </c>
      <c r="B2870" s="37">
        <v>26.0</v>
      </c>
      <c r="C2870" s="37">
        <v>16.005978</v>
      </c>
      <c r="D2870" s="37">
        <v>-9.994022</v>
      </c>
    </row>
    <row r="2871" ht="14.25" customHeight="1">
      <c r="A2871" s="4" t="s">
        <v>5813</v>
      </c>
      <c r="B2871" s="37">
        <v>10.0</v>
      </c>
      <c r="C2871" s="37">
        <v>0.005561</v>
      </c>
      <c r="D2871" s="37">
        <v>-9.994439</v>
      </c>
    </row>
    <row r="2872" ht="14.25" customHeight="1">
      <c r="A2872" s="4" t="s">
        <v>5816</v>
      </c>
      <c r="B2872" s="37">
        <v>10.0</v>
      </c>
      <c r="C2872" s="37">
        <v>0.003607</v>
      </c>
      <c r="D2872" s="37">
        <v>-9.996393</v>
      </c>
    </row>
    <row r="2873" ht="14.25" customHeight="1">
      <c r="A2873" s="4" t="s">
        <v>4581</v>
      </c>
      <c r="B2873" s="37">
        <v>18.0</v>
      </c>
      <c r="C2873" s="37">
        <v>8.0</v>
      </c>
      <c r="D2873" s="37">
        <v>-10.0</v>
      </c>
    </row>
    <row r="2874" ht="14.25" customHeight="1">
      <c r="A2874" s="4" t="s">
        <v>3826</v>
      </c>
      <c r="B2874" s="37">
        <v>25.0</v>
      </c>
      <c r="C2874" s="37">
        <v>14.983572</v>
      </c>
      <c r="D2874" s="37">
        <v>-10.016428</v>
      </c>
    </row>
    <row r="2875" ht="14.25" customHeight="1">
      <c r="A2875" s="4" t="s">
        <v>5027</v>
      </c>
      <c r="B2875" s="37">
        <v>15.0</v>
      </c>
      <c r="C2875" s="37">
        <v>4.956401</v>
      </c>
      <c r="D2875" s="37">
        <v>-10.043599</v>
      </c>
    </row>
    <row r="2876" ht="14.25" customHeight="1">
      <c r="A2876" s="4" t="s">
        <v>2267</v>
      </c>
      <c r="B2876" s="37">
        <v>25.0</v>
      </c>
      <c r="C2876" s="37">
        <v>14.946229</v>
      </c>
      <c r="D2876" s="37">
        <v>-10.053771</v>
      </c>
    </row>
    <row r="2877" ht="14.25" customHeight="1">
      <c r="A2877" s="4" t="s">
        <v>4800</v>
      </c>
      <c r="B2877" s="37">
        <v>16.0</v>
      </c>
      <c r="C2877" s="37">
        <v>5.9</v>
      </c>
      <c r="D2877" s="37">
        <v>-10.1</v>
      </c>
    </row>
    <row r="2878" ht="14.25" customHeight="1">
      <c r="A2878" s="4" t="s">
        <v>2229</v>
      </c>
      <c r="B2878" s="37">
        <v>48.0</v>
      </c>
      <c r="C2878" s="37">
        <v>37.879996</v>
      </c>
      <c r="D2878" s="37">
        <v>-10.120004</v>
      </c>
    </row>
    <row r="2879" ht="14.25" customHeight="1">
      <c r="A2879" s="4" t="s">
        <v>1848</v>
      </c>
      <c r="B2879" s="37">
        <v>56.0</v>
      </c>
      <c r="C2879" s="37">
        <v>45.860039</v>
      </c>
      <c r="D2879" s="37">
        <v>-10.139961</v>
      </c>
    </row>
    <row r="2880" ht="14.25" customHeight="1">
      <c r="A2880" s="4" t="s">
        <v>4704</v>
      </c>
      <c r="B2880" s="37">
        <v>17.0</v>
      </c>
      <c r="C2880" s="37">
        <v>6.855137</v>
      </c>
      <c r="D2880" s="37">
        <v>-10.144863</v>
      </c>
    </row>
    <row r="2881" ht="14.25" customHeight="1">
      <c r="A2881" s="4" t="s">
        <v>3159</v>
      </c>
      <c r="B2881" s="37">
        <v>28.0</v>
      </c>
      <c r="C2881" s="37">
        <v>17.848322</v>
      </c>
      <c r="D2881" s="37">
        <v>-10.151678</v>
      </c>
    </row>
    <row r="2882" ht="14.25" customHeight="1">
      <c r="A2882" s="4" t="s">
        <v>4588</v>
      </c>
      <c r="B2882" s="37">
        <v>18.0</v>
      </c>
      <c r="C2882" s="37">
        <v>7.837632</v>
      </c>
      <c r="D2882" s="37">
        <v>-10.162368</v>
      </c>
    </row>
    <row r="2883" ht="14.25" customHeight="1">
      <c r="A2883" s="4" t="s">
        <v>2769</v>
      </c>
      <c r="B2883" s="37">
        <v>40.0</v>
      </c>
      <c r="C2883" s="37">
        <v>29.802761</v>
      </c>
      <c r="D2883" s="37">
        <v>-10.197239</v>
      </c>
    </row>
    <row r="2884" ht="14.25" customHeight="1">
      <c r="A2884" s="4" t="s">
        <v>3983</v>
      </c>
      <c r="B2884" s="37">
        <v>23.0</v>
      </c>
      <c r="C2884" s="37">
        <v>12.782508</v>
      </c>
      <c r="D2884" s="37">
        <v>-10.217492</v>
      </c>
    </row>
    <row r="2885" ht="14.25" customHeight="1">
      <c r="A2885" s="4" t="s">
        <v>5441</v>
      </c>
      <c r="B2885" s="37">
        <v>12.0</v>
      </c>
      <c r="C2885" s="37">
        <v>1.779284</v>
      </c>
      <c r="D2885" s="37">
        <v>-10.220716</v>
      </c>
    </row>
    <row r="2886" ht="14.25" customHeight="1">
      <c r="A2886" s="4" t="s">
        <v>2133</v>
      </c>
      <c r="B2886" s="37">
        <v>50.0</v>
      </c>
      <c r="C2886" s="37">
        <v>39.778599</v>
      </c>
      <c r="D2886" s="37">
        <v>-10.221401</v>
      </c>
    </row>
    <row r="2887" ht="14.25" customHeight="1">
      <c r="A2887" s="4" t="s">
        <v>1141</v>
      </c>
      <c r="B2887" s="37">
        <v>80.0</v>
      </c>
      <c r="C2887" s="37">
        <v>69.772969</v>
      </c>
      <c r="D2887" s="37">
        <v>-10.227031</v>
      </c>
    </row>
    <row r="2888" ht="14.25" customHeight="1">
      <c r="A2888" s="4" t="s">
        <v>1525</v>
      </c>
      <c r="B2888" s="37">
        <v>65.0</v>
      </c>
      <c r="C2888" s="37">
        <v>54.758461</v>
      </c>
      <c r="D2888" s="37">
        <v>-10.241539</v>
      </c>
    </row>
    <row r="2889" ht="14.25" customHeight="1">
      <c r="A2889" s="4" t="s">
        <v>4594</v>
      </c>
      <c r="B2889" s="37">
        <v>18.0</v>
      </c>
      <c r="C2889" s="37">
        <v>7.739049</v>
      </c>
      <c r="D2889" s="37">
        <v>-10.260951</v>
      </c>
    </row>
    <row r="2890" ht="14.25" customHeight="1">
      <c r="A2890" s="4" t="s">
        <v>4596</v>
      </c>
      <c r="B2890" s="37">
        <v>17.0</v>
      </c>
      <c r="C2890" s="37">
        <v>6.734844</v>
      </c>
      <c r="D2890" s="37">
        <v>-10.265156</v>
      </c>
    </row>
    <row r="2891" ht="14.25" customHeight="1">
      <c r="A2891" s="4" t="s">
        <v>447</v>
      </c>
      <c r="B2891" s="37">
        <v>140.0</v>
      </c>
      <c r="C2891" s="37">
        <v>129.734803</v>
      </c>
      <c r="D2891" s="37">
        <v>-10.265197</v>
      </c>
    </row>
    <row r="2892" ht="14.25" customHeight="1">
      <c r="A2892" s="4" t="s">
        <v>4796</v>
      </c>
      <c r="B2892" s="37">
        <v>15.0</v>
      </c>
      <c r="C2892" s="37">
        <v>4.734235</v>
      </c>
      <c r="D2892" s="37">
        <v>-10.265765</v>
      </c>
    </row>
    <row r="2893" ht="14.25" customHeight="1">
      <c r="A2893" s="4" t="s">
        <v>4351</v>
      </c>
      <c r="B2893" s="37">
        <v>20.0</v>
      </c>
      <c r="C2893" s="37">
        <v>9.714482</v>
      </c>
      <c r="D2893" s="37">
        <v>-10.285518</v>
      </c>
    </row>
    <row r="2894" ht="14.25" customHeight="1">
      <c r="A2894" s="4" t="s">
        <v>5444</v>
      </c>
      <c r="B2894" s="37">
        <v>12.0</v>
      </c>
      <c r="C2894" s="37">
        <v>1.702277</v>
      </c>
      <c r="D2894" s="37">
        <v>-10.297723</v>
      </c>
    </row>
    <row r="2895" ht="14.25" customHeight="1">
      <c r="A2895" s="4" t="s">
        <v>3828</v>
      </c>
      <c r="B2895" s="37">
        <v>25.0</v>
      </c>
      <c r="C2895" s="37">
        <v>14.63749</v>
      </c>
      <c r="D2895" s="37">
        <v>-10.36251</v>
      </c>
    </row>
    <row r="2896" ht="14.25" customHeight="1">
      <c r="A2896" s="4" t="s">
        <v>5570</v>
      </c>
      <c r="B2896" s="37">
        <v>10.5</v>
      </c>
      <c r="C2896" s="37">
        <v>0.125169</v>
      </c>
      <c r="D2896" s="37">
        <v>-10.374831</v>
      </c>
    </row>
    <row r="2897" ht="14.25" customHeight="1">
      <c r="A2897" s="4" t="s">
        <v>3830</v>
      </c>
      <c r="B2897" s="37">
        <v>25.0</v>
      </c>
      <c r="C2897" s="37">
        <v>14.589444</v>
      </c>
      <c r="D2897" s="37">
        <v>-10.410556</v>
      </c>
    </row>
    <row r="2898" ht="14.25" customHeight="1">
      <c r="A2898" s="4" t="s">
        <v>5680</v>
      </c>
      <c r="B2898" s="37">
        <v>22.0</v>
      </c>
      <c r="C2898" s="37">
        <v>11.560259</v>
      </c>
      <c r="D2898" s="37">
        <v>-10.439741</v>
      </c>
    </row>
    <row r="2899" ht="14.25" customHeight="1">
      <c r="A2899" s="4" t="s">
        <v>4353</v>
      </c>
      <c r="B2899" s="37">
        <v>20.0</v>
      </c>
      <c r="C2899" s="37">
        <v>9.525276</v>
      </c>
      <c r="D2899" s="37">
        <v>-10.474724</v>
      </c>
    </row>
    <row r="2900" ht="14.25" customHeight="1">
      <c r="A2900" s="4" t="s">
        <v>4646</v>
      </c>
      <c r="B2900" s="37">
        <v>17.5</v>
      </c>
      <c r="C2900" s="37">
        <v>7.017178</v>
      </c>
      <c r="D2900" s="37">
        <v>-10.482822</v>
      </c>
    </row>
    <row r="2901" ht="14.25" customHeight="1">
      <c r="A2901" s="4" t="s">
        <v>5449</v>
      </c>
      <c r="B2901" s="37">
        <v>12.0</v>
      </c>
      <c r="C2901" s="37">
        <v>1.506998</v>
      </c>
      <c r="D2901" s="37">
        <v>-10.493002</v>
      </c>
    </row>
    <row r="2902" ht="14.25" customHeight="1">
      <c r="A2902" s="4" t="s">
        <v>3770</v>
      </c>
      <c r="B2902" s="37">
        <v>25.0</v>
      </c>
      <c r="C2902" s="37">
        <v>14.5</v>
      </c>
      <c r="D2902" s="37">
        <v>-10.5</v>
      </c>
    </row>
    <row r="2903" ht="14.25" customHeight="1">
      <c r="A2903" s="4" t="s">
        <v>3597</v>
      </c>
      <c r="B2903" s="37">
        <v>15.0</v>
      </c>
      <c r="C2903" s="37">
        <v>4.485485</v>
      </c>
      <c r="D2903" s="37">
        <v>-10.514515</v>
      </c>
    </row>
    <row r="2904" ht="14.25" customHeight="1">
      <c r="A2904" s="4" t="s">
        <v>4481</v>
      </c>
      <c r="B2904" s="37">
        <v>19.0</v>
      </c>
      <c r="C2904" s="37">
        <v>8.396942</v>
      </c>
      <c r="D2904" s="37">
        <v>-10.603058</v>
      </c>
    </row>
    <row r="2905" ht="14.25" customHeight="1">
      <c r="A2905" s="4" t="s">
        <v>2647</v>
      </c>
      <c r="B2905" s="37">
        <v>40.0</v>
      </c>
      <c r="C2905" s="37">
        <v>29.374178</v>
      </c>
      <c r="D2905" s="37">
        <v>-10.625822</v>
      </c>
    </row>
    <row r="2906" ht="14.25" customHeight="1">
      <c r="A2906" s="4" t="s">
        <v>2861</v>
      </c>
      <c r="B2906" s="37">
        <v>34.0</v>
      </c>
      <c r="C2906" s="37">
        <v>23.360779</v>
      </c>
      <c r="D2906" s="37">
        <v>-10.639221</v>
      </c>
    </row>
    <row r="2907" ht="14.25" customHeight="1">
      <c r="A2907" s="4" t="s">
        <v>5307</v>
      </c>
      <c r="B2907" s="37">
        <v>15.0</v>
      </c>
      <c r="C2907" s="37">
        <v>4.360548</v>
      </c>
      <c r="D2907" s="37">
        <v>-10.639452</v>
      </c>
    </row>
    <row r="2908" ht="14.25" customHeight="1">
      <c r="A2908" s="4" t="s">
        <v>5546</v>
      </c>
      <c r="B2908" s="37">
        <v>11.0</v>
      </c>
      <c r="C2908" s="37">
        <v>0.352786</v>
      </c>
      <c r="D2908" s="37">
        <v>-10.647214</v>
      </c>
    </row>
    <row r="2909" ht="14.25" customHeight="1">
      <c r="A2909" s="4" t="s">
        <v>2236</v>
      </c>
      <c r="B2909" s="37">
        <v>48.0</v>
      </c>
      <c r="C2909" s="37">
        <v>37.339525</v>
      </c>
      <c r="D2909" s="37">
        <v>-10.660475</v>
      </c>
    </row>
    <row r="2910" ht="14.25" customHeight="1">
      <c r="A2910" s="4" t="s">
        <v>3408</v>
      </c>
      <c r="B2910" s="37">
        <v>25.0</v>
      </c>
      <c r="C2910" s="37">
        <v>14.334645</v>
      </c>
      <c r="D2910" s="37">
        <v>-10.665355</v>
      </c>
    </row>
    <row r="2911" ht="14.25" customHeight="1">
      <c r="A2911" s="4" t="s">
        <v>4077</v>
      </c>
      <c r="B2911" s="37">
        <v>22.0</v>
      </c>
      <c r="C2911" s="37">
        <v>11.326836</v>
      </c>
      <c r="D2911" s="37">
        <v>-10.673164</v>
      </c>
    </row>
    <row r="2912" ht="14.25" customHeight="1">
      <c r="A2912" s="4" t="s">
        <v>3524</v>
      </c>
      <c r="B2912" s="37">
        <v>28.0</v>
      </c>
      <c r="C2912" s="37">
        <v>17.324744</v>
      </c>
      <c r="D2912" s="37">
        <v>-10.675256</v>
      </c>
    </row>
    <row r="2913" ht="14.25" customHeight="1">
      <c r="A2913" s="4" t="s">
        <v>3417</v>
      </c>
      <c r="B2913" s="37">
        <v>30.0</v>
      </c>
      <c r="C2913" s="37">
        <v>19.316646</v>
      </c>
      <c r="D2913" s="37">
        <v>-10.683354</v>
      </c>
    </row>
    <row r="2914" ht="14.25" customHeight="1">
      <c r="A2914" s="4" t="s">
        <v>742</v>
      </c>
      <c r="B2914" s="37">
        <v>100.0</v>
      </c>
      <c r="C2914" s="37">
        <v>89.296573</v>
      </c>
      <c r="D2914" s="37">
        <v>-10.703427</v>
      </c>
    </row>
    <row r="2915" ht="14.25" customHeight="1">
      <c r="A2915" s="4" t="s">
        <v>2987</v>
      </c>
      <c r="B2915" s="37">
        <v>35.0</v>
      </c>
      <c r="C2915" s="37">
        <v>24.2765</v>
      </c>
      <c r="D2915" s="37">
        <v>-10.7235</v>
      </c>
    </row>
    <row r="2916" ht="14.25" customHeight="1">
      <c r="A2916" s="4" t="s">
        <v>351</v>
      </c>
      <c r="B2916" s="37">
        <v>150.0</v>
      </c>
      <c r="C2916" s="37">
        <v>139.259759</v>
      </c>
      <c r="D2916" s="37">
        <v>-10.740241</v>
      </c>
    </row>
    <row r="2917" ht="14.25" customHeight="1">
      <c r="A2917" s="4" t="s">
        <v>5028</v>
      </c>
      <c r="B2917" s="37">
        <v>15.0</v>
      </c>
      <c r="C2917" s="37">
        <v>4.235837</v>
      </c>
      <c r="D2917" s="37">
        <v>-10.764163</v>
      </c>
    </row>
    <row r="2918" ht="14.25" customHeight="1">
      <c r="A2918" s="4" t="s">
        <v>5048</v>
      </c>
      <c r="B2918" s="37">
        <v>12.0</v>
      </c>
      <c r="C2918" s="37">
        <v>1.197786</v>
      </c>
      <c r="D2918" s="37">
        <v>-10.802214</v>
      </c>
    </row>
    <row r="2919" ht="14.25" customHeight="1">
      <c r="A2919" s="4" t="s">
        <v>4799</v>
      </c>
      <c r="B2919" s="37">
        <v>15.0</v>
      </c>
      <c r="C2919" s="37">
        <v>4.193025</v>
      </c>
      <c r="D2919" s="37">
        <v>-10.806975</v>
      </c>
    </row>
    <row r="2920" ht="14.25" customHeight="1">
      <c r="A2920" s="4" t="s">
        <v>3411</v>
      </c>
      <c r="B2920" s="37">
        <v>23.0</v>
      </c>
      <c r="C2920" s="37">
        <v>12.189514</v>
      </c>
      <c r="D2920" s="37">
        <v>-10.810486</v>
      </c>
    </row>
    <row r="2921" ht="14.25" customHeight="1">
      <c r="A2921" s="4" t="s">
        <v>2131</v>
      </c>
      <c r="B2921" s="37">
        <v>50.0</v>
      </c>
      <c r="C2921" s="37">
        <v>39.177541</v>
      </c>
      <c r="D2921" s="37">
        <v>-10.822459</v>
      </c>
    </row>
    <row r="2922" ht="14.25" customHeight="1">
      <c r="A2922" s="4" t="s">
        <v>4313</v>
      </c>
      <c r="B2922" s="37">
        <v>25.0</v>
      </c>
      <c r="C2922" s="37">
        <v>14.174654</v>
      </c>
      <c r="D2922" s="37">
        <v>-10.825346</v>
      </c>
    </row>
    <row r="2923" ht="14.25" customHeight="1">
      <c r="A2923" s="4" t="s">
        <v>2420</v>
      </c>
      <c r="B2923" s="37">
        <v>40.0</v>
      </c>
      <c r="C2923" s="37">
        <v>29.113588</v>
      </c>
      <c r="D2923" s="37">
        <v>-10.886412</v>
      </c>
    </row>
    <row r="2924" ht="14.25" customHeight="1">
      <c r="A2924" s="4" t="s">
        <v>4357</v>
      </c>
      <c r="B2924" s="37">
        <v>20.0</v>
      </c>
      <c r="C2924" s="37">
        <v>9.109322</v>
      </c>
      <c r="D2924" s="37">
        <v>-10.890678</v>
      </c>
    </row>
    <row r="2925" ht="14.25" customHeight="1">
      <c r="A2925" s="4" t="s">
        <v>5261</v>
      </c>
      <c r="B2925" s="37">
        <v>13.0</v>
      </c>
      <c r="C2925" s="37">
        <v>2.104</v>
      </c>
      <c r="D2925" s="37">
        <v>-10.896</v>
      </c>
    </row>
    <row r="2926" ht="14.25" customHeight="1">
      <c r="A2926" s="4" t="s">
        <v>1129</v>
      </c>
      <c r="B2926" s="37">
        <v>80.0</v>
      </c>
      <c r="C2926" s="37">
        <v>69.10291</v>
      </c>
      <c r="D2926" s="37">
        <v>-10.89709</v>
      </c>
    </row>
    <row r="2927" ht="14.25" customHeight="1">
      <c r="A2927" s="4" t="s">
        <v>5147</v>
      </c>
      <c r="B2927" s="37">
        <v>14.0</v>
      </c>
      <c r="C2927" s="37">
        <v>3.10065</v>
      </c>
      <c r="D2927" s="37">
        <v>-10.89935</v>
      </c>
    </row>
    <row r="2928" ht="14.25" customHeight="1">
      <c r="A2928" s="4" t="s">
        <v>3832</v>
      </c>
      <c r="B2928" s="37">
        <v>25.0</v>
      </c>
      <c r="C2928" s="37">
        <v>14.095303</v>
      </c>
      <c r="D2928" s="37">
        <v>-10.904697</v>
      </c>
    </row>
    <row r="2929" ht="14.25" customHeight="1">
      <c r="A2929" s="4" t="s">
        <v>2645</v>
      </c>
      <c r="B2929" s="37">
        <v>40.0</v>
      </c>
      <c r="C2929" s="37">
        <v>29.077547</v>
      </c>
      <c r="D2929" s="37">
        <v>-10.922453</v>
      </c>
    </row>
    <row r="2930" ht="14.25" customHeight="1">
      <c r="A2930" s="4" t="s">
        <v>4517</v>
      </c>
      <c r="B2930" s="37">
        <v>17.0</v>
      </c>
      <c r="C2930" s="37">
        <v>6.061759</v>
      </c>
      <c r="D2930" s="37">
        <v>-10.938241</v>
      </c>
    </row>
    <row r="2931" ht="14.25" customHeight="1">
      <c r="A2931" s="4" t="s">
        <v>5286</v>
      </c>
      <c r="B2931" s="37">
        <v>13.0</v>
      </c>
      <c r="C2931" s="37">
        <v>2.035566</v>
      </c>
      <c r="D2931" s="37">
        <v>-10.964434</v>
      </c>
    </row>
    <row r="2932" ht="14.25" customHeight="1">
      <c r="A2932" s="4" t="s">
        <v>3883</v>
      </c>
      <c r="B2932" s="37">
        <v>15.0</v>
      </c>
      <c r="C2932" s="37">
        <v>4.006906</v>
      </c>
      <c r="D2932" s="37">
        <v>-10.993094</v>
      </c>
    </row>
    <row r="2933" ht="14.25" customHeight="1">
      <c r="A2933" s="4" t="s">
        <v>3940</v>
      </c>
      <c r="B2933" s="37">
        <v>24.0</v>
      </c>
      <c r="C2933" s="37">
        <v>13.0</v>
      </c>
      <c r="D2933" s="37">
        <v>-11.0</v>
      </c>
    </row>
    <row r="2934" ht="14.25" customHeight="1">
      <c r="A2934" s="4" t="s">
        <v>4315</v>
      </c>
      <c r="B2934" s="37">
        <v>27.0</v>
      </c>
      <c r="C2934" s="37">
        <v>15.988876</v>
      </c>
      <c r="D2934" s="37">
        <v>-11.011124</v>
      </c>
    </row>
    <row r="2935" ht="14.25" customHeight="1">
      <c r="A2935" s="4" t="s">
        <v>3835</v>
      </c>
      <c r="B2935" s="37">
        <v>25.0</v>
      </c>
      <c r="C2935" s="37">
        <v>13.973532</v>
      </c>
      <c r="D2935" s="37">
        <v>-11.026468</v>
      </c>
    </row>
    <row r="2936" ht="14.25" customHeight="1">
      <c r="A2936" s="4" t="s">
        <v>3368</v>
      </c>
      <c r="B2936" s="37">
        <v>30.0</v>
      </c>
      <c r="C2936" s="37">
        <v>18.967571</v>
      </c>
      <c r="D2936" s="37">
        <v>-11.032429</v>
      </c>
    </row>
    <row r="2937" ht="14.25" customHeight="1">
      <c r="A2937" s="4" t="s">
        <v>2836</v>
      </c>
      <c r="B2937" s="37">
        <v>38.0</v>
      </c>
      <c r="C2937" s="37">
        <v>26.903709</v>
      </c>
      <c r="D2937" s="37">
        <v>-11.096291</v>
      </c>
    </row>
    <row r="2938" ht="14.25" customHeight="1">
      <c r="A2938" s="4" t="s">
        <v>4369</v>
      </c>
      <c r="B2938" s="37">
        <v>20.0</v>
      </c>
      <c r="C2938" s="37">
        <v>8.888355</v>
      </c>
      <c r="D2938" s="37">
        <v>-11.111645</v>
      </c>
    </row>
    <row r="2939" ht="14.25" customHeight="1">
      <c r="A2939" s="4" t="s">
        <v>4628</v>
      </c>
      <c r="B2939" s="37">
        <v>11.35</v>
      </c>
      <c r="C2939" s="37">
        <v>0.229311</v>
      </c>
      <c r="D2939" s="37">
        <v>-11.120689</v>
      </c>
    </row>
    <row r="2940" ht="14.25" customHeight="1">
      <c r="A2940" s="4" t="s">
        <v>5452</v>
      </c>
      <c r="B2940" s="37">
        <v>12.0</v>
      </c>
      <c r="C2940" s="37">
        <v>0.860002</v>
      </c>
      <c r="D2940" s="37">
        <v>-11.139998</v>
      </c>
    </row>
    <row r="2941" ht="14.25" customHeight="1">
      <c r="A2941" s="4" t="s">
        <v>4797</v>
      </c>
      <c r="B2941" s="37">
        <v>16.0</v>
      </c>
      <c r="C2941" s="37">
        <v>4.839383</v>
      </c>
      <c r="D2941" s="37">
        <v>-11.160617</v>
      </c>
    </row>
    <row r="2942" ht="14.25" customHeight="1">
      <c r="A2942" s="4" t="s">
        <v>3520</v>
      </c>
      <c r="B2942" s="37">
        <v>28.0</v>
      </c>
      <c r="C2942" s="37">
        <v>16.779636</v>
      </c>
      <c r="D2942" s="37">
        <v>-11.220364</v>
      </c>
    </row>
    <row r="2943" ht="14.25" customHeight="1">
      <c r="A2943" s="4" t="s">
        <v>5305</v>
      </c>
      <c r="B2943" s="37">
        <v>12.5</v>
      </c>
      <c r="C2943" s="37">
        <v>1.227324</v>
      </c>
      <c r="D2943" s="37">
        <v>-11.272676</v>
      </c>
    </row>
    <row r="2944" ht="14.25" customHeight="1">
      <c r="A2944" s="4" t="s">
        <v>3850</v>
      </c>
      <c r="B2944" s="37">
        <v>25.0</v>
      </c>
      <c r="C2944" s="37">
        <v>13.651662</v>
      </c>
      <c r="D2944" s="37">
        <v>-11.348338</v>
      </c>
    </row>
    <row r="2945" ht="14.25" customHeight="1">
      <c r="A2945" s="4" t="s">
        <v>4446</v>
      </c>
      <c r="B2945" s="37">
        <v>19.4</v>
      </c>
      <c r="C2945" s="37">
        <v>8.04769</v>
      </c>
      <c r="D2945" s="37">
        <v>-11.35231</v>
      </c>
    </row>
    <row r="2946" ht="14.25" customHeight="1">
      <c r="A2946" s="4" t="s">
        <v>5888</v>
      </c>
      <c r="B2946" s="37">
        <v>11.4</v>
      </c>
      <c r="C2946" s="37">
        <v>0.013751</v>
      </c>
      <c r="D2946" s="37">
        <v>-11.386249</v>
      </c>
    </row>
    <row r="2947" ht="14.25" customHeight="1">
      <c r="A2947" s="4" t="s">
        <v>2130</v>
      </c>
      <c r="B2947" s="37">
        <v>50.0</v>
      </c>
      <c r="C2947" s="37">
        <v>38.5905</v>
      </c>
      <c r="D2947" s="37">
        <v>-11.4095</v>
      </c>
    </row>
    <row r="2948" ht="14.25" customHeight="1">
      <c r="A2948" s="4" t="s">
        <v>5319</v>
      </c>
      <c r="B2948" s="37">
        <v>12.5</v>
      </c>
      <c r="C2948" s="37">
        <v>1.089445</v>
      </c>
      <c r="D2948" s="37">
        <v>-11.410555</v>
      </c>
    </row>
    <row r="2949" ht="14.25" customHeight="1">
      <c r="A2949" s="4" t="s">
        <v>5004</v>
      </c>
      <c r="B2949" s="37">
        <v>20.0</v>
      </c>
      <c r="C2949" s="37">
        <v>8.586376</v>
      </c>
      <c r="D2949" s="37">
        <v>-11.413624</v>
      </c>
    </row>
    <row r="2950" ht="14.25" customHeight="1">
      <c r="A2950" s="4" t="s">
        <v>5453</v>
      </c>
      <c r="B2950" s="37">
        <v>12.0</v>
      </c>
      <c r="C2950" s="37">
        <v>0.548934</v>
      </c>
      <c r="D2950" s="37">
        <v>-11.451066</v>
      </c>
    </row>
    <row r="2951" ht="14.25" customHeight="1">
      <c r="A2951" s="4" t="s">
        <v>2649</v>
      </c>
      <c r="B2951" s="37">
        <v>40.0</v>
      </c>
      <c r="C2951" s="37">
        <v>28.535768</v>
      </c>
      <c r="D2951" s="37">
        <v>-11.464232</v>
      </c>
    </row>
    <row r="2952" ht="14.25" customHeight="1">
      <c r="A2952" s="4" t="s">
        <v>571</v>
      </c>
      <c r="B2952" s="37">
        <v>120.0</v>
      </c>
      <c r="C2952" s="37">
        <v>108.521835</v>
      </c>
      <c r="D2952" s="37">
        <v>-11.478165</v>
      </c>
    </row>
    <row r="2953" ht="14.25" customHeight="1">
      <c r="A2953" s="4" t="s">
        <v>3987</v>
      </c>
      <c r="B2953" s="37">
        <v>23.0</v>
      </c>
      <c r="C2953" s="37">
        <v>11.508423</v>
      </c>
      <c r="D2953" s="37">
        <v>-11.491577</v>
      </c>
    </row>
    <row r="2954" ht="14.25" customHeight="1">
      <c r="A2954" s="4" t="s">
        <v>3365</v>
      </c>
      <c r="B2954" s="37">
        <v>30.0</v>
      </c>
      <c r="C2954" s="37">
        <v>18.500966</v>
      </c>
      <c r="D2954" s="37">
        <v>-11.499034</v>
      </c>
    </row>
    <row r="2955" ht="14.25" customHeight="1">
      <c r="A2955" s="4" t="s">
        <v>4275</v>
      </c>
      <c r="B2955" s="37">
        <v>20.0</v>
      </c>
      <c r="C2955" s="37">
        <v>8.5</v>
      </c>
      <c r="D2955" s="37">
        <v>-11.5</v>
      </c>
    </row>
    <row r="2956" ht="14.25" customHeight="1">
      <c r="A2956" s="4" t="s">
        <v>5149</v>
      </c>
      <c r="B2956" s="37">
        <v>14.0</v>
      </c>
      <c r="C2956" s="37">
        <v>2.474</v>
      </c>
      <c r="D2956" s="37">
        <v>-11.526</v>
      </c>
    </row>
    <row r="2957" ht="14.25" customHeight="1">
      <c r="A2957" s="4" t="s">
        <v>2757</v>
      </c>
      <c r="B2957" s="37">
        <v>18.026148</v>
      </c>
      <c r="C2957" s="37">
        <v>6.498</v>
      </c>
      <c r="D2957" s="37">
        <v>-11.528148</v>
      </c>
    </row>
    <row r="2958" ht="14.25" customHeight="1">
      <c r="A2958" s="4" t="s">
        <v>3640</v>
      </c>
      <c r="B2958" s="37">
        <v>26.0</v>
      </c>
      <c r="C2958" s="37">
        <v>14.469428</v>
      </c>
      <c r="D2958" s="37">
        <v>-11.530572</v>
      </c>
    </row>
    <row r="2959" ht="14.25" customHeight="1">
      <c r="A2959" s="4" t="s">
        <v>1220</v>
      </c>
      <c r="B2959" s="37">
        <v>78.0</v>
      </c>
      <c r="C2959" s="37">
        <v>66.4626</v>
      </c>
      <c r="D2959" s="37">
        <v>-11.5374</v>
      </c>
    </row>
    <row r="2960" ht="14.25" customHeight="1">
      <c r="A2960" s="4" t="s">
        <v>3941</v>
      </c>
      <c r="B2960" s="37">
        <v>24.0</v>
      </c>
      <c r="C2960" s="37">
        <v>12.37241</v>
      </c>
      <c r="D2960" s="37">
        <v>-11.62759</v>
      </c>
    </row>
    <row r="2961" ht="14.25" customHeight="1">
      <c r="A2961" s="4" t="s">
        <v>5719</v>
      </c>
      <c r="B2961" s="37">
        <v>16.0</v>
      </c>
      <c r="C2961" s="37">
        <v>4.356743</v>
      </c>
      <c r="D2961" s="37">
        <v>-11.643257</v>
      </c>
    </row>
    <row r="2962" ht="14.25" customHeight="1">
      <c r="A2962" s="4" t="s">
        <v>5456</v>
      </c>
      <c r="B2962" s="37">
        <v>12.0</v>
      </c>
      <c r="C2962" s="37">
        <v>0.333976</v>
      </c>
      <c r="D2962" s="37">
        <v>-11.666024</v>
      </c>
    </row>
    <row r="2963" ht="14.25" customHeight="1">
      <c r="A2963" s="4" t="s">
        <v>5315</v>
      </c>
      <c r="B2963" s="37">
        <v>12.8</v>
      </c>
      <c r="C2963" s="37">
        <v>1.110186</v>
      </c>
      <c r="D2963" s="37">
        <v>-11.689814</v>
      </c>
    </row>
    <row r="2964" ht="14.25" customHeight="1">
      <c r="A2964" s="4" t="s">
        <v>3396</v>
      </c>
      <c r="B2964" s="37">
        <v>30.0</v>
      </c>
      <c r="C2964" s="37">
        <v>18.298649</v>
      </c>
      <c r="D2964" s="37">
        <v>-11.701351</v>
      </c>
    </row>
    <row r="2965" ht="14.25" customHeight="1">
      <c r="A2965" s="4" t="s">
        <v>5445</v>
      </c>
      <c r="B2965" s="37">
        <v>12.0</v>
      </c>
      <c r="C2965" s="37">
        <v>0.261481</v>
      </c>
      <c r="D2965" s="37">
        <v>-11.738519</v>
      </c>
    </row>
    <row r="2966" ht="14.25" customHeight="1">
      <c r="A2966" s="4" t="s">
        <v>4276</v>
      </c>
      <c r="B2966" s="37">
        <v>30.0</v>
      </c>
      <c r="C2966" s="37">
        <v>18.252684</v>
      </c>
      <c r="D2966" s="37">
        <v>-11.747316</v>
      </c>
    </row>
    <row r="2967" ht="14.25" customHeight="1">
      <c r="A2967" s="4" t="s">
        <v>1561</v>
      </c>
      <c r="B2967" s="37">
        <v>55.0</v>
      </c>
      <c r="C2967" s="37">
        <v>43.24714</v>
      </c>
      <c r="D2967" s="37">
        <v>-11.75286</v>
      </c>
    </row>
    <row r="2968" ht="14.25" customHeight="1">
      <c r="A2968" s="4" t="s">
        <v>5461</v>
      </c>
      <c r="B2968" s="37">
        <v>12.0</v>
      </c>
      <c r="C2968" s="37">
        <v>0.214202</v>
      </c>
      <c r="D2968" s="37">
        <v>-11.785798</v>
      </c>
    </row>
    <row r="2969" ht="14.25" customHeight="1">
      <c r="A2969" s="4" t="s">
        <v>482</v>
      </c>
      <c r="B2969" s="37">
        <v>135.0</v>
      </c>
      <c r="C2969" s="37">
        <v>123.207194</v>
      </c>
      <c r="D2969" s="37">
        <v>-11.792806</v>
      </c>
    </row>
    <row r="2970" ht="14.25" customHeight="1">
      <c r="A2970" s="4" t="s">
        <v>5467</v>
      </c>
      <c r="B2970" s="37">
        <v>12.0</v>
      </c>
      <c r="C2970" s="37">
        <v>0.17537</v>
      </c>
      <c r="D2970" s="37">
        <v>-11.82463</v>
      </c>
    </row>
    <row r="2971" ht="14.25" customHeight="1">
      <c r="A2971" s="4" t="s">
        <v>5262</v>
      </c>
      <c r="B2971" s="37">
        <v>13.0</v>
      </c>
      <c r="C2971" s="37">
        <v>1.172769</v>
      </c>
      <c r="D2971" s="37">
        <v>-11.827231</v>
      </c>
    </row>
    <row r="2972" ht="14.25" customHeight="1">
      <c r="A2972" s="4" t="s">
        <v>551</v>
      </c>
      <c r="B2972" s="37">
        <v>125.0</v>
      </c>
      <c r="C2972" s="37">
        <v>113.165635</v>
      </c>
      <c r="D2972" s="37">
        <v>-11.834365</v>
      </c>
    </row>
    <row r="2973" ht="14.25" customHeight="1">
      <c r="A2973" s="4" t="s">
        <v>4700</v>
      </c>
      <c r="B2973" s="37">
        <v>19.0</v>
      </c>
      <c r="C2973" s="37">
        <v>7.156725</v>
      </c>
      <c r="D2973" s="37">
        <v>-11.843275</v>
      </c>
    </row>
    <row r="2974" ht="14.25" customHeight="1">
      <c r="A2974" s="4" t="s">
        <v>5268</v>
      </c>
      <c r="B2974" s="37">
        <v>13.0</v>
      </c>
      <c r="C2974" s="37">
        <v>1.150403</v>
      </c>
      <c r="D2974" s="37">
        <v>-11.849597</v>
      </c>
    </row>
    <row r="2975" ht="14.25" customHeight="1">
      <c r="A2975" s="4" t="s">
        <v>5482</v>
      </c>
      <c r="B2975" s="37">
        <v>11.9</v>
      </c>
      <c r="C2975" s="37">
        <v>0.048856</v>
      </c>
      <c r="D2975" s="37">
        <v>-11.851144</v>
      </c>
    </row>
    <row r="2976" ht="14.25" customHeight="1">
      <c r="A2976" s="4" t="s">
        <v>5457</v>
      </c>
      <c r="B2976" s="37">
        <v>12.0</v>
      </c>
      <c r="C2976" s="37">
        <v>0.141853</v>
      </c>
      <c r="D2976" s="37">
        <v>-11.858147</v>
      </c>
    </row>
    <row r="2977" ht="14.25" customHeight="1">
      <c r="A2977" s="4" t="s">
        <v>5470</v>
      </c>
      <c r="B2977" s="37">
        <v>12.0</v>
      </c>
      <c r="C2977" s="37">
        <v>0.119922</v>
      </c>
      <c r="D2977" s="37">
        <v>-11.880078</v>
      </c>
    </row>
    <row r="2978" ht="14.25" customHeight="1">
      <c r="A2978" s="4" t="s">
        <v>4359</v>
      </c>
      <c r="B2978" s="37">
        <v>20.0</v>
      </c>
      <c r="C2978" s="37">
        <v>8.104069</v>
      </c>
      <c r="D2978" s="37">
        <v>-11.895931</v>
      </c>
    </row>
    <row r="2979" ht="14.25" customHeight="1">
      <c r="A2979" s="4" t="s">
        <v>4364</v>
      </c>
      <c r="B2979" s="37">
        <v>20.0</v>
      </c>
      <c r="C2979" s="37">
        <v>8.093318</v>
      </c>
      <c r="D2979" s="37">
        <v>-11.906682</v>
      </c>
    </row>
    <row r="2980" ht="14.25" customHeight="1">
      <c r="A2980" s="4" t="s">
        <v>6323</v>
      </c>
      <c r="B2980" s="37">
        <v>12.0</v>
      </c>
      <c r="C2980" s="37">
        <v>0.065804</v>
      </c>
      <c r="D2980" s="37">
        <v>-11.934196</v>
      </c>
    </row>
    <row r="2981" ht="14.25" customHeight="1">
      <c r="A2981" s="4" t="s">
        <v>4361</v>
      </c>
      <c r="B2981" s="37">
        <v>20.0</v>
      </c>
      <c r="C2981" s="37">
        <v>8.05428</v>
      </c>
      <c r="D2981" s="37">
        <v>-11.94572</v>
      </c>
    </row>
    <row r="2982" ht="14.25" customHeight="1">
      <c r="A2982" s="4" t="s">
        <v>3840</v>
      </c>
      <c r="B2982" s="37">
        <v>25.0</v>
      </c>
      <c r="C2982" s="37">
        <v>13.03866</v>
      </c>
      <c r="D2982" s="37">
        <v>-11.96134</v>
      </c>
    </row>
    <row r="2983" ht="14.25" customHeight="1">
      <c r="A2983" s="4" t="s">
        <v>5273</v>
      </c>
      <c r="B2983" s="37">
        <v>13.0</v>
      </c>
      <c r="C2983" s="37">
        <v>1.024175</v>
      </c>
      <c r="D2983" s="37">
        <v>-11.975825</v>
      </c>
    </row>
    <row r="2984" ht="14.25" customHeight="1">
      <c r="A2984" s="4" t="s">
        <v>5474</v>
      </c>
      <c r="B2984" s="37">
        <v>12.0</v>
      </c>
      <c r="C2984" s="37">
        <v>0.014616</v>
      </c>
      <c r="D2984" s="37">
        <v>-11.985384</v>
      </c>
    </row>
    <row r="2985" ht="14.25" customHeight="1">
      <c r="A2985" s="4" t="s">
        <v>4312</v>
      </c>
      <c r="B2985" s="37">
        <v>20.0</v>
      </c>
      <c r="C2985" s="37">
        <v>8.0</v>
      </c>
      <c r="D2985" s="37">
        <v>-12.0</v>
      </c>
    </row>
    <row r="2986" ht="14.25" customHeight="1">
      <c r="A2986" s="4" t="s">
        <v>4599</v>
      </c>
      <c r="B2986" s="37">
        <v>18.0</v>
      </c>
      <c r="C2986" s="37">
        <v>6.0</v>
      </c>
      <c r="D2986" s="37">
        <v>-12.0</v>
      </c>
    </row>
    <row r="2987" ht="14.25" customHeight="1">
      <c r="A2987" s="4" t="s">
        <v>4752</v>
      </c>
      <c r="B2987" s="37">
        <v>18.5</v>
      </c>
      <c r="C2987" s="37">
        <v>6.462576</v>
      </c>
      <c r="D2987" s="37">
        <v>-12.037424</v>
      </c>
    </row>
    <row r="2988" ht="14.25" customHeight="1">
      <c r="A2988" s="4" t="s">
        <v>4040</v>
      </c>
      <c r="B2988" s="37">
        <v>30.0</v>
      </c>
      <c r="C2988" s="37">
        <v>17.951431</v>
      </c>
      <c r="D2988" s="37">
        <v>-12.048569</v>
      </c>
    </row>
    <row r="2989" ht="14.25" customHeight="1">
      <c r="A2989" s="4" t="s">
        <v>4720</v>
      </c>
      <c r="B2989" s="37">
        <v>17.0</v>
      </c>
      <c r="C2989" s="37">
        <v>4.930798</v>
      </c>
      <c r="D2989" s="37">
        <v>-12.069202</v>
      </c>
    </row>
    <row r="2990" ht="14.25" customHeight="1">
      <c r="A2990" s="4" t="s">
        <v>3454</v>
      </c>
      <c r="B2990" s="37">
        <v>29.0</v>
      </c>
      <c r="C2990" s="37">
        <v>16.930185</v>
      </c>
      <c r="D2990" s="37">
        <v>-12.069815</v>
      </c>
    </row>
    <row r="2991" ht="14.25" customHeight="1">
      <c r="A2991" s="4" t="s">
        <v>2992</v>
      </c>
      <c r="B2991" s="37">
        <v>35.0</v>
      </c>
      <c r="C2991" s="37">
        <v>22.913677</v>
      </c>
      <c r="D2991" s="37">
        <v>-12.086323</v>
      </c>
    </row>
    <row r="2992" ht="14.25" customHeight="1">
      <c r="A2992" s="4" t="s">
        <v>4602</v>
      </c>
      <c r="B2992" s="37">
        <v>18.0</v>
      </c>
      <c r="C2992" s="37">
        <v>5.887457</v>
      </c>
      <c r="D2992" s="37">
        <v>-12.112543</v>
      </c>
    </row>
    <row r="2993" ht="14.25" customHeight="1">
      <c r="A2993" s="4" t="s">
        <v>2346</v>
      </c>
      <c r="B2993" s="37">
        <v>35.0</v>
      </c>
      <c r="C2993" s="37">
        <v>22.877808</v>
      </c>
      <c r="D2993" s="37">
        <v>-12.122192</v>
      </c>
    </row>
    <row r="2994" ht="14.25" customHeight="1">
      <c r="A2994" s="4" t="s">
        <v>4354</v>
      </c>
      <c r="B2994" s="37">
        <v>21.0</v>
      </c>
      <c r="C2994" s="37">
        <v>8.855646</v>
      </c>
      <c r="D2994" s="37">
        <v>-12.144354</v>
      </c>
    </row>
    <row r="2995" ht="14.25" customHeight="1">
      <c r="A2995" s="4" t="s">
        <v>3644</v>
      </c>
      <c r="B2995" s="37">
        <v>26.0</v>
      </c>
      <c r="C2995" s="37">
        <v>13.829734</v>
      </c>
      <c r="D2995" s="37">
        <v>-12.170266</v>
      </c>
    </row>
    <row r="2996" ht="14.25" customHeight="1">
      <c r="A2996" s="4" t="s">
        <v>5161</v>
      </c>
      <c r="B2996" s="37">
        <v>14.0</v>
      </c>
      <c r="C2996" s="37">
        <v>1.752214</v>
      </c>
      <c r="D2996" s="37">
        <v>-12.247786</v>
      </c>
    </row>
    <row r="2997" ht="14.25" customHeight="1">
      <c r="A2997" s="4" t="s">
        <v>4575</v>
      </c>
      <c r="B2997" s="37">
        <v>30.0</v>
      </c>
      <c r="C2997" s="37">
        <v>17.750583</v>
      </c>
      <c r="D2997" s="37">
        <v>-12.249417</v>
      </c>
    </row>
    <row r="2998" ht="14.25" customHeight="1">
      <c r="A2998" s="4" t="s">
        <v>4607</v>
      </c>
      <c r="B2998" s="37">
        <v>18.0</v>
      </c>
      <c r="C2998" s="37">
        <v>5.694401</v>
      </c>
      <c r="D2998" s="37">
        <v>-12.305599</v>
      </c>
    </row>
    <row r="2999" ht="14.25" customHeight="1">
      <c r="A2999" s="4" t="s">
        <v>4057</v>
      </c>
      <c r="B2999" s="37">
        <v>22.0</v>
      </c>
      <c r="C2999" s="37">
        <v>9.694105</v>
      </c>
      <c r="D2999" s="37">
        <v>-12.305895</v>
      </c>
    </row>
    <row r="3000" ht="14.25" customHeight="1">
      <c r="A3000" s="4" t="s">
        <v>2650</v>
      </c>
      <c r="B3000" s="37">
        <v>40.0</v>
      </c>
      <c r="C3000" s="37">
        <v>27.663982</v>
      </c>
      <c r="D3000" s="37">
        <v>-12.336018</v>
      </c>
    </row>
    <row r="3001" ht="14.25" customHeight="1">
      <c r="A3001" s="4" t="s">
        <v>3988</v>
      </c>
      <c r="B3001" s="37">
        <v>23.0</v>
      </c>
      <c r="C3001" s="37">
        <v>10.660147</v>
      </c>
      <c r="D3001" s="37">
        <v>-12.339853</v>
      </c>
    </row>
    <row r="3002" ht="14.25" customHeight="1">
      <c r="A3002" s="4" t="s">
        <v>2116</v>
      </c>
      <c r="B3002" s="37">
        <v>55.0</v>
      </c>
      <c r="C3002" s="37">
        <v>42.61</v>
      </c>
      <c r="D3002" s="37">
        <v>-12.39</v>
      </c>
    </row>
    <row r="3003" ht="14.25" customHeight="1">
      <c r="A3003" s="4" t="s">
        <v>2738</v>
      </c>
      <c r="B3003" s="37">
        <v>20.0</v>
      </c>
      <c r="C3003" s="37">
        <v>7.564</v>
      </c>
      <c r="D3003" s="37">
        <v>-12.436</v>
      </c>
    </row>
    <row r="3004" ht="14.25" customHeight="1">
      <c r="A3004" s="4" t="s">
        <v>2189</v>
      </c>
      <c r="B3004" s="37">
        <v>22.0</v>
      </c>
      <c r="C3004" s="37">
        <v>9.528092</v>
      </c>
      <c r="D3004" s="37">
        <v>-12.471908</v>
      </c>
    </row>
    <row r="3005" ht="14.25" customHeight="1">
      <c r="A3005" s="4" t="s">
        <v>2135</v>
      </c>
      <c r="B3005" s="37">
        <v>50.0</v>
      </c>
      <c r="C3005" s="37">
        <v>37.486138</v>
      </c>
      <c r="D3005" s="37">
        <v>-12.513862</v>
      </c>
    </row>
    <row r="3006" ht="14.25" customHeight="1">
      <c r="A3006" s="4" t="s">
        <v>5034</v>
      </c>
      <c r="B3006" s="37">
        <v>15.0</v>
      </c>
      <c r="C3006" s="37">
        <v>2.412045</v>
      </c>
      <c r="D3006" s="37">
        <v>-12.587955</v>
      </c>
    </row>
    <row r="3007" ht="14.25" customHeight="1">
      <c r="A3007" s="4" t="s">
        <v>5279</v>
      </c>
      <c r="B3007" s="37">
        <v>12.62</v>
      </c>
      <c r="C3007" s="37">
        <v>0.031662</v>
      </c>
      <c r="D3007" s="37">
        <v>-12.588338</v>
      </c>
    </row>
    <row r="3008" ht="14.25" customHeight="1">
      <c r="A3008" s="4" t="s">
        <v>2341</v>
      </c>
      <c r="B3008" s="37">
        <v>40.0</v>
      </c>
      <c r="C3008" s="37">
        <v>27.4</v>
      </c>
      <c r="D3008" s="37">
        <v>-12.6</v>
      </c>
    </row>
    <row r="3009" ht="14.25" customHeight="1">
      <c r="A3009" s="4" t="s">
        <v>1528</v>
      </c>
      <c r="B3009" s="37">
        <v>65.0</v>
      </c>
      <c r="C3009" s="37">
        <v>52.397389</v>
      </c>
      <c r="D3009" s="37">
        <v>-12.602611</v>
      </c>
    </row>
    <row r="3010" ht="14.25" customHeight="1">
      <c r="A3010" s="4" t="s">
        <v>4366</v>
      </c>
      <c r="B3010" s="37">
        <v>20.0</v>
      </c>
      <c r="C3010" s="37">
        <v>7.382993</v>
      </c>
      <c r="D3010" s="37">
        <v>-12.617007</v>
      </c>
    </row>
    <row r="3011" ht="14.25" customHeight="1">
      <c r="A3011" s="4" t="s">
        <v>3579</v>
      </c>
      <c r="B3011" s="37">
        <v>27.0</v>
      </c>
      <c r="C3011" s="37">
        <v>14.337579</v>
      </c>
      <c r="D3011" s="37">
        <v>-12.662421</v>
      </c>
    </row>
    <row r="3012" ht="14.25" customHeight="1">
      <c r="A3012" s="4" t="s">
        <v>4818</v>
      </c>
      <c r="B3012" s="37">
        <v>13.0</v>
      </c>
      <c r="C3012" s="37">
        <v>0.336467</v>
      </c>
      <c r="D3012" s="37">
        <v>-12.663533</v>
      </c>
    </row>
    <row r="3013" ht="14.25" customHeight="1">
      <c r="A3013" s="4" t="s">
        <v>5275</v>
      </c>
      <c r="B3013" s="37">
        <v>13.0</v>
      </c>
      <c r="C3013" s="37">
        <v>0.301305</v>
      </c>
      <c r="D3013" s="37">
        <v>-12.698695</v>
      </c>
    </row>
    <row r="3014" ht="14.25" customHeight="1">
      <c r="A3014" s="4" t="s">
        <v>4372</v>
      </c>
      <c r="B3014" s="37">
        <v>20.0</v>
      </c>
      <c r="C3014" s="37">
        <v>7.268659</v>
      </c>
      <c r="D3014" s="37">
        <v>-12.731341</v>
      </c>
    </row>
    <row r="3015" ht="14.25" customHeight="1">
      <c r="A3015" s="4" t="s">
        <v>3374</v>
      </c>
      <c r="B3015" s="37">
        <v>30.0</v>
      </c>
      <c r="C3015" s="37">
        <v>17.266505</v>
      </c>
      <c r="D3015" s="37">
        <v>-12.733495</v>
      </c>
    </row>
    <row r="3016" ht="14.25" customHeight="1">
      <c r="A3016" s="4" t="s">
        <v>5292</v>
      </c>
      <c r="B3016" s="37">
        <v>13.0</v>
      </c>
      <c r="C3016" s="37">
        <v>0.214966</v>
      </c>
      <c r="D3016" s="37">
        <v>-12.785034</v>
      </c>
    </row>
    <row r="3017" ht="14.25" customHeight="1">
      <c r="A3017" s="4" t="s">
        <v>5037</v>
      </c>
      <c r="B3017" s="37">
        <v>15.0</v>
      </c>
      <c r="C3017" s="37">
        <v>2.203641</v>
      </c>
      <c r="D3017" s="37">
        <v>-12.796359</v>
      </c>
    </row>
    <row r="3018" ht="14.25" customHeight="1">
      <c r="A3018" s="4" t="s">
        <v>4050</v>
      </c>
      <c r="B3018" s="37">
        <v>23.5</v>
      </c>
      <c r="C3018" s="37">
        <v>10.69621</v>
      </c>
      <c r="D3018" s="37">
        <v>-12.80379</v>
      </c>
    </row>
    <row r="3019" ht="14.25" customHeight="1">
      <c r="A3019" s="4" t="s">
        <v>2419</v>
      </c>
      <c r="B3019" s="37">
        <v>44.0</v>
      </c>
      <c r="C3019" s="37">
        <v>31.13695</v>
      </c>
      <c r="D3019" s="37">
        <v>-12.86305</v>
      </c>
    </row>
    <row r="3020" ht="14.25" customHeight="1">
      <c r="A3020" s="4" t="s">
        <v>3113</v>
      </c>
      <c r="B3020" s="37">
        <v>30.0</v>
      </c>
      <c r="C3020" s="37">
        <v>17.120019</v>
      </c>
      <c r="D3020" s="37">
        <v>-12.879981</v>
      </c>
    </row>
    <row r="3021" ht="14.25" customHeight="1">
      <c r="A3021" s="4" t="s">
        <v>3334</v>
      </c>
      <c r="B3021" s="37">
        <v>45.0</v>
      </c>
      <c r="C3021" s="37">
        <v>32.095318</v>
      </c>
      <c r="D3021" s="37">
        <v>-12.904682</v>
      </c>
    </row>
    <row r="3022" ht="14.25" customHeight="1">
      <c r="A3022" s="4" t="s">
        <v>5535</v>
      </c>
      <c r="B3022" s="37">
        <v>17.0</v>
      </c>
      <c r="C3022" s="37">
        <v>4.068087</v>
      </c>
      <c r="D3022" s="37">
        <v>-12.931913</v>
      </c>
    </row>
    <row r="3023" ht="14.25" customHeight="1">
      <c r="A3023" s="4" t="s">
        <v>2652</v>
      </c>
      <c r="B3023" s="37">
        <v>40.0</v>
      </c>
      <c r="C3023" s="37">
        <v>27.053815</v>
      </c>
      <c r="D3023" s="37">
        <v>-12.946185</v>
      </c>
    </row>
    <row r="3024" ht="14.25" customHeight="1">
      <c r="A3024" s="4" t="s">
        <v>5200</v>
      </c>
      <c r="B3024" s="37">
        <v>13.0</v>
      </c>
      <c r="C3024" s="37">
        <v>0.023947</v>
      </c>
      <c r="D3024" s="37">
        <v>-12.976053</v>
      </c>
    </row>
    <row r="3025" ht="14.25" customHeight="1">
      <c r="A3025" s="4" t="s">
        <v>5151</v>
      </c>
      <c r="B3025" s="37">
        <v>14.0</v>
      </c>
      <c r="C3025" s="37">
        <v>1.0</v>
      </c>
      <c r="D3025" s="37">
        <v>-13.0</v>
      </c>
    </row>
    <row r="3026" ht="14.25" customHeight="1">
      <c r="A3026" s="4" t="s">
        <v>5042</v>
      </c>
      <c r="B3026" s="37">
        <v>15.0</v>
      </c>
      <c r="C3026" s="37">
        <v>1.954202</v>
      </c>
      <c r="D3026" s="37">
        <v>-13.045798</v>
      </c>
    </row>
    <row r="3027" ht="14.25" customHeight="1">
      <c r="A3027" s="4" t="s">
        <v>5040</v>
      </c>
      <c r="B3027" s="37">
        <v>15.0</v>
      </c>
      <c r="C3027" s="37">
        <v>1.953732</v>
      </c>
      <c r="D3027" s="37">
        <v>-13.046268</v>
      </c>
    </row>
    <row r="3028" ht="14.25" customHeight="1">
      <c r="A3028" s="4" t="s">
        <v>3376</v>
      </c>
      <c r="B3028" s="37">
        <v>30.0</v>
      </c>
      <c r="C3028" s="37">
        <v>16.930884</v>
      </c>
      <c r="D3028" s="37">
        <v>-13.069116</v>
      </c>
    </row>
    <row r="3029" ht="14.25" customHeight="1">
      <c r="A3029" s="4" t="s">
        <v>4803</v>
      </c>
      <c r="B3029" s="37">
        <v>16.0</v>
      </c>
      <c r="C3029" s="37">
        <v>2.849142</v>
      </c>
      <c r="D3029" s="37">
        <v>-13.150858</v>
      </c>
    </row>
    <row r="3030" ht="14.25" customHeight="1">
      <c r="A3030" s="4" t="s">
        <v>5753</v>
      </c>
      <c r="B3030" s="37">
        <v>14.0</v>
      </c>
      <c r="C3030" s="37">
        <v>0.8</v>
      </c>
      <c r="D3030" s="37">
        <v>-13.2</v>
      </c>
    </row>
    <row r="3031" ht="14.25" customHeight="1">
      <c r="A3031" s="4" t="s">
        <v>3141</v>
      </c>
      <c r="B3031" s="37">
        <v>35.0</v>
      </c>
      <c r="C3031" s="37">
        <v>21.784432</v>
      </c>
      <c r="D3031" s="37">
        <v>-13.215568</v>
      </c>
    </row>
    <row r="3032" ht="14.25" customHeight="1">
      <c r="A3032" s="4" t="s">
        <v>5174</v>
      </c>
      <c r="B3032" s="37">
        <v>13.4</v>
      </c>
      <c r="C3032" s="37">
        <v>0.163591</v>
      </c>
      <c r="D3032" s="37">
        <v>-13.236409</v>
      </c>
    </row>
    <row r="3033" ht="14.25" customHeight="1">
      <c r="A3033" s="4" t="s">
        <v>520</v>
      </c>
      <c r="B3033" s="37">
        <v>127.0</v>
      </c>
      <c r="C3033" s="37">
        <v>113.733726</v>
      </c>
      <c r="D3033" s="37">
        <v>-13.266274</v>
      </c>
    </row>
    <row r="3034" ht="14.25" customHeight="1">
      <c r="A3034" s="4" t="s">
        <v>7068</v>
      </c>
      <c r="B3034" s="37">
        <v>13.5</v>
      </c>
      <c r="C3034" s="37">
        <v>0.186354</v>
      </c>
      <c r="D3034" s="37">
        <v>-13.313646</v>
      </c>
    </row>
    <row r="3035" ht="14.25" customHeight="1">
      <c r="A3035" s="4" t="s">
        <v>3993</v>
      </c>
      <c r="B3035" s="37">
        <v>19.43</v>
      </c>
      <c r="C3035" s="37">
        <v>6.109075</v>
      </c>
      <c r="D3035" s="37">
        <v>-13.320925</v>
      </c>
    </row>
    <row r="3036" ht="14.25" customHeight="1">
      <c r="A3036" s="4" t="s">
        <v>1829</v>
      </c>
      <c r="B3036" s="37">
        <v>58.0</v>
      </c>
      <c r="C3036" s="37">
        <v>44.665963</v>
      </c>
      <c r="D3036" s="37">
        <v>-13.334037</v>
      </c>
    </row>
    <row r="3037" ht="14.25" customHeight="1">
      <c r="A3037" s="4" t="s">
        <v>3157</v>
      </c>
      <c r="B3037" s="37">
        <v>32.0</v>
      </c>
      <c r="C3037" s="37">
        <v>18.636537</v>
      </c>
      <c r="D3037" s="37">
        <v>-13.363463</v>
      </c>
    </row>
    <row r="3038" ht="14.25" customHeight="1">
      <c r="A3038" s="4" t="s">
        <v>2154</v>
      </c>
      <c r="B3038" s="37">
        <v>40.0</v>
      </c>
      <c r="C3038" s="37">
        <v>26.616999</v>
      </c>
      <c r="D3038" s="37">
        <v>-13.383001</v>
      </c>
    </row>
    <row r="3039" ht="14.25" customHeight="1">
      <c r="A3039" s="4" t="s">
        <v>1905</v>
      </c>
      <c r="B3039" s="37">
        <v>55.0</v>
      </c>
      <c r="C3039" s="37">
        <v>41.609593</v>
      </c>
      <c r="D3039" s="37">
        <v>-13.390407</v>
      </c>
    </row>
    <row r="3040" ht="14.25" customHeight="1">
      <c r="A3040" s="4" t="s">
        <v>3896</v>
      </c>
      <c r="B3040" s="37">
        <v>13.5</v>
      </c>
      <c r="C3040" s="37">
        <v>0.085433</v>
      </c>
      <c r="D3040" s="37">
        <v>-13.414567</v>
      </c>
    </row>
    <row r="3041" ht="14.25" customHeight="1">
      <c r="A3041" s="4" t="s">
        <v>1306</v>
      </c>
      <c r="B3041" s="37">
        <v>69.0</v>
      </c>
      <c r="C3041" s="37">
        <v>55.585389</v>
      </c>
      <c r="D3041" s="37">
        <v>-13.414611</v>
      </c>
    </row>
    <row r="3042" ht="14.25" customHeight="1">
      <c r="A3042" s="4" t="s">
        <v>4376</v>
      </c>
      <c r="B3042" s="37">
        <v>20.0</v>
      </c>
      <c r="C3042" s="37">
        <v>6.563357</v>
      </c>
      <c r="D3042" s="37">
        <v>-13.436643</v>
      </c>
    </row>
    <row r="3043" ht="14.25" customHeight="1">
      <c r="A3043" s="4" t="s">
        <v>3843</v>
      </c>
      <c r="B3043" s="37">
        <v>25.0</v>
      </c>
      <c r="C3043" s="37">
        <v>11.538204</v>
      </c>
      <c r="D3043" s="37">
        <v>-13.461796</v>
      </c>
    </row>
    <row r="3044" ht="14.25" customHeight="1">
      <c r="A3044" s="4" t="s">
        <v>4618</v>
      </c>
      <c r="B3044" s="37">
        <v>18.0</v>
      </c>
      <c r="C3044" s="37">
        <v>4.435083</v>
      </c>
      <c r="D3044" s="37">
        <v>-13.564917</v>
      </c>
    </row>
    <row r="3045" ht="14.25" customHeight="1">
      <c r="A3045" s="4" t="s">
        <v>2716</v>
      </c>
      <c r="B3045" s="37">
        <v>24.0</v>
      </c>
      <c r="C3045" s="37">
        <v>10.43122</v>
      </c>
      <c r="D3045" s="37">
        <v>-13.56878</v>
      </c>
    </row>
    <row r="3046" ht="14.25" customHeight="1">
      <c r="A3046" s="4" t="s">
        <v>4822</v>
      </c>
      <c r="B3046" s="37">
        <v>16.0</v>
      </c>
      <c r="C3046" s="37">
        <v>2.428883</v>
      </c>
      <c r="D3046" s="37">
        <v>-13.571117</v>
      </c>
    </row>
    <row r="3047" ht="14.25" customHeight="1">
      <c r="A3047" s="4" t="s">
        <v>4381</v>
      </c>
      <c r="B3047" s="37">
        <v>20.0</v>
      </c>
      <c r="C3047" s="37">
        <v>6.420319</v>
      </c>
      <c r="D3047" s="37">
        <v>-13.579681</v>
      </c>
    </row>
    <row r="3048" ht="14.25" customHeight="1">
      <c r="A3048" s="4" t="s">
        <v>4612</v>
      </c>
      <c r="B3048" s="37">
        <v>18.0</v>
      </c>
      <c r="C3048" s="37">
        <v>4.414535</v>
      </c>
      <c r="D3048" s="37">
        <v>-13.585465</v>
      </c>
    </row>
    <row r="3049" ht="14.25" customHeight="1">
      <c r="A3049" s="4" t="s">
        <v>296</v>
      </c>
      <c r="B3049" s="37">
        <v>160.0</v>
      </c>
      <c r="C3049" s="37">
        <v>146.405371</v>
      </c>
      <c r="D3049" s="37">
        <v>-13.594629</v>
      </c>
    </row>
    <row r="3050" ht="14.25" customHeight="1">
      <c r="A3050" s="4" t="s">
        <v>2457</v>
      </c>
      <c r="B3050" s="37">
        <v>40.0</v>
      </c>
      <c r="C3050" s="37">
        <v>26.404753</v>
      </c>
      <c r="D3050" s="37">
        <v>-13.595247</v>
      </c>
    </row>
    <row r="3051" ht="14.25" customHeight="1">
      <c r="A3051" s="4" t="s">
        <v>4470</v>
      </c>
      <c r="B3051" s="37">
        <v>15.0</v>
      </c>
      <c r="C3051" s="37">
        <v>1.357042</v>
      </c>
      <c r="D3051" s="37">
        <v>-13.642958</v>
      </c>
    </row>
    <row r="3052" ht="14.25" customHeight="1">
      <c r="A3052" s="4" t="s">
        <v>5043</v>
      </c>
      <c r="B3052" s="37">
        <v>15.0</v>
      </c>
      <c r="C3052" s="37">
        <v>1.29464</v>
      </c>
      <c r="D3052" s="37">
        <v>-13.70536</v>
      </c>
    </row>
    <row r="3053" ht="14.25" customHeight="1">
      <c r="A3053" s="4" t="s">
        <v>3654</v>
      </c>
      <c r="B3053" s="37">
        <v>26.0</v>
      </c>
      <c r="C3053" s="37">
        <v>12.27681</v>
      </c>
      <c r="D3053" s="37">
        <v>-13.72319</v>
      </c>
    </row>
    <row r="3054" ht="14.25" customHeight="1">
      <c r="A3054" s="4" t="s">
        <v>4562</v>
      </c>
      <c r="B3054" s="37">
        <v>18.0</v>
      </c>
      <c r="C3054" s="37">
        <v>4.25032</v>
      </c>
      <c r="D3054" s="37">
        <v>-13.74968</v>
      </c>
    </row>
    <row r="3055" ht="14.25" customHeight="1">
      <c r="A3055" s="4" t="s">
        <v>3585</v>
      </c>
      <c r="B3055" s="37">
        <v>27.0</v>
      </c>
      <c r="C3055" s="37">
        <v>13.248477</v>
      </c>
      <c r="D3055" s="37">
        <v>-13.751523</v>
      </c>
    </row>
    <row r="3056" ht="14.25" customHeight="1">
      <c r="A3056" s="4" t="s">
        <v>3847</v>
      </c>
      <c r="B3056" s="37">
        <v>26.0</v>
      </c>
      <c r="C3056" s="37">
        <v>12.188642</v>
      </c>
      <c r="D3056" s="37">
        <v>-13.811358</v>
      </c>
    </row>
    <row r="3057" ht="14.25" customHeight="1">
      <c r="A3057" s="4" t="s">
        <v>3363</v>
      </c>
      <c r="B3057" s="37">
        <v>35.0</v>
      </c>
      <c r="C3057" s="37">
        <v>21.129348</v>
      </c>
      <c r="D3057" s="37">
        <v>-13.870652</v>
      </c>
    </row>
    <row r="3058" ht="14.25" customHeight="1">
      <c r="A3058" s="4" t="s">
        <v>6955</v>
      </c>
      <c r="B3058" s="37">
        <v>14.0</v>
      </c>
      <c r="C3058" s="37">
        <v>0.115504</v>
      </c>
      <c r="D3058" s="37">
        <v>-13.884496</v>
      </c>
    </row>
    <row r="3059" ht="14.25" customHeight="1">
      <c r="A3059" s="4" t="s">
        <v>3849</v>
      </c>
      <c r="B3059" s="37">
        <v>25.0</v>
      </c>
      <c r="C3059" s="37">
        <v>11.1</v>
      </c>
      <c r="D3059" s="37">
        <v>-13.9</v>
      </c>
    </row>
    <row r="3060" ht="14.25" customHeight="1">
      <c r="A3060" s="4" t="s">
        <v>220</v>
      </c>
      <c r="B3060" s="37">
        <v>175.0</v>
      </c>
      <c r="C3060" s="37">
        <v>161.087183</v>
      </c>
      <c r="D3060" s="37">
        <v>-13.912817</v>
      </c>
    </row>
    <row r="3061" ht="14.25" customHeight="1">
      <c r="A3061" s="4" t="s">
        <v>6676</v>
      </c>
      <c r="B3061" s="37">
        <v>14.0</v>
      </c>
      <c r="C3061" s="37">
        <v>0.075078</v>
      </c>
      <c r="D3061" s="37">
        <v>-13.924922</v>
      </c>
    </row>
    <row r="3062" ht="14.25" customHeight="1">
      <c r="A3062" s="4" t="s">
        <v>4631</v>
      </c>
      <c r="B3062" s="37">
        <v>14.0</v>
      </c>
      <c r="C3062" s="37">
        <v>0.06326</v>
      </c>
      <c r="D3062" s="37">
        <v>-13.93674</v>
      </c>
    </row>
    <row r="3063" ht="14.25" customHeight="1">
      <c r="A3063" s="4" t="s">
        <v>5160</v>
      </c>
      <c r="B3063" s="37">
        <v>14.0</v>
      </c>
      <c r="C3063" s="37">
        <v>0.046495</v>
      </c>
      <c r="D3063" s="37">
        <v>-13.953505</v>
      </c>
    </row>
    <row r="3064" ht="14.25" customHeight="1">
      <c r="A3064" s="4" t="s">
        <v>2796</v>
      </c>
      <c r="B3064" s="37">
        <v>38.0</v>
      </c>
      <c r="C3064" s="37">
        <v>24.044532</v>
      </c>
      <c r="D3064" s="37">
        <v>-13.955468</v>
      </c>
    </row>
    <row r="3065" ht="14.25" customHeight="1">
      <c r="A3065" s="4" t="s">
        <v>5311</v>
      </c>
      <c r="B3065" s="37">
        <v>15.0</v>
      </c>
      <c r="C3065" s="37">
        <v>1.039869</v>
      </c>
      <c r="D3065" s="37">
        <v>-13.960131</v>
      </c>
    </row>
    <row r="3066" ht="14.25" customHeight="1">
      <c r="A3066" s="4" t="s">
        <v>3844</v>
      </c>
      <c r="B3066" s="37">
        <v>25.0</v>
      </c>
      <c r="C3066" s="37">
        <v>11.008432</v>
      </c>
      <c r="D3066" s="37">
        <v>-13.991568</v>
      </c>
    </row>
    <row r="3067" ht="14.25" customHeight="1">
      <c r="A3067" s="4" t="s">
        <v>4385</v>
      </c>
      <c r="B3067" s="37">
        <v>20.0</v>
      </c>
      <c r="C3067" s="37">
        <v>6.002756</v>
      </c>
      <c r="D3067" s="37">
        <v>-13.997244</v>
      </c>
    </row>
    <row r="3068" ht="14.25" customHeight="1">
      <c r="A3068" s="4" t="s">
        <v>1718</v>
      </c>
      <c r="B3068" s="37">
        <v>60.0</v>
      </c>
      <c r="C3068" s="37">
        <v>45.996718</v>
      </c>
      <c r="D3068" s="37">
        <v>-14.003282</v>
      </c>
    </row>
    <row r="3069" ht="14.25" customHeight="1">
      <c r="A3069" s="4" t="s">
        <v>4808</v>
      </c>
      <c r="B3069" s="37">
        <v>16.0</v>
      </c>
      <c r="C3069" s="37">
        <v>1.984743</v>
      </c>
      <c r="D3069" s="37">
        <v>-14.015257</v>
      </c>
    </row>
    <row r="3070" ht="14.25" customHeight="1">
      <c r="A3070" s="4" t="s">
        <v>1705</v>
      </c>
      <c r="B3070" s="37">
        <v>61.0</v>
      </c>
      <c r="C3070" s="37">
        <v>46.975183</v>
      </c>
      <c r="D3070" s="37">
        <v>-14.024817</v>
      </c>
    </row>
    <row r="3071" ht="14.25" customHeight="1">
      <c r="A3071" s="4" t="s">
        <v>1131</v>
      </c>
      <c r="B3071" s="37">
        <v>80.0</v>
      </c>
      <c r="C3071" s="37">
        <v>65.948711</v>
      </c>
      <c r="D3071" s="37">
        <v>-14.051289</v>
      </c>
    </row>
    <row r="3072" ht="14.25" customHeight="1">
      <c r="A3072" s="4" t="s">
        <v>1396</v>
      </c>
      <c r="B3072" s="37">
        <v>70.0</v>
      </c>
      <c r="C3072" s="37">
        <v>55.94283</v>
      </c>
      <c r="D3072" s="37">
        <v>-14.05717</v>
      </c>
    </row>
    <row r="3073" ht="14.25" customHeight="1">
      <c r="A3073" s="4" t="s">
        <v>6167</v>
      </c>
      <c r="B3073" s="37">
        <v>15.0</v>
      </c>
      <c r="C3073" s="37">
        <v>0.927107</v>
      </c>
      <c r="D3073" s="37">
        <v>-14.072893</v>
      </c>
    </row>
    <row r="3074" ht="14.25" customHeight="1">
      <c r="A3074" s="4" t="s">
        <v>3855</v>
      </c>
      <c r="B3074" s="37">
        <v>25.0</v>
      </c>
      <c r="C3074" s="37">
        <v>10.91175</v>
      </c>
      <c r="D3074" s="37">
        <v>-14.08825</v>
      </c>
    </row>
    <row r="3075" ht="14.25" customHeight="1">
      <c r="A3075" s="4" t="s">
        <v>5081</v>
      </c>
      <c r="B3075" s="37">
        <v>14.2</v>
      </c>
      <c r="C3075" s="37">
        <v>0.074205</v>
      </c>
      <c r="D3075" s="37">
        <v>-14.125795</v>
      </c>
    </row>
    <row r="3076" ht="14.25" customHeight="1">
      <c r="A3076" s="4" t="s">
        <v>3016</v>
      </c>
      <c r="B3076" s="37">
        <v>31.0</v>
      </c>
      <c r="C3076" s="37">
        <v>16.831505</v>
      </c>
      <c r="D3076" s="37">
        <v>-14.168495</v>
      </c>
    </row>
    <row r="3077" ht="14.25" customHeight="1">
      <c r="A3077" s="4" t="s">
        <v>4103</v>
      </c>
      <c r="B3077" s="37">
        <v>21.0</v>
      </c>
      <c r="C3077" s="37">
        <v>6.830957</v>
      </c>
      <c r="D3077" s="37">
        <v>-14.169043</v>
      </c>
    </row>
    <row r="3078" ht="14.25" customHeight="1">
      <c r="A3078" s="4" t="s">
        <v>931</v>
      </c>
      <c r="B3078" s="37">
        <v>90.0</v>
      </c>
      <c r="C3078" s="37">
        <v>75.817994</v>
      </c>
      <c r="D3078" s="37">
        <v>-14.182006</v>
      </c>
    </row>
    <row r="3079" ht="14.25" customHeight="1">
      <c r="A3079" s="4" t="s">
        <v>3179</v>
      </c>
      <c r="B3079" s="37">
        <v>32.0</v>
      </c>
      <c r="C3079" s="37">
        <v>17.797316</v>
      </c>
      <c r="D3079" s="37">
        <v>-14.202684</v>
      </c>
    </row>
    <row r="3080" ht="14.25" customHeight="1">
      <c r="A3080" s="4" t="s">
        <v>3854</v>
      </c>
      <c r="B3080" s="37">
        <v>25.0</v>
      </c>
      <c r="C3080" s="37">
        <v>10.76996</v>
      </c>
      <c r="D3080" s="37">
        <v>-14.23004</v>
      </c>
    </row>
    <row r="3081" ht="14.25" customHeight="1">
      <c r="A3081" s="4" t="s">
        <v>3426</v>
      </c>
      <c r="B3081" s="37">
        <v>18.0</v>
      </c>
      <c r="C3081" s="37">
        <v>3.752725</v>
      </c>
      <c r="D3081" s="37">
        <v>-14.247275</v>
      </c>
    </row>
    <row r="3082" ht="14.25" customHeight="1">
      <c r="A3082" s="4" t="s">
        <v>4393</v>
      </c>
      <c r="B3082" s="37">
        <v>20.0</v>
      </c>
      <c r="C3082" s="37">
        <v>5.749134</v>
      </c>
      <c r="D3082" s="37">
        <v>-14.250866</v>
      </c>
    </row>
    <row r="3083" ht="14.25" customHeight="1">
      <c r="A3083" s="4" t="s">
        <v>3857</v>
      </c>
      <c r="B3083" s="37">
        <v>25.0</v>
      </c>
      <c r="C3083" s="37">
        <v>10.719367</v>
      </c>
      <c r="D3083" s="37">
        <v>-14.280633</v>
      </c>
    </row>
    <row r="3084" ht="14.25" customHeight="1">
      <c r="A3084" s="4" t="s">
        <v>3386</v>
      </c>
      <c r="B3084" s="37">
        <v>30.0</v>
      </c>
      <c r="C3084" s="37">
        <v>15.709385</v>
      </c>
      <c r="D3084" s="37">
        <v>-14.290615</v>
      </c>
    </row>
    <row r="3085" ht="14.25" customHeight="1">
      <c r="A3085" s="4" t="s">
        <v>4614</v>
      </c>
      <c r="B3085" s="37">
        <v>18.0</v>
      </c>
      <c r="C3085" s="37">
        <v>3.707794</v>
      </c>
      <c r="D3085" s="37">
        <v>-14.292206</v>
      </c>
    </row>
    <row r="3086" ht="14.25" customHeight="1">
      <c r="A3086" s="4" t="s">
        <v>4605</v>
      </c>
      <c r="B3086" s="37">
        <v>20.0</v>
      </c>
      <c r="C3086" s="37">
        <v>5.701643</v>
      </c>
      <c r="D3086" s="37">
        <v>-14.298357</v>
      </c>
    </row>
    <row r="3087" ht="14.25" customHeight="1">
      <c r="A3087" s="4" t="s">
        <v>4685</v>
      </c>
      <c r="B3087" s="37">
        <v>34.0</v>
      </c>
      <c r="C3087" s="37">
        <v>19.693891</v>
      </c>
      <c r="D3087" s="37">
        <v>-14.306109</v>
      </c>
    </row>
    <row r="3088" ht="14.25" customHeight="1">
      <c r="A3088" s="4" t="s">
        <v>4807</v>
      </c>
      <c r="B3088" s="37">
        <v>16.0</v>
      </c>
      <c r="C3088" s="37">
        <v>1.686429</v>
      </c>
      <c r="D3088" s="37">
        <v>-14.313571</v>
      </c>
    </row>
    <row r="3089" ht="14.25" customHeight="1">
      <c r="A3089" s="4" t="s">
        <v>4826</v>
      </c>
      <c r="B3089" s="37">
        <v>15.5</v>
      </c>
      <c r="C3089" s="37">
        <v>1.181197</v>
      </c>
      <c r="D3089" s="37">
        <v>-14.318803</v>
      </c>
    </row>
    <row r="3090" ht="14.25" customHeight="1">
      <c r="A3090" s="4" t="s">
        <v>4810</v>
      </c>
      <c r="B3090" s="37">
        <v>16.0</v>
      </c>
      <c r="C3090" s="37">
        <v>1.666262</v>
      </c>
      <c r="D3090" s="37">
        <v>-14.333738</v>
      </c>
    </row>
    <row r="3091" ht="14.25" customHeight="1">
      <c r="A3091" s="4" t="s">
        <v>1626</v>
      </c>
      <c r="B3091" s="37">
        <v>105.0</v>
      </c>
      <c r="C3091" s="37">
        <v>90.646554</v>
      </c>
      <c r="D3091" s="37">
        <v>-14.353446</v>
      </c>
    </row>
    <row r="3092" ht="14.25" customHeight="1">
      <c r="A3092" s="4" t="s">
        <v>3945</v>
      </c>
      <c r="B3092" s="37">
        <v>24.0</v>
      </c>
      <c r="C3092" s="37">
        <v>9.639242</v>
      </c>
      <c r="D3092" s="37">
        <v>-14.360758</v>
      </c>
    </row>
    <row r="3093" ht="14.25" customHeight="1">
      <c r="A3093" s="4" t="s">
        <v>5052</v>
      </c>
      <c r="B3093" s="37">
        <v>15.0</v>
      </c>
      <c r="C3093" s="37">
        <v>0.613556</v>
      </c>
      <c r="D3093" s="37">
        <v>-14.386444</v>
      </c>
    </row>
    <row r="3094" ht="14.25" customHeight="1">
      <c r="A3094" s="4" t="s">
        <v>5302</v>
      </c>
      <c r="B3094" s="37">
        <v>16.0</v>
      </c>
      <c r="C3094" s="37">
        <v>1.508689</v>
      </c>
      <c r="D3094" s="37">
        <v>-14.491311</v>
      </c>
    </row>
    <row r="3095" ht="14.25" customHeight="1">
      <c r="A3095" s="4" t="s">
        <v>2838</v>
      </c>
      <c r="B3095" s="37">
        <v>37.0</v>
      </c>
      <c r="C3095" s="37">
        <v>22.450975</v>
      </c>
      <c r="D3095" s="37">
        <v>-14.549025</v>
      </c>
    </row>
    <row r="3096" ht="14.25" customHeight="1">
      <c r="A3096" s="4" t="s">
        <v>3358</v>
      </c>
      <c r="B3096" s="37">
        <v>35.0</v>
      </c>
      <c r="C3096" s="37">
        <v>20.422207</v>
      </c>
      <c r="D3096" s="37">
        <v>-14.577793</v>
      </c>
    </row>
    <row r="3097" ht="14.25" customHeight="1">
      <c r="A3097" s="4" t="s">
        <v>5551</v>
      </c>
      <c r="B3097" s="37">
        <v>15.0</v>
      </c>
      <c r="C3097" s="37">
        <v>0.399879</v>
      </c>
      <c r="D3097" s="37">
        <v>-14.600121</v>
      </c>
    </row>
    <row r="3098" ht="14.25" customHeight="1">
      <c r="A3098" s="4" t="s">
        <v>1604</v>
      </c>
      <c r="B3098" s="37">
        <v>150.0</v>
      </c>
      <c r="C3098" s="37">
        <v>135.381507</v>
      </c>
      <c r="D3098" s="37">
        <v>-14.618493</v>
      </c>
    </row>
    <row r="3099" ht="14.25" customHeight="1">
      <c r="A3099" s="4" t="s">
        <v>5055</v>
      </c>
      <c r="B3099" s="37">
        <v>15.0</v>
      </c>
      <c r="C3099" s="37">
        <v>0.353743</v>
      </c>
      <c r="D3099" s="37">
        <v>-14.646257</v>
      </c>
    </row>
    <row r="3100" ht="14.25" customHeight="1">
      <c r="A3100" s="4" t="s">
        <v>2765</v>
      </c>
      <c r="B3100" s="37">
        <v>40.0</v>
      </c>
      <c r="C3100" s="37">
        <v>25.335935</v>
      </c>
      <c r="D3100" s="37">
        <v>-14.664065</v>
      </c>
    </row>
    <row r="3101" ht="14.25" customHeight="1">
      <c r="A3101" s="4" t="s">
        <v>4610</v>
      </c>
      <c r="B3101" s="37">
        <v>20.0</v>
      </c>
      <c r="C3101" s="37">
        <v>5.333658</v>
      </c>
      <c r="D3101" s="37">
        <v>-14.666342</v>
      </c>
    </row>
    <row r="3102" ht="14.25" customHeight="1">
      <c r="A3102" s="4" t="s">
        <v>3867</v>
      </c>
      <c r="B3102" s="37">
        <v>25.0</v>
      </c>
      <c r="C3102" s="37">
        <v>10.324441</v>
      </c>
      <c r="D3102" s="37">
        <v>-14.675559</v>
      </c>
    </row>
    <row r="3103" ht="14.25" customHeight="1">
      <c r="A3103" s="4" t="s">
        <v>4707</v>
      </c>
      <c r="B3103" s="37">
        <v>17.0</v>
      </c>
      <c r="C3103" s="37">
        <v>2.315683</v>
      </c>
      <c r="D3103" s="37">
        <v>-14.684317</v>
      </c>
    </row>
    <row r="3104" ht="14.25" customHeight="1">
      <c r="A3104" s="4" t="s">
        <v>3011</v>
      </c>
      <c r="B3104" s="37">
        <v>35.0</v>
      </c>
      <c r="C3104" s="37">
        <v>20.275446</v>
      </c>
      <c r="D3104" s="37">
        <v>-14.724554</v>
      </c>
    </row>
    <row r="3105" ht="14.25" customHeight="1">
      <c r="A3105" s="4" t="s">
        <v>4388</v>
      </c>
      <c r="B3105" s="37">
        <v>20.0</v>
      </c>
      <c r="C3105" s="37">
        <v>5.205343</v>
      </c>
      <c r="D3105" s="37">
        <v>-14.794657</v>
      </c>
    </row>
    <row r="3106" ht="14.25" customHeight="1">
      <c r="A3106" s="4" t="s">
        <v>4615</v>
      </c>
      <c r="B3106" s="37">
        <v>18.0</v>
      </c>
      <c r="C3106" s="37">
        <v>3.203044</v>
      </c>
      <c r="D3106" s="37">
        <v>-14.796956</v>
      </c>
    </row>
    <row r="3107" ht="14.25" customHeight="1">
      <c r="A3107" s="4" t="s">
        <v>5158</v>
      </c>
      <c r="B3107" s="37">
        <v>15.0</v>
      </c>
      <c r="C3107" s="37">
        <v>0.183088</v>
      </c>
      <c r="D3107" s="37">
        <v>-14.816912</v>
      </c>
    </row>
    <row r="3108" ht="14.25" customHeight="1">
      <c r="A3108" s="4" t="s">
        <v>2656</v>
      </c>
      <c r="B3108" s="37">
        <v>40.0</v>
      </c>
      <c r="C3108" s="37">
        <v>25.178165</v>
      </c>
      <c r="D3108" s="37">
        <v>-14.821835</v>
      </c>
    </row>
    <row r="3109" ht="14.25" customHeight="1">
      <c r="A3109" s="4" t="s">
        <v>2138</v>
      </c>
      <c r="B3109" s="37">
        <v>50.0</v>
      </c>
      <c r="C3109" s="37">
        <v>35.168395</v>
      </c>
      <c r="D3109" s="37">
        <v>-14.831605</v>
      </c>
    </row>
    <row r="3110" ht="14.25" customHeight="1">
      <c r="A3110" s="4" t="s">
        <v>5661</v>
      </c>
      <c r="B3110" s="37">
        <v>30.0</v>
      </c>
      <c r="C3110" s="37">
        <v>15.1562</v>
      </c>
      <c r="D3110" s="37">
        <v>-14.8438</v>
      </c>
    </row>
    <row r="3111" ht="14.25" customHeight="1">
      <c r="A3111" s="4" t="s">
        <v>4387</v>
      </c>
      <c r="B3111" s="37">
        <v>20.0</v>
      </c>
      <c r="C3111" s="37">
        <v>5.132655</v>
      </c>
      <c r="D3111" s="37">
        <v>-14.867345</v>
      </c>
    </row>
    <row r="3112" ht="14.25" customHeight="1">
      <c r="A3112" s="4" t="s">
        <v>2659</v>
      </c>
      <c r="B3112" s="37">
        <v>40.0</v>
      </c>
      <c r="C3112" s="37">
        <v>25.117498</v>
      </c>
      <c r="D3112" s="37">
        <v>-14.882502</v>
      </c>
    </row>
    <row r="3113" ht="14.25" customHeight="1">
      <c r="A3113" s="4" t="s">
        <v>3860</v>
      </c>
      <c r="B3113" s="37">
        <v>25.0</v>
      </c>
      <c r="C3113" s="37">
        <v>10.114315</v>
      </c>
      <c r="D3113" s="37">
        <v>-14.885685</v>
      </c>
    </row>
    <row r="3114" ht="14.25" customHeight="1">
      <c r="A3114" s="4" t="s">
        <v>242</v>
      </c>
      <c r="B3114" s="37">
        <v>170.0</v>
      </c>
      <c r="C3114" s="37">
        <v>155.111815</v>
      </c>
      <c r="D3114" s="37">
        <v>-14.888185</v>
      </c>
    </row>
    <row r="3115" ht="14.25" customHeight="1">
      <c r="A3115" s="4" t="s">
        <v>5062</v>
      </c>
      <c r="B3115" s="37">
        <v>15.0</v>
      </c>
      <c r="C3115" s="37">
        <v>0.073548</v>
      </c>
      <c r="D3115" s="37">
        <v>-14.926452</v>
      </c>
    </row>
    <row r="3116" ht="14.25" customHeight="1">
      <c r="A3116" s="4" t="s">
        <v>3865</v>
      </c>
      <c r="B3116" s="37">
        <v>25.0</v>
      </c>
      <c r="C3116" s="37">
        <v>10.07</v>
      </c>
      <c r="D3116" s="37">
        <v>-14.93</v>
      </c>
    </row>
    <row r="3117" ht="14.25" customHeight="1">
      <c r="A3117" s="4" t="s">
        <v>2002</v>
      </c>
      <c r="B3117" s="37">
        <v>52.0</v>
      </c>
      <c r="C3117" s="37">
        <v>37.035845</v>
      </c>
      <c r="D3117" s="37">
        <v>-14.964155</v>
      </c>
    </row>
    <row r="3118" ht="14.25" customHeight="1">
      <c r="A3118" s="4" t="s">
        <v>5064</v>
      </c>
      <c r="B3118" s="37">
        <v>15.0</v>
      </c>
      <c r="C3118" s="37">
        <v>0.02887</v>
      </c>
      <c r="D3118" s="37">
        <v>-14.97113</v>
      </c>
    </row>
    <row r="3119" ht="14.25" customHeight="1">
      <c r="A3119" s="4" t="s">
        <v>4815</v>
      </c>
      <c r="B3119" s="37">
        <v>15.0</v>
      </c>
      <c r="C3119" s="37">
        <v>0.023091</v>
      </c>
      <c r="D3119" s="37">
        <v>-14.976909</v>
      </c>
    </row>
    <row r="3120" ht="14.25" customHeight="1">
      <c r="A3120" s="4" t="s">
        <v>5072</v>
      </c>
      <c r="B3120" s="37">
        <v>15.0</v>
      </c>
      <c r="C3120" s="37">
        <v>0.02038</v>
      </c>
      <c r="D3120" s="37">
        <v>-14.97962</v>
      </c>
    </row>
    <row r="3121" ht="14.25" customHeight="1">
      <c r="A3121" s="4" t="s">
        <v>4391</v>
      </c>
      <c r="B3121" s="37">
        <v>20.0</v>
      </c>
      <c r="C3121" s="37">
        <v>5.005883</v>
      </c>
      <c r="D3121" s="37">
        <v>-14.994117</v>
      </c>
    </row>
    <row r="3122" ht="14.25" customHeight="1">
      <c r="A3122" s="4" t="s">
        <v>4711</v>
      </c>
      <c r="B3122" s="37">
        <v>17.0</v>
      </c>
      <c r="C3122" s="37">
        <v>2.0</v>
      </c>
      <c r="D3122" s="37">
        <v>-15.0</v>
      </c>
    </row>
    <row r="3123" ht="14.25" customHeight="1">
      <c r="A3123" s="4" t="s">
        <v>3390</v>
      </c>
      <c r="B3123" s="37">
        <v>30.0</v>
      </c>
      <c r="C3123" s="37">
        <v>14.888028</v>
      </c>
      <c r="D3123" s="37">
        <v>-15.111972</v>
      </c>
    </row>
    <row r="3124" ht="14.25" customHeight="1">
      <c r="A3124" s="4" t="s">
        <v>2347</v>
      </c>
      <c r="B3124" s="37">
        <v>52.0</v>
      </c>
      <c r="C3124" s="37">
        <v>36.883539</v>
      </c>
      <c r="D3124" s="37">
        <v>-15.116461</v>
      </c>
    </row>
    <row r="3125" ht="14.25" customHeight="1">
      <c r="A3125" s="4" t="s">
        <v>4374</v>
      </c>
      <c r="B3125" s="37">
        <v>22.0</v>
      </c>
      <c r="C3125" s="37">
        <v>6.852144</v>
      </c>
      <c r="D3125" s="37">
        <v>-15.147856</v>
      </c>
    </row>
    <row r="3126" ht="14.25" customHeight="1">
      <c r="A3126" s="4" t="s">
        <v>4844</v>
      </c>
      <c r="B3126" s="37">
        <v>15.5</v>
      </c>
      <c r="C3126" s="37">
        <v>0.31704</v>
      </c>
      <c r="D3126" s="37">
        <v>-15.18296</v>
      </c>
    </row>
    <row r="3127" ht="14.25" customHeight="1">
      <c r="A3127" s="4" t="s">
        <v>6986</v>
      </c>
      <c r="B3127" s="37">
        <v>15.5</v>
      </c>
      <c r="C3127" s="37">
        <v>0.313436</v>
      </c>
      <c r="D3127" s="37">
        <v>-15.186564</v>
      </c>
    </row>
    <row r="3128" ht="14.25" customHeight="1">
      <c r="A3128" s="4" t="s">
        <v>4829</v>
      </c>
      <c r="B3128" s="37">
        <v>15.3</v>
      </c>
      <c r="C3128" s="37">
        <v>0.081525</v>
      </c>
      <c r="D3128" s="37">
        <v>-15.218475</v>
      </c>
    </row>
    <row r="3129" ht="14.25" customHeight="1">
      <c r="A3129" s="4" t="s">
        <v>2797</v>
      </c>
      <c r="B3129" s="37">
        <v>38.0</v>
      </c>
      <c r="C3129" s="37">
        <v>22.770864</v>
      </c>
      <c r="D3129" s="37">
        <v>-15.229136</v>
      </c>
    </row>
    <row r="3130" ht="14.25" customHeight="1">
      <c r="A3130" s="4" t="s">
        <v>1390</v>
      </c>
      <c r="B3130" s="37">
        <v>69.5</v>
      </c>
      <c r="C3130" s="37">
        <v>54.222</v>
      </c>
      <c r="D3130" s="37">
        <v>-15.278</v>
      </c>
    </row>
    <row r="3131" ht="14.25" customHeight="1">
      <c r="A3131" s="4" t="s">
        <v>3007</v>
      </c>
      <c r="B3131" s="37">
        <v>35.0</v>
      </c>
      <c r="C3131" s="37">
        <v>19.692608</v>
      </c>
      <c r="D3131" s="37">
        <v>-15.307392</v>
      </c>
    </row>
    <row r="3132" ht="14.25" customHeight="1">
      <c r="A3132" s="4" t="s">
        <v>4076</v>
      </c>
      <c r="B3132" s="37">
        <v>16.0</v>
      </c>
      <c r="C3132" s="37">
        <v>0.634277</v>
      </c>
      <c r="D3132" s="37">
        <v>-15.365723</v>
      </c>
    </row>
    <row r="3133" ht="14.25" customHeight="1">
      <c r="A3133" s="4" t="s">
        <v>4713</v>
      </c>
      <c r="B3133" s="37">
        <v>17.0</v>
      </c>
      <c r="C3133" s="37">
        <v>1.569918</v>
      </c>
      <c r="D3133" s="37">
        <v>-15.430082</v>
      </c>
    </row>
    <row r="3134" ht="14.25" customHeight="1">
      <c r="A3134" s="4" t="s">
        <v>473</v>
      </c>
      <c r="B3134" s="37">
        <v>150.0</v>
      </c>
      <c r="C3134" s="37">
        <v>134.51839</v>
      </c>
      <c r="D3134" s="37">
        <v>-15.48161</v>
      </c>
    </row>
    <row r="3135" ht="14.25" customHeight="1">
      <c r="A3135" s="4" t="s">
        <v>2999</v>
      </c>
      <c r="B3135" s="37">
        <v>35.0</v>
      </c>
      <c r="C3135" s="37">
        <v>19.447478</v>
      </c>
      <c r="D3135" s="37">
        <v>-15.552522</v>
      </c>
    </row>
    <row r="3136" ht="14.25" customHeight="1">
      <c r="A3136" s="4" t="s">
        <v>1949</v>
      </c>
      <c r="B3136" s="37">
        <v>55.0</v>
      </c>
      <c r="C3136" s="37">
        <v>39.440655</v>
      </c>
      <c r="D3136" s="37">
        <v>-15.559345</v>
      </c>
    </row>
    <row r="3137" ht="14.25" customHeight="1">
      <c r="A3137" s="4" t="s">
        <v>3990</v>
      </c>
      <c r="B3137" s="37">
        <v>23.0</v>
      </c>
      <c r="C3137" s="37">
        <v>7.434726</v>
      </c>
      <c r="D3137" s="37">
        <v>-15.565274</v>
      </c>
    </row>
    <row r="3138" ht="14.25" customHeight="1">
      <c r="A3138" s="4" t="s">
        <v>3943</v>
      </c>
      <c r="B3138" s="37">
        <v>24.0</v>
      </c>
      <c r="C3138" s="37">
        <v>8.427204</v>
      </c>
      <c r="D3138" s="37">
        <v>-15.572796</v>
      </c>
    </row>
    <row r="3139" ht="14.25" customHeight="1">
      <c r="A3139" s="4" t="s">
        <v>2000</v>
      </c>
      <c r="B3139" s="37">
        <v>52.0</v>
      </c>
      <c r="C3139" s="37">
        <v>36.385763</v>
      </c>
      <c r="D3139" s="37">
        <v>-15.614237</v>
      </c>
    </row>
    <row r="3140" ht="14.25" customHeight="1">
      <c r="A3140" s="4" t="s">
        <v>2822</v>
      </c>
      <c r="B3140" s="37">
        <v>32.0</v>
      </c>
      <c r="C3140" s="37">
        <v>16.377274</v>
      </c>
      <c r="D3140" s="37">
        <v>-15.622726</v>
      </c>
    </row>
    <row r="3141" ht="14.25" customHeight="1">
      <c r="A3141" s="4" t="s">
        <v>2661</v>
      </c>
      <c r="B3141" s="37">
        <v>40.0</v>
      </c>
      <c r="C3141" s="37">
        <v>24.332324</v>
      </c>
      <c r="D3141" s="37">
        <v>-15.667676</v>
      </c>
    </row>
    <row r="3142" ht="14.25" customHeight="1">
      <c r="A3142" s="4" t="s">
        <v>6679</v>
      </c>
      <c r="B3142" s="37">
        <v>16.0</v>
      </c>
      <c r="C3142" s="37">
        <v>0.317125</v>
      </c>
      <c r="D3142" s="37">
        <v>-15.682875</v>
      </c>
    </row>
    <row r="3143" ht="14.25" customHeight="1">
      <c r="A3143" s="4" t="s">
        <v>3010</v>
      </c>
      <c r="B3143" s="37">
        <v>35.0</v>
      </c>
      <c r="C3143" s="37">
        <v>19.294901</v>
      </c>
      <c r="D3143" s="37">
        <v>-15.705099</v>
      </c>
    </row>
    <row r="3144" ht="14.25" customHeight="1">
      <c r="A3144" s="4" t="s">
        <v>4396</v>
      </c>
      <c r="B3144" s="37">
        <v>20.0</v>
      </c>
      <c r="C3144" s="37">
        <v>4.23404</v>
      </c>
      <c r="D3144" s="37">
        <v>-15.76596</v>
      </c>
    </row>
    <row r="3145" ht="14.25" customHeight="1">
      <c r="A3145" s="4" t="s">
        <v>3391</v>
      </c>
      <c r="B3145" s="37">
        <v>30.0</v>
      </c>
      <c r="C3145" s="37">
        <v>14.208384</v>
      </c>
      <c r="D3145" s="37">
        <v>-15.791616</v>
      </c>
    </row>
    <row r="3146" ht="14.25" customHeight="1">
      <c r="A3146" s="4" t="s">
        <v>2698</v>
      </c>
      <c r="B3146" s="37">
        <v>30.0</v>
      </c>
      <c r="C3146" s="37">
        <v>14.018364</v>
      </c>
      <c r="D3146" s="37">
        <v>-15.981636</v>
      </c>
    </row>
    <row r="3147" ht="14.25" customHeight="1">
      <c r="A3147" s="4" t="s">
        <v>4819</v>
      </c>
      <c r="B3147" s="37">
        <v>16.0</v>
      </c>
      <c r="C3147" s="37">
        <v>0.002964</v>
      </c>
      <c r="D3147" s="37">
        <v>-15.997036</v>
      </c>
    </row>
    <row r="3148" ht="14.25" customHeight="1">
      <c r="A3148" s="4" t="s">
        <v>5030</v>
      </c>
      <c r="B3148" s="37">
        <v>20.0</v>
      </c>
      <c r="C3148" s="37">
        <v>4.002955</v>
      </c>
      <c r="D3148" s="37">
        <v>-15.997045</v>
      </c>
    </row>
    <row r="3149" ht="14.25" customHeight="1">
      <c r="A3149" s="4" t="s">
        <v>4398</v>
      </c>
      <c r="B3149" s="37">
        <v>20.0</v>
      </c>
      <c r="C3149" s="37">
        <v>4.001121</v>
      </c>
      <c r="D3149" s="37">
        <v>-15.998879</v>
      </c>
    </row>
    <row r="3150" ht="14.25" customHeight="1">
      <c r="A3150" s="4" t="s">
        <v>2864</v>
      </c>
      <c r="B3150" s="37">
        <v>37.0</v>
      </c>
      <c r="C3150" s="37">
        <v>20.991497</v>
      </c>
      <c r="D3150" s="37">
        <v>-16.008503</v>
      </c>
    </row>
    <row r="3151" ht="14.25" customHeight="1">
      <c r="A3151" s="4" t="s">
        <v>2864</v>
      </c>
      <c r="B3151" s="37">
        <v>37.0</v>
      </c>
      <c r="C3151" s="37">
        <v>20.991497</v>
      </c>
      <c r="D3151" s="37">
        <v>-16.008503</v>
      </c>
    </row>
    <row r="3152" ht="14.25" customHeight="1">
      <c r="A3152" s="4" t="s">
        <v>4052</v>
      </c>
      <c r="B3152" s="37">
        <v>22.0</v>
      </c>
      <c r="C3152" s="37">
        <v>5.974653</v>
      </c>
      <c r="D3152" s="37">
        <v>-16.025347</v>
      </c>
    </row>
    <row r="3153" ht="14.25" customHeight="1">
      <c r="A3153" s="4" t="s">
        <v>4485</v>
      </c>
      <c r="B3153" s="37">
        <v>23.0</v>
      </c>
      <c r="C3153" s="37">
        <v>6.923891</v>
      </c>
      <c r="D3153" s="37">
        <v>-16.076109</v>
      </c>
    </row>
    <row r="3154" ht="14.25" customHeight="1">
      <c r="A3154" s="4" t="s">
        <v>760</v>
      </c>
      <c r="B3154" s="37">
        <v>83.0</v>
      </c>
      <c r="C3154" s="37">
        <v>66.862068</v>
      </c>
      <c r="D3154" s="37">
        <v>-16.137932</v>
      </c>
    </row>
    <row r="3155" ht="14.25" customHeight="1">
      <c r="A3155" s="4" t="s">
        <v>4400</v>
      </c>
      <c r="B3155" s="37">
        <v>20.0</v>
      </c>
      <c r="C3155" s="37">
        <v>3.749061</v>
      </c>
      <c r="D3155" s="37">
        <v>-16.250939</v>
      </c>
    </row>
    <row r="3156" ht="14.25" customHeight="1">
      <c r="A3156" s="4" t="s">
        <v>2142</v>
      </c>
      <c r="B3156" s="37">
        <v>50.0</v>
      </c>
      <c r="C3156" s="37">
        <v>33.643461</v>
      </c>
      <c r="D3156" s="37">
        <v>-16.356539</v>
      </c>
    </row>
    <row r="3157" ht="14.25" customHeight="1">
      <c r="A3157" s="4" t="s">
        <v>4476</v>
      </c>
      <c r="B3157" s="37">
        <v>25.0</v>
      </c>
      <c r="C3157" s="37">
        <v>8.6</v>
      </c>
      <c r="D3157" s="37">
        <v>-16.4</v>
      </c>
    </row>
    <row r="3158" ht="14.25" customHeight="1">
      <c r="A3158" s="4" t="s">
        <v>3453</v>
      </c>
      <c r="B3158" s="37">
        <v>35.0</v>
      </c>
      <c r="C3158" s="37">
        <v>18.593156</v>
      </c>
      <c r="D3158" s="37">
        <v>-16.406844</v>
      </c>
    </row>
    <row r="3159" ht="14.25" customHeight="1">
      <c r="A3159" s="4" t="s">
        <v>1908</v>
      </c>
      <c r="B3159" s="37">
        <v>55.0</v>
      </c>
      <c r="C3159" s="37">
        <v>38.553833</v>
      </c>
      <c r="D3159" s="37">
        <v>-16.446167</v>
      </c>
    </row>
    <row r="3160" ht="14.25" customHeight="1">
      <c r="A3160" s="4" t="s">
        <v>4402</v>
      </c>
      <c r="B3160" s="37">
        <v>20.0</v>
      </c>
      <c r="C3160" s="37">
        <v>3.519627</v>
      </c>
      <c r="D3160" s="37">
        <v>-16.480373</v>
      </c>
    </row>
    <row r="3161" ht="14.25" customHeight="1">
      <c r="A3161" s="4" t="s">
        <v>2958</v>
      </c>
      <c r="B3161" s="37">
        <v>50.0</v>
      </c>
      <c r="C3161" s="37">
        <v>33.422806</v>
      </c>
      <c r="D3161" s="37">
        <v>-16.577194</v>
      </c>
    </row>
    <row r="3162" ht="14.25" customHeight="1">
      <c r="A3162" s="4" t="s">
        <v>4724</v>
      </c>
      <c r="B3162" s="37">
        <v>16.8</v>
      </c>
      <c r="C3162" s="37">
        <v>0.220914</v>
      </c>
      <c r="D3162" s="37">
        <v>-16.579086</v>
      </c>
    </row>
    <row r="3163" ht="14.25" customHeight="1">
      <c r="A3163" s="4" t="s">
        <v>4060</v>
      </c>
      <c r="B3163" s="37">
        <v>21.0</v>
      </c>
      <c r="C3163" s="37">
        <v>4.398392</v>
      </c>
      <c r="D3163" s="37">
        <v>-16.601608</v>
      </c>
    </row>
    <row r="3164" ht="14.25" customHeight="1">
      <c r="A3164" s="4" t="s">
        <v>1010</v>
      </c>
      <c r="B3164" s="37">
        <v>68.0</v>
      </c>
      <c r="C3164" s="37">
        <v>51.396781</v>
      </c>
      <c r="D3164" s="37">
        <v>-16.603219</v>
      </c>
    </row>
    <row r="3165" ht="14.25" customHeight="1">
      <c r="A3165" s="4" t="s">
        <v>391</v>
      </c>
      <c r="B3165" s="37">
        <v>150.0</v>
      </c>
      <c r="C3165" s="37">
        <v>133.382309</v>
      </c>
      <c r="D3165" s="37">
        <v>-16.617691</v>
      </c>
    </row>
    <row r="3166" ht="14.25" customHeight="1">
      <c r="A3166" s="4" t="s">
        <v>363</v>
      </c>
      <c r="B3166" s="37">
        <v>150.0</v>
      </c>
      <c r="C3166" s="37">
        <v>133.375846</v>
      </c>
      <c r="D3166" s="37">
        <v>-16.624154</v>
      </c>
    </row>
    <row r="3167" ht="14.25" customHeight="1">
      <c r="A3167" s="4" t="s">
        <v>1722</v>
      </c>
      <c r="B3167" s="37">
        <v>60.0</v>
      </c>
      <c r="C3167" s="37">
        <v>43.337279</v>
      </c>
      <c r="D3167" s="37">
        <v>-16.662721</v>
      </c>
    </row>
    <row r="3168" ht="14.25" customHeight="1">
      <c r="A3168" s="4" t="s">
        <v>3378</v>
      </c>
      <c r="B3168" s="37">
        <v>35.0</v>
      </c>
      <c r="C3168" s="37">
        <v>18.324242</v>
      </c>
      <c r="D3168" s="37">
        <v>-16.675758</v>
      </c>
    </row>
    <row r="3169" ht="14.25" customHeight="1">
      <c r="A3169" s="4" t="s">
        <v>3024</v>
      </c>
      <c r="B3169" s="37">
        <v>35.0</v>
      </c>
      <c r="C3169" s="37">
        <v>18.317151</v>
      </c>
      <c r="D3169" s="37">
        <v>-16.682849</v>
      </c>
    </row>
    <row r="3170" ht="14.25" customHeight="1">
      <c r="A3170" s="4" t="s">
        <v>3014</v>
      </c>
      <c r="B3170" s="37">
        <v>35.0</v>
      </c>
      <c r="C3170" s="37">
        <v>18.306166</v>
      </c>
      <c r="D3170" s="37">
        <v>-16.693834</v>
      </c>
    </row>
    <row r="3171" ht="14.25" customHeight="1">
      <c r="A3171" s="4" t="s">
        <v>3584</v>
      </c>
      <c r="B3171" s="37">
        <v>27.0</v>
      </c>
      <c r="C3171" s="37">
        <v>10.297897</v>
      </c>
      <c r="D3171" s="37">
        <v>-16.702103</v>
      </c>
    </row>
    <row r="3172" ht="14.25" customHeight="1">
      <c r="A3172" s="4" t="s">
        <v>4717</v>
      </c>
      <c r="B3172" s="37">
        <v>17.0</v>
      </c>
      <c r="C3172" s="37">
        <v>0.27342</v>
      </c>
      <c r="D3172" s="37">
        <v>-16.72658</v>
      </c>
    </row>
    <row r="3173" ht="14.25" customHeight="1">
      <c r="A3173" s="4" t="s">
        <v>3947</v>
      </c>
      <c r="B3173" s="37">
        <v>23.0</v>
      </c>
      <c r="C3173" s="37">
        <v>6.144806</v>
      </c>
      <c r="D3173" s="37">
        <v>-16.855194</v>
      </c>
    </row>
    <row r="3174" ht="14.25" customHeight="1">
      <c r="A3174" s="4" t="s">
        <v>4489</v>
      </c>
      <c r="B3174" s="37">
        <v>19.0</v>
      </c>
      <c r="C3174" s="37">
        <v>2.119994</v>
      </c>
      <c r="D3174" s="37">
        <v>-16.880006</v>
      </c>
    </row>
    <row r="3175" ht="14.25" customHeight="1">
      <c r="A3175" s="4" t="s">
        <v>1735</v>
      </c>
      <c r="B3175" s="37">
        <v>60.0</v>
      </c>
      <c r="C3175" s="37">
        <v>43.119879</v>
      </c>
      <c r="D3175" s="37">
        <v>-16.880121</v>
      </c>
    </row>
    <row r="3176" ht="14.25" customHeight="1">
      <c r="A3176" s="4" t="s">
        <v>4715</v>
      </c>
      <c r="B3176" s="37">
        <v>17.0</v>
      </c>
      <c r="C3176" s="37">
        <v>0.106869</v>
      </c>
      <c r="D3176" s="37">
        <v>-16.893131</v>
      </c>
    </row>
    <row r="3177" ht="14.25" customHeight="1">
      <c r="A3177" s="4" t="s">
        <v>1715</v>
      </c>
      <c r="B3177" s="37">
        <v>60.0</v>
      </c>
      <c r="C3177" s="37">
        <v>43.060566</v>
      </c>
      <c r="D3177" s="37">
        <v>-16.939434</v>
      </c>
    </row>
    <row r="3178" ht="14.25" customHeight="1">
      <c r="A3178" s="4" t="s">
        <v>3852</v>
      </c>
      <c r="B3178" s="37">
        <v>28.0</v>
      </c>
      <c r="C3178" s="37">
        <v>11.030963</v>
      </c>
      <c r="D3178" s="37">
        <v>-16.969037</v>
      </c>
    </row>
    <row r="3179" ht="14.25" customHeight="1">
      <c r="A3179" s="4" t="s">
        <v>4328</v>
      </c>
      <c r="B3179" s="37">
        <v>30.0</v>
      </c>
      <c r="C3179" s="37">
        <v>12.987647</v>
      </c>
      <c r="D3179" s="37">
        <v>-17.012353</v>
      </c>
    </row>
    <row r="3180" ht="14.25" customHeight="1">
      <c r="A3180" s="4" t="s">
        <v>3537</v>
      </c>
      <c r="B3180" s="37">
        <v>28.0</v>
      </c>
      <c r="C3180" s="37">
        <v>10.907291</v>
      </c>
      <c r="D3180" s="37">
        <v>-17.092709</v>
      </c>
    </row>
    <row r="3181" ht="14.25" customHeight="1">
      <c r="A3181" s="4" t="s">
        <v>3393</v>
      </c>
      <c r="B3181" s="37">
        <v>30.0</v>
      </c>
      <c r="C3181" s="37">
        <v>12.831121</v>
      </c>
      <c r="D3181" s="37">
        <v>-17.168879</v>
      </c>
    </row>
    <row r="3182" ht="14.25" customHeight="1">
      <c r="A3182" s="4" t="s">
        <v>4649</v>
      </c>
      <c r="B3182" s="37">
        <v>17.5</v>
      </c>
      <c r="C3182" s="37">
        <v>0.325491</v>
      </c>
      <c r="D3182" s="37">
        <v>-17.174509</v>
      </c>
    </row>
    <row r="3183" ht="14.25" customHeight="1">
      <c r="A3183" s="4" t="s">
        <v>3184</v>
      </c>
      <c r="B3183" s="37">
        <v>31.5</v>
      </c>
      <c r="C3183" s="37">
        <v>14.268533</v>
      </c>
      <c r="D3183" s="37">
        <v>-17.231467</v>
      </c>
    </row>
    <row r="3184" ht="14.25" customHeight="1">
      <c r="A3184" s="4" t="s">
        <v>2144</v>
      </c>
      <c r="B3184" s="37">
        <v>50.0</v>
      </c>
      <c r="C3184" s="37">
        <v>32.741596</v>
      </c>
      <c r="D3184" s="37">
        <v>-17.258404</v>
      </c>
    </row>
    <row r="3185" ht="14.25" customHeight="1">
      <c r="A3185" s="4" t="s">
        <v>2666</v>
      </c>
      <c r="B3185" s="37">
        <v>40.0</v>
      </c>
      <c r="C3185" s="37">
        <v>22.717758</v>
      </c>
      <c r="D3185" s="37">
        <v>-17.282242</v>
      </c>
    </row>
    <row r="3186" ht="14.25" customHeight="1">
      <c r="A3186" s="4" t="s">
        <v>3397</v>
      </c>
      <c r="B3186" s="37">
        <v>30.0</v>
      </c>
      <c r="C3186" s="37">
        <v>12.712093</v>
      </c>
      <c r="D3186" s="37">
        <v>-17.287907</v>
      </c>
    </row>
    <row r="3187" ht="14.25" customHeight="1">
      <c r="A3187" s="4" t="s">
        <v>4625</v>
      </c>
      <c r="B3187" s="37">
        <v>18.0</v>
      </c>
      <c r="C3187" s="37">
        <v>0.676698</v>
      </c>
      <c r="D3187" s="37">
        <v>-17.323302</v>
      </c>
    </row>
    <row r="3188" ht="14.25" customHeight="1">
      <c r="A3188" s="4" t="s">
        <v>1288</v>
      </c>
      <c r="B3188" s="37">
        <v>52.0</v>
      </c>
      <c r="C3188" s="37">
        <v>34.636443</v>
      </c>
      <c r="D3188" s="37">
        <v>-17.363557</v>
      </c>
    </row>
    <row r="3189" ht="14.25" customHeight="1">
      <c r="A3189" s="4" t="s">
        <v>3015</v>
      </c>
      <c r="B3189" s="37">
        <v>35.0</v>
      </c>
      <c r="C3189" s="37">
        <v>17.609982</v>
      </c>
      <c r="D3189" s="37">
        <v>-17.390018</v>
      </c>
    </row>
    <row r="3190" ht="14.25" customHeight="1">
      <c r="A3190" s="4" t="s">
        <v>1280</v>
      </c>
      <c r="B3190" s="37">
        <v>55.0</v>
      </c>
      <c r="C3190" s="37">
        <v>37.600435</v>
      </c>
      <c r="D3190" s="37">
        <v>-17.399565</v>
      </c>
    </row>
    <row r="3191" ht="14.25" customHeight="1">
      <c r="A3191" s="4" t="s">
        <v>3017</v>
      </c>
      <c r="B3191" s="37">
        <v>35.0</v>
      </c>
      <c r="C3191" s="37">
        <v>17.596256</v>
      </c>
      <c r="D3191" s="37">
        <v>-17.403744</v>
      </c>
    </row>
    <row r="3192" ht="14.25" customHeight="1">
      <c r="A3192" s="4" t="s">
        <v>2005</v>
      </c>
      <c r="B3192" s="37">
        <v>52.0</v>
      </c>
      <c r="C3192" s="37">
        <v>34.580635</v>
      </c>
      <c r="D3192" s="37">
        <v>-17.419365</v>
      </c>
    </row>
    <row r="3193" ht="14.25" customHeight="1">
      <c r="A3193" s="4" t="s">
        <v>2218</v>
      </c>
      <c r="B3193" s="37">
        <v>49.0</v>
      </c>
      <c r="C3193" s="37">
        <v>31.569268</v>
      </c>
      <c r="D3193" s="37">
        <v>-17.430732</v>
      </c>
    </row>
    <row r="3194" ht="14.25" customHeight="1">
      <c r="A3194" s="4" t="s">
        <v>1393</v>
      </c>
      <c r="B3194" s="37">
        <v>70.0</v>
      </c>
      <c r="C3194" s="37">
        <v>52.474616</v>
      </c>
      <c r="D3194" s="37">
        <v>-17.525384</v>
      </c>
    </row>
    <row r="3195" ht="14.25" customHeight="1">
      <c r="A3195" s="4" t="s">
        <v>2450</v>
      </c>
      <c r="B3195" s="37">
        <v>42.0</v>
      </c>
      <c r="C3195" s="37">
        <v>24.375436</v>
      </c>
      <c r="D3195" s="37">
        <v>-17.624564</v>
      </c>
    </row>
    <row r="3196" ht="14.25" customHeight="1">
      <c r="A3196" s="4" t="s">
        <v>4410</v>
      </c>
      <c r="B3196" s="37">
        <v>20.0</v>
      </c>
      <c r="C3196" s="37">
        <v>2.353728</v>
      </c>
      <c r="D3196" s="37">
        <v>-17.646272</v>
      </c>
    </row>
    <row r="3197" ht="14.25" customHeight="1">
      <c r="A3197" s="4" t="s">
        <v>4811</v>
      </c>
      <c r="B3197" s="37">
        <v>20.0</v>
      </c>
      <c r="C3197" s="37">
        <v>2.319187</v>
      </c>
      <c r="D3197" s="37">
        <v>-17.680813</v>
      </c>
    </row>
    <row r="3198" ht="14.25" customHeight="1">
      <c r="A3198" s="4" t="s">
        <v>4492</v>
      </c>
      <c r="B3198" s="37">
        <v>19.0</v>
      </c>
      <c r="C3198" s="37">
        <v>1.292527</v>
      </c>
      <c r="D3198" s="37">
        <v>-17.707473</v>
      </c>
    </row>
    <row r="3199" ht="14.25" customHeight="1">
      <c r="A3199" s="4" t="s">
        <v>555</v>
      </c>
      <c r="B3199" s="37">
        <v>125.0</v>
      </c>
      <c r="C3199" s="37">
        <v>107.285004</v>
      </c>
      <c r="D3199" s="37">
        <v>-17.714996</v>
      </c>
    </row>
    <row r="3200" ht="14.25" customHeight="1">
      <c r="A3200" s="4" t="s">
        <v>5913</v>
      </c>
      <c r="B3200" s="37">
        <v>22.0</v>
      </c>
      <c r="C3200" s="37">
        <v>4.273372</v>
      </c>
      <c r="D3200" s="37">
        <v>-17.726628</v>
      </c>
    </row>
    <row r="3201" ht="14.25" customHeight="1">
      <c r="A3201" s="4" t="s">
        <v>4419</v>
      </c>
      <c r="B3201" s="37">
        <v>20.0</v>
      </c>
      <c r="C3201" s="37">
        <v>2.246</v>
      </c>
      <c r="D3201" s="37">
        <v>-17.754</v>
      </c>
    </row>
    <row r="3202" ht="14.25" customHeight="1">
      <c r="A3202" s="4" t="s">
        <v>3558</v>
      </c>
      <c r="B3202" s="37">
        <v>27.5</v>
      </c>
      <c r="C3202" s="37">
        <v>9.664316</v>
      </c>
      <c r="D3202" s="37">
        <v>-17.835684</v>
      </c>
    </row>
    <row r="3203" ht="14.25" customHeight="1">
      <c r="A3203" s="4" t="s">
        <v>3868</v>
      </c>
      <c r="B3203" s="37">
        <v>25.0</v>
      </c>
      <c r="C3203" s="37">
        <v>7.156933</v>
      </c>
      <c r="D3203" s="37">
        <v>-17.843067</v>
      </c>
    </row>
    <row r="3204" ht="14.25" customHeight="1">
      <c r="A3204" s="4" t="s">
        <v>3441</v>
      </c>
      <c r="B3204" s="37">
        <v>18.0</v>
      </c>
      <c r="C3204" s="37">
        <v>0.127437</v>
      </c>
      <c r="D3204" s="37">
        <v>-17.872563</v>
      </c>
    </row>
    <row r="3205" ht="14.25" customHeight="1">
      <c r="A3205" s="4" t="s">
        <v>4404</v>
      </c>
      <c r="B3205" s="37">
        <v>21.0</v>
      </c>
      <c r="C3205" s="37">
        <v>3.081925</v>
      </c>
      <c r="D3205" s="37">
        <v>-17.918075</v>
      </c>
    </row>
    <row r="3206" ht="14.25" customHeight="1">
      <c r="A3206" s="4" t="s">
        <v>4557</v>
      </c>
      <c r="B3206" s="37">
        <v>18.0</v>
      </c>
      <c r="C3206" s="37">
        <v>0.04525</v>
      </c>
      <c r="D3206" s="37">
        <v>-17.95475</v>
      </c>
    </row>
    <row r="3207" ht="14.25" customHeight="1">
      <c r="A3207" s="4" t="s">
        <v>4414</v>
      </c>
      <c r="B3207" s="37">
        <v>20.0</v>
      </c>
      <c r="C3207" s="37">
        <v>2.0</v>
      </c>
      <c r="D3207" s="37">
        <v>-18.0</v>
      </c>
    </row>
    <row r="3208" ht="14.25" customHeight="1">
      <c r="A3208" s="4" t="s">
        <v>4297</v>
      </c>
      <c r="B3208" s="37">
        <v>35.0</v>
      </c>
      <c r="C3208" s="37">
        <v>16.988996</v>
      </c>
      <c r="D3208" s="37">
        <v>-18.011004</v>
      </c>
    </row>
    <row r="3209" ht="14.25" customHeight="1">
      <c r="A3209" s="4" t="s">
        <v>994</v>
      </c>
      <c r="B3209" s="37">
        <v>85.0</v>
      </c>
      <c r="C3209" s="37">
        <v>66.941559</v>
      </c>
      <c r="D3209" s="37">
        <v>-18.058441</v>
      </c>
    </row>
    <row r="3210" ht="14.25" customHeight="1">
      <c r="A3210" s="4" t="s">
        <v>3401</v>
      </c>
      <c r="B3210" s="37">
        <v>30.0</v>
      </c>
      <c r="C3210" s="37">
        <v>11.9</v>
      </c>
      <c r="D3210" s="37">
        <v>-18.1</v>
      </c>
    </row>
    <row r="3211" ht="14.25" customHeight="1">
      <c r="A3211" s="4" t="s">
        <v>2146</v>
      </c>
      <c r="B3211" s="37">
        <v>50.0</v>
      </c>
      <c r="C3211" s="37">
        <v>31.874869</v>
      </c>
      <c r="D3211" s="37">
        <v>-18.125131</v>
      </c>
    </row>
    <row r="3212" ht="14.25" customHeight="1">
      <c r="A3212" s="4" t="s">
        <v>2146</v>
      </c>
      <c r="B3212" s="37">
        <v>50.0</v>
      </c>
      <c r="C3212" s="37">
        <v>31.874869</v>
      </c>
      <c r="D3212" s="37">
        <v>-18.125131</v>
      </c>
    </row>
    <row r="3213" ht="14.25" customHeight="1">
      <c r="A3213" s="4" t="s">
        <v>2248</v>
      </c>
      <c r="B3213" s="37">
        <v>48.0</v>
      </c>
      <c r="C3213" s="37">
        <v>29.781453</v>
      </c>
      <c r="D3213" s="37">
        <v>-18.218547</v>
      </c>
    </row>
    <row r="3214" ht="14.25" customHeight="1">
      <c r="A3214" s="4" t="s">
        <v>3163</v>
      </c>
      <c r="B3214" s="37">
        <v>32.0</v>
      </c>
      <c r="C3214" s="37">
        <v>13.76313</v>
      </c>
      <c r="D3214" s="37">
        <v>-18.23687</v>
      </c>
    </row>
    <row r="3215" ht="14.25" customHeight="1">
      <c r="A3215" s="4" t="s">
        <v>3588</v>
      </c>
      <c r="B3215" s="37">
        <v>27.0</v>
      </c>
      <c r="C3215" s="37">
        <v>8.712564</v>
      </c>
      <c r="D3215" s="37">
        <v>-18.287436</v>
      </c>
    </row>
    <row r="3216" ht="14.25" customHeight="1">
      <c r="A3216" s="4" t="s">
        <v>3898</v>
      </c>
      <c r="B3216" s="37">
        <v>20.0</v>
      </c>
      <c r="C3216" s="37">
        <v>1.697956</v>
      </c>
      <c r="D3216" s="37">
        <v>-18.302044</v>
      </c>
    </row>
    <row r="3217" ht="14.25" customHeight="1">
      <c r="A3217" s="4" t="s">
        <v>4006</v>
      </c>
      <c r="B3217" s="37">
        <v>22.5</v>
      </c>
      <c r="C3217" s="37">
        <v>4.19053</v>
      </c>
      <c r="D3217" s="37">
        <v>-18.30947</v>
      </c>
    </row>
    <row r="3218" ht="14.25" customHeight="1">
      <c r="A3218" s="4" t="s">
        <v>4421</v>
      </c>
      <c r="B3218" s="37">
        <v>20.0</v>
      </c>
      <c r="C3218" s="37">
        <v>1.646664</v>
      </c>
      <c r="D3218" s="37">
        <v>-18.353336</v>
      </c>
    </row>
    <row r="3219" ht="14.25" customHeight="1">
      <c r="A3219" s="4" t="s">
        <v>3400</v>
      </c>
      <c r="B3219" s="37">
        <v>30.0</v>
      </c>
      <c r="C3219" s="37">
        <v>11.576087</v>
      </c>
      <c r="D3219" s="37">
        <v>-18.423913</v>
      </c>
    </row>
    <row r="3220" ht="14.25" customHeight="1">
      <c r="A3220" s="4" t="s">
        <v>389</v>
      </c>
      <c r="B3220" s="37">
        <v>150.0</v>
      </c>
      <c r="C3220" s="37">
        <v>131.564731</v>
      </c>
      <c r="D3220" s="37">
        <v>-18.435269</v>
      </c>
    </row>
    <row r="3221" ht="14.25" customHeight="1">
      <c r="A3221" s="4" t="s">
        <v>883</v>
      </c>
      <c r="B3221" s="37">
        <v>100.0</v>
      </c>
      <c r="C3221" s="37">
        <v>81.557479</v>
      </c>
      <c r="D3221" s="37">
        <v>-18.442521</v>
      </c>
    </row>
    <row r="3222" ht="14.25" customHeight="1">
      <c r="A3222" s="4" t="s">
        <v>3649</v>
      </c>
      <c r="B3222" s="37">
        <v>26.0</v>
      </c>
      <c r="C3222" s="37">
        <v>7.496522</v>
      </c>
      <c r="D3222" s="37">
        <v>-18.503478</v>
      </c>
    </row>
    <row r="3223" ht="14.25" customHeight="1">
      <c r="A3223" s="4" t="s">
        <v>2415</v>
      </c>
      <c r="B3223" s="37">
        <v>43.0</v>
      </c>
      <c r="C3223" s="37">
        <v>24.430272</v>
      </c>
      <c r="D3223" s="37">
        <v>-18.569728</v>
      </c>
    </row>
    <row r="3224" ht="14.25" customHeight="1">
      <c r="A3224" s="4" t="s">
        <v>2213</v>
      </c>
      <c r="B3224" s="37">
        <v>40.0</v>
      </c>
      <c r="C3224" s="37">
        <v>21.413502</v>
      </c>
      <c r="D3224" s="37">
        <v>-18.586498</v>
      </c>
    </row>
    <row r="3225" ht="14.25" customHeight="1">
      <c r="A3225" s="4" t="s">
        <v>1553</v>
      </c>
      <c r="B3225" s="37">
        <v>43.0</v>
      </c>
      <c r="C3225" s="37">
        <v>24.407944</v>
      </c>
      <c r="D3225" s="37">
        <v>-18.592056</v>
      </c>
    </row>
    <row r="3226" ht="14.25" customHeight="1">
      <c r="A3226" s="4" t="s">
        <v>3034</v>
      </c>
      <c r="B3226" s="37">
        <v>32.0</v>
      </c>
      <c r="C3226" s="37">
        <v>13.303319</v>
      </c>
      <c r="D3226" s="37">
        <v>-18.696681</v>
      </c>
    </row>
    <row r="3227" ht="14.25" customHeight="1">
      <c r="A3227" s="4" t="s">
        <v>3384</v>
      </c>
      <c r="B3227" s="37">
        <v>35.0</v>
      </c>
      <c r="C3227" s="37">
        <v>16.295774</v>
      </c>
      <c r="D3227" s="37">
        <v>-18.704226</v>
      </c>
    </row>
    <row r="3228" ht="14.25" customHeight="1">
      <c r="A3228" s="4" t="s">
        <v>5032</v>
      </c>
      <c r="B3228" s="37">
        <v>22.0</v>
      </c>
      <c r="C3228" s="37">
        <v>3.247816</v>
      </c>
      <c r="D3228" s="37">
        <v>-18.752184</v>
      </c>
    </row>
    <row r="3229" ht="14.25" customHeight="1">
      <c r="A3229" s="4" t="s">
        <v>1927</v>
      </c>
      <c r="B3229" s="37">
        <v>70.0</v>
      </c>
      <c r="C3229" s="37">
        <v>51.225796</v>
      </c>
      <c r="D3229" s="37">
        <v>-18.774204</v>
      </c>
    </row>
    <row r="3230" ht="14.25" customHeight="1">
      <c r="A3230" s="4" t="s">
        <v>4422</v>
      </c>
      <c r="B3230" s="37">
        <v>20.0</v>
      </c>
      <c r="C3230" s="37">
        <v>1.190018</v>
      </c>
      <c r="D3230" s="37">
        <v>-18.809982</v>
      </c>
    </row>
    <row r="3231" ht="14.25" customHeight="1">
      <c r="A3231" s="4" t="s">
        <v>4441</v>
      </c>
      <c r="B3231" s="37">
        <v>20.0</v>
      </c>
      <c r="C3231" s="37">
        <v>1.183354</v>
      </c>
      <c r="D3231" s="37">
        <v>-18.816646</v>
      </c>
    </row>
    <row r="3232" ht="14.25" customHeight="1">
      <c r="A3232" s="4" t="s">
        <v>2673</v>
      </c>
      <c r="B3232" s="37">
        <v>40.0</v>
      </c>
      <c r="C3232" s="37">
        <v>21.176322</v>
      </c>
      <c r="D3232" s="37">
        <v>-18.823678</v>
      </c>
    </row>
    <row r="3233" ht="14.25" customHeight="1">
      <c r="A3233" s="4" t="s">
        <v>865</v>
      </c>
      <c r="B3233" s="37">
        <v>90.0</v>
      </c>
      <c r="C3233" s="37">
        <v>71.148699</v>
      </c>
      <c r="D3233" s="37">
        <v>-18.851301</v>
      </c>
    </row>
    <row r="3234" ht="14.25" customHeight="1">
      <c r="A3234" s="4" t="s">
        <v>2472</v>
      </c>
      <c r="B3234" s="37">
        <v>41.0</v>
      </c>
      <c r="C3234" s="37">
        <v>22.108977</v>
      </c>
      <c r="D3234" s="37">
        <v>-18.891023</v>
      </c>
    </row>
    <row r="3235" ht="14.25" customHeight="1">
      <c r="A3235" s="4" t="s">
        <v>5141</v>
      </c>
      <c r="B3235" s="37">
        <v>24.0</v>
      </c>
      <c r="C3235" s="37">
        <v>5.10882</v>
      </c>
      <c r="D3235" s="37">
        <v>-18.89118</v>
      </c>
    </row>
    <row r="3236" ht="14.25" customHeight="1">
      <c r="A3236" s="4" t="s">
        <v>3075</v>
      </c>
      <c r="B3236" s="37">
        <v>34.0</v>
      </c>
      <c r="C3236" s="37">
        <v>15.081783</v>
      </c>
      <c r="D3236" s="37">
        <v>-18.918217</v>
      </c>
    </row>
    <row r="3237" ht="14.25" customHeight="1">
      <c r="A3237" s="4" t="s">
        <v>4426</v>
      </c>
      <c r="B3237" s="37">
        <v>20.0</v>
      </c>
      <c r="C3237" s="37">
        <v>1.064277</v>
      </c>
      <c r="D3237" s="37">
        <v>-18.935723</v>
      </c>
    </row>
    <row r="3238" ht="14.25" customHeight="1">
      <c r="A3238" s="4" t="s">
        <v>4483</v>
      </c>
      <c r="B3238" s="37">
        <v>19.0</v>
      </c>
      <c r="C3238" s="37">
        <v>0.012561</v>
      </c>
      <c r="D3238" s="37">
        <v>-18.987439</v>
      </c>
    </row>
    <row r="3239" ht="14.25" customHeight="1">
      <c r="A3239" s="4" t="s">
        <v>2689</v>
      </c>
      <c r="B3239" s="37">
        <v>40.0</v>
      </c>
      <c r="C3239" s="37">
        <v>20.999103</v>
      </c>
      <c r="D3239" s="37">
        <v>-19.000897</v>
      </c>
    </row>
    <row r="3240" ht="14.25" customHeight="1">
      <c r="A3240" s="4" t="s">
        <v>3419</v>
      </c>
      <c r="B3240" s="37">
        <v>30.0</v>
      </c>
      <c r="C3240" s="37">
        <v>10.965209</v>
      </c>
      <c r="D3240" s="37">
        <v>-19.034791</v>
      </c>
    </row>
    <row r="3241" ht="14.25" customHeight="1">
      <c r="A3241" s="4" t="s">
        <v>4070</v>
      </c>
      <c r="B3241" s="37">
        <v>22.0</v>
      </c>
      <c r="C3241" s="37">
        <v>2.963012</v>
      </c>
      <c r="D3241" s="37">
        <v>-19.036988</v>
      </c>
    </row>
    <row r="3242" ht="14.25" customHeight="1">
      <c r="A3242" s="4" t="s">
        <v>3119</v>
      </c>
      <c r="B3242" s="37">
        <v>30.0</v>
      </c>
      <c r="C3242" s="37">
        <v>10.955425</v>
      </c>
      <c r="D3242" s="37">
        <v>-19.044575</v>
      </c>
    </row>
    <row r="3243" ht="14.25" customHeight="1">
      <c r="A3243" s="4" t="s">
        <v>4257</v>
      </c>
      <c r="B3243" s="37">
        <v>40.0</v>
      </c>
      <c r="C3243" s="37">
        <v>20.916309</v>
      </c>
      <c r="D3243" s="37">
        <v>-19.083691</v>
      </c>
    </row>
    <row r="3244" ht="14.25" customHeight="1">
      <c r="A3244" s="4" t="s">
        <v>3526</v>
      </c>
      <c r="B3244" s="37">
        <v>28.0</v>
      </c>
      <c r="C3244" s="37">
        <v>8.888143</v>
      </c>
      <c r="D3244" s="37">
        <v>-19.111857</v>
      </c>
    </row>
    <row r="3245" ht="14.25" customHeight="1">
      <c r="A3245" s="4" t="s">
        <v>3424</v>
      </c>
      <c r="B3245" s="37">
        <v>30.0</v>
      </c>
      <c r="C3245" s="37">
        <v>10.880926</v>
      </c>
      <c r="D3245" s="37">
        <v>-19.119074</v>
      </c>
    </row>
    <row r="3246" ht="14.25" customHeight="1">
      <c r="A3246" s="4" t="s">
        <v>3211</v>
      </c>
      <c r="B3246" s="37">
        <v>31.0</v>
      </c>
      <c r="C3246" s="37">
        <v>11.854694</v>
      </c>
      <c r="D3246" s="37">
        <v>-19.145306</v>
      </c>
    </row>
    <row r="3247" ht="14.25" customHeight="1">
      <c r="A3247" s="4" t="s">
        <v>3957</v>
      </c>
      <c r="B3247" s="37">
        <v>24.0</v>
      </c>
      <c r="C3247" s="37">
        <v>4.710455</v>
      </c>
      <c r="D3247" s="37">
        <v>-19.289545</v>
      </c>
    </row>
    <row r="3248" ht="14.25" customHeight="1">
      <c r="A3248" s="4" t="s">
        <v>1922</v>
      </c>
      <c r="B3248" s="37">
        <v>55.0</v>
      </c>
      <c r="C3248" s="37">
        <v>35.707327</v>
      </c>
      <c r="D3248" s="37">
        <v>-19.292673</v>
      </c>
    </row>
    <row r="3249" ht="14.25" customHeight="1">
      <c r="A3249" s="4" t="s">
        <v>574</v>
      </c>
      <c r="B3249" s="37">
        <v>120.0</v>
      </c>
      <c r="C3249" s="37">
        <v>100.68588</v>
      </c>
      <c r="D3249" s="37">
        <v>-19.31412</v>
      </c>
    </row>
    <row r="3250" ht="14.25" customHeight="1">
      <c r="A3250" s="4" t="s">
        <v>3876</v>
      </c>
      <c r="B3250" s="37">
        <v>25.0</v>
      </c>
      <c r="C3250" s="37">
        <v>5.654777</v>
      </c>
      <c r="D3250" s="37">
        <v>-19.345223</v>
      </c>
    </row>
    <row r="3251" ht="14.25" customHeight="1">
      <c r="A3251" s="4" t="s">
        <v>2798</v>
      </c>
      <c r="B3251" s="37">
        <v>38.0</v>
      </c>
      <c r="C3251" s="37">
        <v>18.653746</v>
      </c>
      <c r="D3251" s="37">
        <v>-19.346254</v>
      </c>
    </row>
    <row r="3252" ht="14.25" customHeight="1">
      <c r="A3252" s="4" t="s">
        <v>1726</v>
      </c>
      <c r="B3252" s="37">
        <v>60.0</v>
      </c>
      <c r="C3252" s="37">
        <v>40.55993</v>
      </c>
      <c r="D3252" s="37">
        <v>-19.44007</v>
      </c>
    </row>
    <row r="3253" ht="14.25" customHeight="1">
      <c r="A3253" s="4" t="s">
        <v>3877</v>
      </c>
      <c r="B3253" s="37">
        <v>25.0</v>
      </c>
      <c r="C3253" s="37">
        <v>5.516708</v>
      </c>
      <c r="D3253" s="37">
        <v>-19.483292</v>
      </c>
    </row>
    <row r="3254" ht="14.25" customHeight="1">
      <c r="A3254" s="4" t="s">
        <v>1136</v>
      </c>
      <c r="B3254" s="37">
        <v>80.0</v>
      </c>
      <c r="C3254" s="37">
        <v>60.507228</v>
      </c>
      <c r="D3254" s="37">
        <v>-19.492772</v>
      </c>
    </row>
    <row r="3255" ht="14.25" customHeight="1">
      <c r="A3255" s="4" t="s">
        <v>3590</v>
      </c>
      <c r="B3255" s="37">
        <v>27.0</v>
      </c>
      <c r="C3255" s="37">
        <v>7.486906</v>
      </c>
      <c r="D3255" s="37">
        <v>-19.513094</v>
      </c>
    </row>
    <row r="3256" ht="14.25" customHeight="1">
      <c r="A3256" s="4" t="s">
        <v>4448</v>
      </c>
      <c r="B3256" s="37">
        <v>20.0</v>
      </c>
      <c r="C3256" s="37">
        <v>0.47627</v>
      </c>
      <c r="D3256" s="37">
        <v>-19.52373</v>
      </c>
    </row>
    <row r="3257" ht="14.25" customHeight="1">
      <c r="A3257" s="4" t="s">
        <v>3532</v>
      </c>
      <c r="B3257" s="37">
        <v>28.0</v>
      </c>
      <c r="C3257" s="37">
        <v>8.434601</v>
      </c>
      <c r="D3257" s="37">
        <v>-19.565399</v>
      </c>
    </row>
    <row r="3258" ht="14.25" customHeight="1">
      <c r="A3258" s="4" t="s">
        <v>5269</v>
      </c>
      <c r="B3258" s="37">
        <v>20.0</v>
      </c>
      <c r="C3258" s="37">
        <v>0.403932</v>
      </c>
      <c r="D3258" s="37">
        <v>-19.596068</v>
      </c>
    </row>
    <row r="3259" ht="14.25" customHeight="1">
      <c r="A3259" s="4" t="s">
        <v>4433</v>
      </c>
      <c r="B3259" s="37">
        <v>20.0</v>
      </c>
      <c r="C3259" s="37">
        <v>0.375474</v>
      </c>
      <c r="D3259" s="37">
        <v>-19.624526</v>
      </c>
    </row>
    <row r="3260" ht="14.25" customHeight="1">
      <c r="A3260" s="4" t="s">
        <v>6747</v>
      </c>
      <c r="B3260" s="37">
        <v>19.9</v>
      </c>
      <c r="C3260" s="37">
        <v>0.252652</v>
      </c>
      <c r="D3260" s="37">
        <v>-19.647348</v>
      </c>
    </row>
    <row r="3261" ht="14.25" customHeight="1">
      <c r="A3261" s="4" t="s">
        <v>3949</v>
      </c>
      <c r="B3261" s="37">
        <v>24.0</v>
      </c>
      <c r="C3261" s="37">
        <v>4.308981</v>
      </c>
      <c r="D3261" s="37">
        <v>-19.691019</v>
      </c>
    </row>
    <row r="3262" ht="14.25" customHeight="1">
      <c r="A3262" s="4" t="s">
        <v>2148</v>
      </c>
      <c r="B3262" s="37">
        <v>50.0</v>
      </c>
      <c r="C3262" s="37">
        <v>30.306268</v>
      </c>
      <c r="D3262" s="37">
        <v>-19.693732</v>
      </c>
    </row>
    <row r="3263" ht="14.25" customHeight="1">
      <c r="A3263" s="4" t="s">
        <v>4435</v>
      </c>
      <c r="B3263" s="37">
        <v>20.0</v>
      </c>
      <c r="C3263" s="37">
        <v>0.30507</v>
      </c>
      <c r="D3263" s="37">
        <v>-19.69493</v>
      </c>
    </row>
    <row r="3264" ht="14.25" customHeight="1">
      <c r="A3264" s="4" t="s">
        <v>2674</v>
      </c>
      <c r="B3264" s="37">
        <v>40.0</v>
      </c>
      <c r="C3264" s="37">
        <v>20.3</v>
      </c>
      <c r="D3264" s="37">
        <v>-19.7</v>
      </c>
    </row>
    <row r="3265" ht="14.25" customHeight="1">
      <c r="A3265" s="4" t="s">
        <v>4445</v>
      </c>
      <c r="B3265" s="37">
        <v>20.0</v>
      </c>
      <c r="C3265" s="37">
        <v>0.263365</v>
      </c>
      <c r="D3265" s="37">
        <v>-19.736635</v>
      </c>
    </row>
    <row r="3266" ht="14.25" customHeight="1">
      <c r="A3266" s="4" t="s">
        <v>2358</v>
      </c>
      <c r="B3266" s="37">
        <v>45.0</v>
      </c>
      <c r="C3266" s="37">
        <v>25.200412</v>
      </c>
      <c r="D3266" s="37">
        <v>-19.799588</v>
      </c>
    </row>
    <row r="3267" ht="14.25" customHeight="1">
      <c r="A3267" s="4" t="s">
        <v>3413</v>
      </c>
      <c r="B3267" s="37">
        <v>30.0</v>
      </c>
      <c r="C3267" s="37">
        <v>10.134754</v>
      </c>
      <c r="D3267" s="37">
        <v>-19.865246</v>
      </c>
    </row>
    <row r="3268" ht="14.25" customHeight="1">
      <c r="A3268" s="4" t="s">
        <v>3878</v>
      </c>
      <c r="B3268" s="37">
        <v>25.0</v>
      </c>
      <c r="C3268" s="37">
        <v>5.128124</v>
      </c>
      <c r="D3268" s="37">
        <v>-19.871876</v>
      </c>
    </row>
    <row r="3269" ht="14.25" customHeight="1">
      <c r="A3269" s="4" t="s">
        <v>3531</v>
      </c>
      <c r="B3269" s="37">
        <v>28.0</v>
      </c>
      <c r="C3269" s="37">
        <v>8.119205</v>
      </c>
      <c r="D3269" s="37">
        <v>-19.880795</v>
      </c>
    </row>
    <row r="3270" ht="14.25" customHeight="1">
      <c r="A3270" s="4" t="s">
        <v>2703</v>
      </c>
      <c r="B3270" s="37">
        <v>40.0</v>
      </c>
      <c r="C3270" s="37">
        <v>20.113965</v>
      </c>
      <c r="D3270" s="37">
        <v>-19.886035</v>
      </c>
    </row>
    <row r="3271" ht="14.25" customHeight="1">
      <c r="A3271" s="4" t="s">
        <v>1746</v>
      </c>
      <c r="B3271" s="37">
        <v>60.0</v>
      </c>
      <c r="C3271" s="37">
        <v>40.076438</v>
      </c>
      <c r="D3271" s="37">
        <v>-19.923562</v>
      </c>
    </row>
    <row r="3272" ht="14.25" customHeight="1">
      <c r="A3272" s="4" t="s">
        <v>5472</v>
      </c>
      <c r="B3272" s="37">
        <v>20.0</v>
      </c>
      <c r="C3272" s="37">
        <v>0.017149</v>
      </c>
      <c r="D3272" s="37">
        <v>-19.982851</v>
      </c>
    </row>
    <row r="3273" ht="14.25" customHeight="1">
      <c r="A3273" s="4" t="s">
        <v>1014</v>
      </c>
      <c r="B3273" s="37">
        <v>70.0</v>
      </c>
      <c r="C3273" s="37">
        <v>50.016394</v>
      </c>
      <c r="D3273" s="37">
        <v>-19.983606</v>
      </c>
    </row>
    <row r="3274" ht="14.25" customHeight="1">
      <c r="A3274" s="4" t="s">
        <v>4056</v>
      </c>
      <c r="B3274" s="37">
        <v>25.0</v>
      </c>
      <c r="C3274" s="37">
        <v>5.0</v>
      </c>
      <c r="D3274" s="37">
        <v>-20.0</v>
      </c>
    </row>
    <row r="3275" ht="14.25" customHeight="1">
      <c r="A3275" s="4" t="s">
        <v>3019</v>
      </c>
      <c r="B3275" s="37">
        <v>35.0</v>
      </c>
      <c r="C3275" s="37">
        <v>14.99807</v>
      </c>
      <c r="D3275" s="37">
        <v>-20.00193</v>
      </c>
    </row>
    <row r="3276" ht="14.25" customHeight="1">
      <c r="A3276" s="4" t="s">
        <v>4109</v>
      </c>
      <c r="B3276" s="37">
        <v>21.0</v>
      </c>
      <c r="C3276" s="37">
        <v>0.958319</v>
      </c>
      <c r="D3276" s="37">
        <v>-20.041681</v>
      </c>
    </row>
    <row r="3277" ht="14.25" customHeight="1">
      <c r="A3277" s="4" t="s">
        <v>1029</v>
      </c>
      <c r="B3277" s="37">
        <v>85.0</v>
      </c>
      <c r="C3277" s="37">
        <v>64.93367</v>
      </c>
      <c r="D3277" s="37">
        <v>-20.06633</v>
      </c>
    </row>
    <row r="3278" ht="14.25" customHeight="1">
      <c r="A3278" s="4" t="s">
        <v>4072</v>
      </c>
      <c r="B3278" s="37">
        <v>22.0</v>
      </c>
      <c r="C3278" s="37">
        <v>1.796024</v>
      </c>
      <c r="D3278" s="37">
        <v>-20.203976</v>
      </c>
    </row>
    <row r="3279" ht="14.25" customHeight="1">
      <c r="A3279" s="4" t="s">
        <v>376</v>
      </c>
      <c r="B3279" s="37">
        <v>100.0</v>
      </c>
      <c r="C3279" s="37">
        <v>79.711678</v>
      </c>
      <c r="D3279" s="37">
        <v>-20.288322</v>
      </c>
    </row>
    <row r="3280" ht="14.25" customHeight="1">
      <c r="A3280" s="4" t="s">
        <v>3995</v>
      </c>
      <c r="B3280" s="37">
        <v>23.0</v>
      </c>
      <c r="C3280" s="37">
        <v>2.708188</v>
      </c>
      <c r="D3280" s="37">
        <v>-20.291812</v>
      </c>
    </row>
    <row r="3281" ht="14.25" customHeight="1">
      <c r="A3281" s="4" t="s">
        <v>3021</v>
      </c>
      <c r="B3281" s="37">
        <v>35.0</v>
      </c>
      <c r="C3281" s="37">
        <v>14.587732</v>
      </c>
      <c r="D3281" s="37">
        <v>-20.412268</v>
      </c>
    </row>
    <row r="3282" ht="14.25" customHeight="1">
      <c r="A3282" s="4" t="s">
        <v>2412</v>
      </c>
      <c r="B3282" s="37">
        <v>45.0</v>
      </c>
      <c r="C3282" s="37">
        <v>24.520892</v>
      </c>
      <c r="D3282" s="37">
        <v>-20.479108</v>
      </c>
    </row>
    <row r="3283" ht="14.25" customHeight="1">
      <c r="A3283" s="4" t="s">
        <v>3436</v>
      </c>
      <c r="B3283" s="37">
        <v>21.0</v>
      </c>
      <c r="C3283" s="37">
        <v>0.480314</v>
      </c>
      <c r="D3283" s="37">
        <v>-20.519686</v>
      </c>
    </row>
    <row r="3284" ht="14.25" customHeight="1">
      <c r="A3284" s="4" t="s">
        <v>5139</v>
      </c>
      <c r="B3284" s="37">
        <v>26.0</v>
      </c>
      <c r="C3284" s="37">
        <v>5.459824</v>
      </c>
      <c r="D3284" s="37">
        <v>-20.540176</v>
      </c>
    </row>
    <row r="3285" ht="14.25" customHeight="1">
      <c r="A3285" s="4" t="s">
        <v>1188</v>
      </c>
      <c r="B3285" s="37">
        <v>40.0</v>
      </c>
      <c r="C3285" s="37">
        <v>19.406406</v>
      </c>
      <c r="D3285" s="37">
        <v>-20.593594</v>
      </c>
    </row>
    <row r="3286" ht="14.25" customHeight="1">
      <c r="A3286" s="4" t="s">
        <v>2345</v>
      </c>
      <c r="B3286" s="37">
        <v>45.0</v>
      </c>
      <c r="C3286" s="37">
        <v>24.343673</v>
      </c>
      <c r="D3286" s="37">
        <v>-20.656327</v>
      </c>
    </row>
    <row r="3287" ht="14.25" customHeight="1">
      <c r="A3287" s="4" t="s">
        <v>2345</v>
      </c>
      <c r="B3287" s="37">
        <v>45.0</v>
      </c>
      <c r="C3287" s="37">
        <v>24.343673</v>
      </c>
      <c r="D3287" s="37">
        <v>-20.656327</v>
      </c>
    </row>
    <row r="3288" ht="14.25" customHeight="1">
      <c r="A3288" s="4" t="s">
        <v>2799</v>
      </c>
      <c r="B3288" s="37">
        <v>38.0</v>
      </c>
      <c r="C3288" s="37">
        <v>17.305211</v>
      </c>
      <c r="D3288" s="37">
        <v>-20.694789</v>
      </c>
    </row>
    <row r="3289" ht="14.25" customHeight="1">
      <c r="A3289" s="4" t="s">
        <v>1915</v>
      </c>
      <c r="B3289" s="37">
        <v>55.0</v>
      </c>
      <c r="C3289" s="37">
        <v>34.238611</v>
      </c>
      <c r="D3289" s="37">
        <v>-20.761389</v>
      </c>
    </row>
    <row r="3290" ht="14.25" customHeight="1">
      <c r="A3290" s="4" t="s">
        <v>4269</v>
      </c>
      <c r="B3290" s="37">
        <v>40.0</v>
      </c>
      <c r="C3290" s="37">
        <v>19.151864</v>
      </c>
      <c r="D3290" s="37">
        <v>-20.848136</v>
      </c>
    </row>
    <row r="3291" ht="14.25" customHeight="1">
      <c r="A3291" s="4" t="s">
        <v>2168</v>
      </c>
      <c r="B3291" s="37">
        <v>40.0</v>
      </c>
      <c r="C3291" s="37">
        <v>19.118247</v>
      </c>
      <c r="D3291" s="37">
        <v>-20.881753</v>
      </c>
    </row>
    <row r="3292" ht="14.25" customHeight="1">
      <c r="A3292" s="4" t="s">
        <v>1916</v>
      </c>
      <c r="B3292" s="37">
        <v>55.0</v>
      </c>
      <c r="C3292" s="37">
        <v>34.098563</v>
      </c>
      <c r="D3292" s="37">
        <v>-20.901437</v>
      </c>
    </row>
    <row r="3293" ht="14.25" customHeight="1">
      <c r="A3293" s="4" t="s">
        <v>3647</v>
      </c>
      <c r="B3293" s="37">
        <v>22.0</v>
      </c>
      <c r="C3293" s="37">
        <v>1.075288</v>
      </c>
      <c r="D3293" s="37">
        <v>-20.924712</v>
      </c>
    </row>
    <row r="3294" ht="14.25" customHeight="1">
      <c r="A3294" s="4" t="s">
        <v>3880</v>
      </c>
      <c r="B3294" s="37">
        <v>25.0</v>
      </c>
      <c r="C3294" s="37">
        <v>4.064333</v>
      </c>
      <c r="D3294" s="37">
        <v>-20.935667</v>
      </c>
    </row>
    <row r="3295" ht="14.25" customHeight="1">
      <c r="A3295" s="4" t="s">
        <v>4065</v>
      </c>
      <c r="B3295" s="37">
        <v>22.0</v>
      </c>
      <c r="C3295" s="37">
        <v>1.050445</v>
      </c>
      <c r="D3295" s="37">
        <v>-20.949555</v>
      </c>
    </row>
    <row r="3296" ht="14.25" customHeight="1">
      <c r="A3296" s="4" t="s">
        <v>4108</v>
      </c>
      <c r="B3296" s="37">
        <v>21.0</v>
      </c>
      <c r="C3296" s="37">
        <v>0.015593</v>
      </c>
      <c r="D3296" s="37">
        <v>-20.984407</v>
      </c>
    </row>
    <row r="3297" ht="14.25" customHeight="1">
      <c r="A3297" s="4" t="s">
        <v>3534</v>
      </c>
      <c r="B3297" s="37">
        <v>28.0</v>
      </c>
      <c r="C3297" s="37">
        <v>6.998324</v>
      </c>
      <c r="D3297" s="37">
        <v>-21.001676</v>
      </c>
    </row>
    <row r="3298" ht="14.25" customHeight="1">
      <c r="A3298" s="4" t="s">
        <v>846</v>
      </c>
      <c r="B3298" s="37">
        <v>65.0</v>
      </c>
      <c r="C3298" s="37">
        <v>43.982842</v>
      </c>
      <c r="D3298" s="37">
        <v>-21.017158</v>
      </c>
    </row>
    <row r="3299" ht="14.25" customHeight="1">
      <c r="A3299" s="4" t="s">
        <v>846</v>
      </c>
      <c r="B3299" s="37">
        <v>65.0</v>
      </c>
      <c r="C3299" s="37">
        <v>43.982842</v>
      </c>
      <c r="D3299" s="37">
        <v>-21.017158</v>
      </c>
    </row>
    <row r="3300" ht="14.25" customHeight="1">
      <c r="A3300" s="4" t="s">
        <v>2452</v>
      </c>
      <c r="B3300" s="37">
        <v>42.0</v>
      </c>
      <c r="C3300" s="37">
        <v>20.915465</v>
      </c>
      <c r="D3300" s="37">
        <v>-21.084535</v>
      </c>
    </row>
    <row r="3301" ht="14.25" customHeight="1">
      <c r="A3301" s="4" t="s">
        <v>2200</v>
      </c>
      <c r="B3301" s="37">
        <v>50.0</v>
      </c>
      <c r="C3301" s="37">
        <v>28.837115</v>
      </c>
      <c r="D3301" s="37">
        <v>-21.162885</v>
      </c>
    </row>
    <row r="3302" ht="14.25" customHeight="1">
      <c r="A3302" s="4" t="s">
        <v>1917</v>
      </c>
      <c r="B3302" s="37">
        <v>55.0</v>
      </c>
      <c r="C3302" s="37">
        <v>33.828318</v>
      </c>
      <c r="D3302" s="37">
        <v>-21.171682</v>
      </c>
    </row>
    <row r="3303" ht="14.25" customHeight="1">
      <c r="A3303" s="4" t="s">
        <v>652</v>
      </c>
      <c r="B3303" s="37">
        <v>120.0</v>
      </c>
      <c r="C3303" s="37">
        <v>98.780042</v>
      </c>
      <c r="D3303" s="37">
        <v>-21.219958</v>
      </c>
    </row>
    <row r="3304" ht="14.25" customHeight="1">
      <c r="A3304" s="4" t="s">
        <v>928</v>
      </c>
      <c r="B3304" s="37">
        <v>100.0</v>
      </c>
      <c r="C3304" s="37">
        <v>78.616689</v>
      </c>
      <c r="D3304" s="37">
        <v>-21.383311</v>
      </c>
    </row>
    <row r="3305" ht="14.25" customHeight="1">
      <c r="A3305" s="4" t="s">
        <v>943</v>
      </c>
      <c r="B3305" s="37">
        <v>90.0</v>
      </c>
      <c r="C3305" s="37">
        <v>68.558662</v>
      </c>
      <c r="D3305" s="37">
        <v>-21.441338</v>
      </c>
    </row>
    <row r="3306" ht="14.25" customHeight="1">
      <c r="A3306" s="4" t="s">
        <v>3414</v>
      </c>
      <c r="B3306" s="37">
        <v>30.0</v>
      </c>
      <c r="C3306" s="37">
        <v>8.535575</v>
      </c>
      <c r="D3306" s="37">
        <v>-21.464425</v>
      </c>
    </row>
    <row r="3307" ht="14.25" customHeight="1">
      <c r="A3307" s="4" t="s">
        <v>1541</v>
      </c>
      <c r="B3307" s="37">
        <v>65.0</v>
      </c>
      <c r="C3307" s="37">
        <v>43.532294</v>
      </c>
      <c r="D3307" s="37">
        <v>-21.467706</v>
      </c>
    </row>
    <row r="3308" ht="14.25" customHeight="1">
      <c r="A3308" s="4" t="s">
        <v>3428</v>
      </c>
      <c r="B3308" s="37">
        <v>25.0</v>
      </c>
      <c r="C3308" s="37">
        <v>3.517797</v>
      </c>
      <c r="D3308" s="37">
        <v>-21.482203</v>
      </c>
    </row>
    <row r="3309" ht="14.25" customHeight="1">
      <c r="A3309" s="4" t="s">
        <v>1919</v>
      </c>
      <c r="B3309" s="37">
        <v>55.0</v>
      </c>
      <c r="C3309" s="37">
        <v>33.47285</v>
      </c>
      <c r="D3309" s="37">
        <v>-21.52715</v>
      </c>
    </row>
    <row r="3310" ht="14.25" customHeight="1">
      <c r="A3310" s="4" t="s">
        <v>2728</v>
      </c>
      <c r="B3310" s="37">
        <v>40.0</v>
      </c>
      <c r="C3310" s="37">
        <v>18.438149</v>
      </c>
      <c r="D3310" s="37">
        <v>-21.561851</v>
      </c>
    </row>
    <row r="3311" ht="14.25" customHeight="1">
      <c r="A3311" s="4" t="s">
        <v>1402</v>
      </c>
      <c r="B3311" s="37">
        <v>70.0</v>
      </c>
      <c r="C3311" s="37">
        <v>48.430355</v>
      </c>
      <c r="D3311" s="37">
        <v>-21.569645</v>
      </c>
    </row>
    <row r="3312" ht="14.25" customHeight="1">
      <c r="A3312" s="4" t="s">
        <v>1045</v>
      </c>
      <c r="B3312" s="37">
        <v>35.0</v>
      </c>
      <c r="C3312" s="37">
        <v>13.401683</v>
      </c>
      <c r="D3312" s="37">
        <v>-21.598317</v>
      </c>
    </row>
    <row r="3313" ht="14.25" customHeight="1">
      <c r="A3313" s="4" t="s">
        <v>1045</v>
      </c>
      <c r="B3313" s="37">
        <v>35.0</v>
      </c>
      <c r="C3313" s="37">
        <v>13.401683</v>
      </c>
      <c r="D3313" s="37">
        <v>-21.598317</v>
      </c>
    </row>
    <row r="3314" ht="14.25" customHeight="1">
      <c r="A3314" s="4" t="s">
        <v>2868</v>
      </c>
      <c r="B3314" s="37">
        <v>36.0</v>
      </c>
      <c r="C3314" s="37">
        <v>14.378353</v>
      </c>
      <c r="D3314" s="37">
        <v>-21.621647</v>
      </c>
    </row>
    <row r="3315" ht="14.25" customHeight="1">
      <c r="A3315" s="4" t="s">
        <v>3029</v>
      </c>
      <c r="B3315" s="37">
        <v>35.0</v>
      </c>
      <c r="C3315" s="37">
        <v>13.264986</v>
      </c>
      <c r="D3315" s="37">
        <v>-21.735014</v>
      </c>
    </row>
    <row r="3316" ht="14.25" customHeight="1">
      <c r="A3316" s="4" t="s">
        <v>997</v>
      </c>
      <c r="B3316" s="37">
        <v>85.0</v>
      </c>
      <c r="C3316" s="37">
        <v>63.224849</v>
      </c>
      <c r="D3316" s="37">
        <v>-21.775151</v>
      </c>
    </row>
    <row r="3317" ht="14.25" customHeight="1">
      <c r="A3317" s="4" t="s">
        <v>936</v>
      </c>
      <c r="B3317" s="37">
        <v>95.0</v>
      </c>
      <c r="C3317" s="37">
        <v>73.20934</v>
      </c>
      <c r="D3317" s="37">
        <v>-21.79066</v>
      </c>
    </row>
    <row r="3318" ht="14.25" customHeight="1">
      <c r="A3318" s="4" t="s">
        <v>2338</v>
      </c>
      <c r="B3318" s="37">
        <v>50.0</v>
      </c>
      <c r="C3318" s="37">
        <v>28.133159</v>
      </c>
      <c r="D3318" s="37">
        <v>-21.866841</v>
      </c>
    </row>
    <row r="3319" ht="14.25" customHeight="1">
      <c r="A3319" s="4" t="s">
        <v>4444</v>
      </c>
      <c r="B3319" s="37">
        <v>22.0</v>
      </c>
      <c r="C3319" s="37">
        <v>0.121972</v>
      </c>
      <c r="D3319" s="37">
        <v>-21.878028</v>
      </c>
    </row>
    <row r="3320" ht="14.25" customHeight="1">
      <c r="A3320" s="4" t="s">
        <v>3085</v>
      </c>
      <c r="B3320" s="37">
        <v>35.0</v>
      </c>
      <c r="C3320" s="37">
        <v>13.101142</v>
      </c>
      <c r="D3320" s="37">
        <v>-21.898858</v>
      </c>
    </row>
    <row r="3321" ht="14.25" customHeight="1">
      <c r="A3321" s="4" t="s">
        <v>3885</v>
      </c>
      <c r="B3321" s="37">
        <v>25.0</v>
      </c>
      <c r="C3321" s="37">
        <v>3.073392</v>
      </c>
      <c r="D3321" s="37">
        <v>-21.926608</v>
      </c>
    </row>
    <row r="3322" ht="14.25" customHeight="1">
      <c r="A3322" s="4" t="s">
        <v>582</v>
      </c>
      <c r="B3322" s="37">
        <v>115.0</v>
      </c>
      <c r="C3322" s="37">
        <v>93.050117</v>
      </c>
      <c r="D3322" s="37">
        <v>-21.949883</v>
      </c>
    </row>
    <row r="3323" ht="14.25" customHeight="1">
      <c r="A3323" s="4" t="s">
        <v>3600</v>
      </c>
      <c r="B3323" s="37">
        <v>23.0</v>
      </c>
      <c r="C3323" s="37">
        <v>0.763044</v>
      </c>
      <c r="D3323" s="37">
        <v>-22.236956</v>
      </c>
    </row>
    <row r="3324" ht="14.25" customHeight="1">
      <c r="A3324" s="4" t="s">
        <v>812</v>
      </c>
      <c r="B3324" s="37">
        <v>100.0</v>
      </c>
      <c r="C3324" s="37">
        <v>77.679638</v>
      </c>
      <c r="D3324" s="37">
        <v>-22.320362</v>
      </c>
    </row>
    <row r="3325" ht="14.25" customHeight="1">
      <c r="A3325" s="4" t="s">
        <v>2726</v>
      </c>
      <c r="B3325" s="37">
        <v>26.0</v>
      </c>
      <c r="C3325" s="37">
        <v>3.675072</v>
      </c>
      <c r="D3325" s="37">
        <v>-22.324928</v>
      </c>
    </row>
    <row r="3326" ht="14.25" customHeight="1">
      <c r="A3326" s="4" t="s">
        <v>2150</v>
      </c>
      <c r="B3326" s="37">
        <v>50.0</v>
      </c>
      <c r="C3326" s="37">
        <v>27.667947</v>
      </c>
      <c r="D3326" s="37">
        <v>-22.332053</v>
      </c>
    </row>
    <row r="3327" ht="14.25" customHeight="1">
      <c r="A3327" s="4" t="s">
        <v>1480</v>
      </c>
      <c r="B3327" s="37">
        <v>66.0</v>
      </c>
      <c r="C3327" s="37">
        <v>43.568507</v>
      </c>
      <c r="D3327" s="37">
        <v>-22.431493</v>
      </c>
    </row>
    <row r="3328" ht="14.25" customHeight="1">
      <c r="A3328" s="4" t="s">
        <v>3539</v>
      </c>
      <c r="B3328" s="37">
        <v>28.0</v>
      </c>
      <c r="C3328" s="37">
        <v>5.532301</v>
      </c>
      <c r="D3328" s="37">
        <v>-22.467699</v>
      </c>
    </row>
    <row r="3329" ht="14.25" customHeight="1">
      <c r="A3329" s="4" t="s">
        <v>445</v>
      </c>
      <c r="B3329" s="37">
        <v>130.0</v>
      </c>
      <c r="C3329" s="37">
        <v>107.503316</v>
      </c>
      <c r="D3329" s="37">
        <v>-22.496684</v>
      </c>
    </row>
    <row r="3330" ht="14.25" customHeight="1">
      <c r="A3330" s="4" t="s">
        <v>1018</v>
      </c>
      <c r="B3330" s="37">
        <v>85.0</v>
      </c>
      <c r="C3330" s="37">
        <v>62.494975</v>
      </c>
      <c r="D3330" s="37">
        <v>-22.505025</v>
      </c>
    </row>
    <row r="3331" ht="14.25" customHeight="1">
      <c r="A3331" s="4" t="s">
        <v>294</v>
      </c>
      <c r="B3331" s="37">
        <v>150.0</v>
      </c>
      <c r="C3331" s="37">
        <v>127.490802</v>
      </c>
      <c r="D3331" s="37">
        <v>-22.509198</v>
      </c>
    </row>
    <row r="3332" ht="14.25" customHeight="1">
      <c r="A3332" s="4" t="s">
        <v>1724</v>
      </c>
      <c r="B3332" s="37">
        <v>60.0</v>
      </c>
      <c r="C3332" s="37">
        <v>37.479778</v>
      </c>
      <c r="D3332" s="37">
        <v>-22.520222</v>
      </c>
    </row>
    <row r="3333" ht="14.25" customHeight="1">
      <c r="A3333" s="4" t="s">
        <v>3598</v>
      </c>
      <c r="B3333" s="37">
        <v>27.0</v>
      </c>
      <c r="C3333" s="37">
        <v>4.476235</v>
      </c>
      <c r="D3333" s="37">
        <v>-22.523765</v>
      </c>
    </row>
    <row r="3334" ht="14.25" customHeight="1">
      <c r="A3334" s="4" t="s">
        <v>1166</v>
      </c>
      <c r="B3334" s="37">
        <v>44.0</v>
      </c>
      <c r="C3334" s="37">
        <v>21.471685</v>
      </c>
      <c r="D3334" s="37">
        <v>-22.528315</v>
      </c>
    </row>
    <row r="3335" ht="14.25" customHeight="1">
      <c r="A3335" s="4" t="s">
        <v>1316</v>
      </c>
      <c r="B3335" s="37">
        <v>70.0</v>
      </c>
      <c r="C3335" s="37">
        <v>47.45645</v>
      </c>
      <c r="D3335" s="37">
        <v>-22.54355</v>
      </c>
    </row>
    <row r="3336" ht="14.25" customHeight="1">
      <c r="A3336" s="4" t="s">
        <v>3480</v>
      </c>
      <c r="B3336" s="37">
        <v>30.0</v>
      </c>
      <c r="C3336" s="37">
        <v>7.443007</v>
      </c>
      <c r="D3336" s="37">
        <v>-22.556993</v>
      </c>
    </row>
    <row r="3337" ht="14.25" customHeight="1">
      <c r="A3337" s="4" t="s">
        <v>1262</v>
      </c>
      <c r="B3337" s="37">
        <v>70.0</v>
      </c>
      <c r="C3337" s="37">
        <v>47.37909</v>
      </c>
      <c r="D3337" s="37">
        <v>-22.62091</v>
      </c>
    </row>
    <row r="3338" ht="14.25" customHeight="1">
      <c r="A3338" s="4" t="s">
        <v>1531</v>
      </c>
      <c r="B3338" s="37">
        <v>65.0</v>
      </c>
      <c r="C3338" s="37">
        <v>42.345531</v>
      </c>
      <c r="D3338" s="37">
        <v>-22.654469</v>
      </c>
    </row>
    <row r="3339" ht="14.25" customHeight="1">
      <c r="A3339" s="4" t="s">
        <v>2719</v>
      </c>
      <c r="B3339" s="37">
        <v>33.0</v>
      </c>
      <c r="C3339" s="37">
        <v>10.326062</v>
      </c>
      <c r="D3339" s="37">
        <v>-22.673938</v>
      </c>
    </row>
    <row r="3340" ht="14.25" customHeight="1">
      <c r="A3340" s="4" t="s">
        <v>3463</v>
      </c>
      <c r="B3340" s="37">
        <v>29.0</v>
      </c>
      <c r="C3340" s="37">
        <v>6.301131</v>
      </c>
      <c r="D3340" s="37">
        <v>-22.698869</v>
      </c>
    </row>
    <row r="3341" ht="14.25" customHeight="1">
      <c r="A3341" s="4" t="s">
        <v>3071</v>
      </c>
      <c r="B3341" s="37">
        <v>34.0</v>
      </c>
      <c r="C3341" s="37">
        <v>11.22794</v>
      </c>
      <c r="D3341" s="37">
        <v>-22.77206</v>
      </c>
    </row>
    <row r="3342" ht="14.25" customHeight="1">
      <c r="A3342" s="4" t="s">
        <v>751</v>
      </c>
      <c r="B3342" s="37">
        <v>100.0</v>
      </c>
      <c r="C3342" s="37">
        <v>77.222184</v>
      </c>
      <c r="D3342" s="37">
        <v>-22.777816</v>
      </c>
    </row>
    <row r="3343" ht="14.25" customHeight="1">
      <c r="A3343" s="4" t="s">
        <v>3595</v>
      </c>
      <c r="B3343" s="37">
        <v>28.0</v>
      </c>
      <c r="C3343" s="37">
        <v>5.204007</v>
      </c>
      <c r="D3343" s="37">
        <v>-22.795993</v>
      </c>
    </row>
    <row r="3344" ht="14.25" customHeight="1">
      <c r="A3344" s="4" t="s">
        <v>2151</v>
      </c>
      <c r="B3344" s="37">
        <v>50.0</v>
      </c>
      <c r="C3344" s="37">
        <v>27.06716</v>
      </c>
      <c r="D3344" s="37">
        <v>-22.93284</v>
      </c>
    </row>
    <row r="3345" ht="14.25" customHeight="1">
      <c r="A3345" s="4" t="s">
        <v>2865</v>
      </c>
      <c r="B3345" s="37">
        <v>36.0</v>
      </c>
      <c r="C3345" s="37">
        <v>13.052741</v>
      </c>
      <c r="D3345" s="37">
        <v>-22.947259</v>
      </c>
    </row>
    <row r="3346" ht="14.25" customHeight="1">
      <c r="A3346" s="4" t="s">
        <v>196</v>
      </c>
      <c r="B3346" s="37">
        <v>178.0</v>
      </c>
      <c r="C3346" s="37">
        <v>154.985087</v>
      </c>
      <c r="D3346" s="37">
        <v>-23.014913</v>
      </c>
    </row>
    <row r="3347" ht="14.25" customHeight="1">
      <c r="A3347" s="4" t="s">
        <v>3458</v>
      </c>
      <c r="B3347" s="37">
        <v>29.0</v>
      </c>
      <c r="C3347" s="37">
        <v>5.899797</v>
      </c>
      <c r="D3347" s="37">
        <v>-23.100203</v>
      </c>
    </row>
    <row r="3348" ht="14.25" customHeight="1">
      <c r="A3348" s="4" t="s">
        <v>4424</v>
      </c>
      <c r="B3348" s="37">
        <v>24.0</v>
      </c>
      <c r="C3348" s="37">
        <v>0.88271</v>
      </c>
      <c r="D3348" s="37">
        <v>-23.11729</v>
      </c>
    </row>
    <row r="3349" ht="14.25" customHeight="1">
      <c r="A3349" s="4" t="s">
        <v>1315</v>
      </c>
      <c r="B3349" s="37">
        <v>75.0</v>
      </c>
      <c r="C3349" s="37">
        <v>51.81419</v>
      </c>
      <c r="D3349" s="37">
        <v>-23.18581</v>
      </c>
    </row>
    <row r="3350" ht="14.25" customHeight="1">
      <c r="A3350" s="4" t="s">
        <v>1137</v>
      </c>
      <c r="B3350" s="37">
        <v>80.0</v>
      </c>
      <c r="C3350" s="37">
        <v>56.684819</v>
      </c>
      <c r="D3350" s="37">
        <v>-23.315181</v>
      </c>
    </row>
    <row r="3351" ht="14.25" customHeight="1">
      <c r="A3351" s="4" t="s">
        <v>3081</v>
      </c>
      <c r="B3351" s="37">
        <v>34.0</v>
      </c>
      <c r="C3351" s="37">
        <v>10.654581</v>
      </c>
      <c r="D3351" s="37">
        <v>-23.345419</v>
      </c>
    </row>
    <row r="3352" ht="14.25" customHeight="1">
      <c r="A3352" s="4" t="s">
        <v>3081</v>
      </c>
      <c r="B3352" s="37">
        <v>34.0</v>
      </c>
      <c r="C3352" s="37">
        <v>10.654581</v>
      </c>
      <c r="D3352" s="37">
        <v>-23.345419</v>
      </c>
    </row>
    <row r="3353" ht="14.25" customHeight="1">
      <c r="A3353" s="4" t="s">
        <v>3046</v>
      </c>
      <c r="B3353" s="37">
        <v>35.0</v>
      </c>
      <c r="C3353" s="37">
        <v>11.631245</v>
      </c>
      <c r="D3353" s="37">
        <v>-23.368755</v>
      </c>
    </row>
    <row r="3354" ht="14.25" customHeight="1">
      <c r="A3354" s="4" t="s">
        <v>2476</v>
      </c>
      <c r="B3354" s="37">
        <v>42.0</v>
      </c>
      <c r="C3354" s="37">
        <v>18.600911</v>
      </c>
      <c r="D3354" s="37">
        <v>-23.399089</v>
      </c>
    </row>
    <row r="3355" ht="14.25" customHeight="1">
      <c r="A3355" s="4" t="s">
        <v>384</v>
      </c>
      <c r="B3355" s="37">
        <v>150.0</v>
      </c>
      <c r="C3355" s="37">
        <v>126.597121</v>
      </c>
      <c r="D3355" s="37">
        <v>-23.402879</v>
      </c>
    </row>
    <row r="3356" ht="14.25" customHeight="1">
      <c r="A3356" s="4" t="s">
        <v>3459</v>
      </c>
      <c r="B3356" s="37">
        <v>28.0</v>
      </c>
      <c r="C3356" s="37">
        <v>4.554569</v>
      </c>
      <c r="D3356" s="37">
        <v>-23.445431</v>
      </c>
    </row>
    <row r="3357" ht="14.25" customHeight="1">
      <c r="A3357" s="4" t="s">
        <v>3887</v>
      </c>
      <c r="B3357" s="37">
        <v>25.0</v>
      </c>
      <c r="C3357" s="37">
        <v>1.55</v>
      </c>
      <c r="D3357" s="37">
        <v>-23.45</v>
      </c>
    </row>
    <row r="3358" ht="14.25" customHeight="1">
      <c r="A3358" s="4" t="s">
        <v>2155</v>
      </c>
      <c r="B3358" s="37">
        <v>50.0</v>
      </c>
      <c r="C3358" s="37">
        <v>26.53612</v>
      </c>
      <c r="D3358" s="37">
        <v>-23.46388</v>
      </c>
    </row>
    <row r="3359" ht="14.25" customHeight="1">
      <c r="A3359" s="4" t="s">
        <v>3913</v>
      </c>
      <c r="B3359" s="37">
        <v>25.0</v>
      </c>
      <c r="C3359" s="37">
        <v>1.512815</v>
      </c>
      <c r="D3359" s="37">
        <v>-23.487185</v>
      </c>
    </row>
    <row r="3360" ht="14.25" customHeight="1">
      <c r="A3360" s="4" t="s">
        <v>2169</v>
      </c>
      <c r="B3360" s="37">
        <v>50.0</v>
      </c>
      <c r="C3360" s="37">
        <v>26.442251</v>
      </c>
      <c r="D3360" s="37">
        <v>-23.557749</v>
      </c>
    </row>
    <row r="3361" ht="14.25" customHeight="1">
      <c r="A3361" s="4" t="s">
        <v>3026</v>
      </c>
      <c r="B3361" s="37">
        <v>35.0</v>
      </c>
      <c r="C3361" s="37">
        <v>11.405825</v>
      </c>
      <c r="D3361" s="37">
        <v>-23.594175</v>
      </c>
    </row>
    <row r="3362" ht="14.25" customHeight="1">
      <c r="A3362" s="4" t="s">
        <v>2871</v>
      </c>
      <c r="B3362" s="37">
        <v>36.0</v>
      </c>
      <c r="C3362" s="37">
        <v>12.339633</v>
      </c>
      <c r="D3362" s="37">
        <v>-23.660367</v>
      </c>
    </row>
    <row r="3363" ht="14.25" customHeight="1">
      <c r="A3363" s="4" t="s">
        <v>3379</v>
      </c>
      <c r="B3363" s="37">
        <v>40.0</v>
      </c>
      <c r="C3363" s="37">
        <v>16.323969</v>
      </c>
      <c r="D3363" s="37">
        <v>-23.676031</v>
      </c>
    </row>
    <row r="3364" ht="14.25" customHeight="1">
      <c r="A3364" s="4" t="s">
        <v>1731</v>
      </c>
      <c r="B3364" s="37">
        <v>60.0</v>
      </c>
      <c r="C3364" s="37">
        <v>36.27923</v>
      </c>
      <c r="D3364" s="37">
        <v>-23.72077</v>
      </c>
    </row>
    <row r="3365" ht="14.25" customHeight="1">
      <c r="A3365" s="4" t="s">
        <v>2156</v>
      </c>
      <c r="B3365" s="37">
        <v>50.0</v>
      </c>
      <c r="C3365" s="37">
        <v>26.199517</v>
      </c>
      <c r="D3365" s="37">
        <v>-23.800483</v>
      </c>
    </row>
    <row r="3366" ht="14.25" customHeight="1">
      <c r="A3366" s="4" t="s">
        <v>3893</v>
      </c>
      <c r="B3366" s="37">
        <v>25.0</v>
      </c>
      <c r="C3366" s="37">
        <v>1.186957</v>
      </c>
      <c r="D3366" s="37">
        <v>-23.813043</v>
      </c>
    </row>
    <row r="3367" ht="14.25" customHeight="1">
      <c r="A3367" s="4" t="s">
        <v>506</v>
      </c>
      <c r="B3367" s="37">
        <v>125.0</v>
      </c>
      <c r="C3367" s="37">
        <v>101.160529</v>
      </c>
      <c r="D3367" s="37">
        <v>-23.839471</v>
      </c>
    </row>
    <row r="3368" ht="14.25" customHeight="1">
      <c r="A3368" s="4" t="s">
        <v>3599</v>
      </c>
      <c r="B3368" s="37">
        <v>25.0</v>
      </c>
      <c r="C3368" s="37">
        <v>1.089365</v>
      </c>
      <c r="D3368" s="37">
        <v>-23.910635</v>
      </c>
    </row>
    <row r="3369" ht="14.25" customHeight="1">
      <c r="A3369" s="4" t="s">
        <v>1921</v>
      </c>
      <c r="B3369" s="37">
        <v>55.0</v>
      </c>
      <c r="C3369" s="37">
        <v>31.051126</v>
      </c>
      <c r="D3369" s="37">
        <v>-23.948874</v>
      </c>
    </row>
    <row r="3370" ht="14.25" customHeight="1">
      <c r="A3370" s="4" t="s">
        <v>3955</v>
      </c>
      <c r="B3370" s="37">
        <v>24.0</v>
      </c>
      <c r="C3370" s="37">
        <v>0.04288</v>
      </c>
      <c r="D3370" s="37">
        <v>-23.95712</v>
      </c>
    </row>
    <row r="3371" ht="14.25" customHeight="1">
      <c r="A3371" s="4" t="s">
        <v>2622</v>
      </c>
      <c r="B3371" s="37">
        <v>60.0</v>
      </c>
      <c r="C3371" s="37">
        <v>36.037909</v>
      </c>
      <c r="D3371" s="37">
        <v>-23.962091</v>
      </c>
    </row>
    <row r="3372" ht="14.25" customHeight="1">
      <c r="A3372" s="4" t="s">
        <v>3932</v>
      </c>
      <c r="B3372" s="37">
        <v>24.0</v>
      </c>
      <c r="C3372" s="37">
        <v>0.020218</v>
      </c>
      <c r="D3372" s="37">
        <v>-23.979782</v>
      </c>
    </row>
    <row r="3373" ht="14.25" customHeight="1">
      <c r="A3373" s="4" t="s">
        <v>1300</v>
      </c>
      <c r="B3373" s="37">
        <v>45.0</v>
      </c>
      <c r="C3373" s="37">
        <v>21.00918</v>
      </c>
      <c r="D3373" s="37">
        <v>-23.99082</v>
      </c>
    </row>
    <row r="3374" ht="14.25" customHeight="1">
      <c r="A3374" s="4" t="s">
        <v>3032</v>
      </c>
      <c r="B3374" s="37">
        <v>35.0</v>
      </c>
      <c r="C3374" s="37">
        <v>10.991381</v>
      </c>
      <c r="D3374" s="37">
        <v>-24.008619</v>
      </c>
    </row>
    <row r="3375" ht="14.25" customHeight="1">
      <c r="A3375" s="4" t="s">
        <v>2678</v>
      </c>
      <c r="B3375" s="37">
        <v>40.0</v>
      </c>
      <c r="C3375" s="37">
        <v>15.962471</v>
      </c>
      <c r="D3375" s="37">
        <v>-24.037529</v>
      </c>
    </row>
    <row r="3376" ht="14.25" customHeight="1">
      <c r="A3376" s="4" t="s">
        <v>3166</v>
      </c>
      <c r="B3376" s="37">
        <v>35.0</v>
      </c>
      <c r="C3376" s="37">
        <v>10.956379</v>
      </c>
      <c r="D3376" s="37">
        <v>-24.043621</v>
      </c>
    </row>
    <row r="3377" ht="14.25" customHeight="1">
      <c r="A3377" s="4" t="s">
        <v>2742</v>
      </c>
      <c r="B3377" s="37">
        <v>25.0</v>
      </c>
      <c r="C3377" s="37">
        <v>0.876671</v>
      </c>
      <c r="D3377" s="37">
        <v>-24.123329</v>
      </c>
    </row>
    <row r="3378" ht="14.25" customHeight="1">
      <c r="A3378" s="4" t="s">
        <v>3889</v>
      </c>
      <c r="B3378" s="37">
        <v>25.0</v>
      </c>
      <c r="C3378" s="37">
        <v>0.871527</v>
      </c>
      <c r="D3378" s="37">
        <v>-24.128473</v>
      </c>
    </row>
    <row r="3379" ht="14.25" customHeight="1">
      <c r="A3379" s="4" t="s">
        <v>3891</v>
      </c>
      <c r="B3379" s="37">
        <v>25.0</v>
      </c>
      <c r="C3379" s="37">
        <v>0.777423</v>
      </c>
      <c r="D3379" s="37">
        <v>-24.222577</v>
      </c>
    </row>
    <row r="3380" ht="14.25" customHeight="1">
      <c r="A3380" s="4" t="s">
        <v>3541</v>
      </c>
      <c r="B3380" s="37">
        <v>27.0</v>
      </c>
      <c r="C3380" s="37">
        <v>2.775593</v>
      </c>
      <c r="D3380" s="37">
        <v>-24.224407</v>
      </c>
    </row>
    <row r="3381" ht="14.25" customHeight="1">
      <c r="A3381" s="4" t="s">
        <v>3908</v>
      </c>
      <c r="B3381" s="37">
        <v>25.0</v>
      </c>
      <c r="C3381" s="37">
        <v>0.717753</v>
      </c>
      <c r="D3381" s="37">
        <v>-24.282247</v>
      </c>
    </row>
    <row r="3382" ht="14.25" customHeight="1">
      <c r="A3382" s="4" t="s">
        <v>774</v>
      </c>
      <c r="B3382" s="37">
        <v>80.0</v>
      </c>
      <c r="C3382" s="37">
        <v>55.673333</v>
      </c>
      <c r="D3382" s="37">
        <v>-24.326667</v>
      </c>
    </row>
    <row r="3383" ht="14.25" customHeight="1">
      <c r="A3383" s="4" t="s">
        <v>3039</v>
      </c>
      <c r="B3383" s="37">
        <v>35.0</v>
      </c>
      <c r="C3383" s="37">
        <v>10.499968</v>
      </c>
      <c r="D3383" s="37">
        <v>-24.500032</v>
      </c>
    </row>
    <row r="3384" ht="14.25" customHeight="1">
      <c r="A3384" s="4" t="s">
        <v>3039</v>
      </c>
      <c r="B3384" s="37">
        <v>35.0</v>
      </c>
      <c r="C3384" s="37">
        <v>10.499968</v>
      </c>
      <c r="D3384" s="37">
        <v>-24.500032</v>
      </c>
    </row>
    <row r="3385" ht="14.25" customHeight="1">
      <c r="A3385" s="4" t="s">
        <v>666</v>
      </c>
      <c r="B3385" s="37">
        <v>110.0</v>
      </c>
      <c r="C3385" s="37">
        <v>85.463309</v>
      </c>
      <c r="D3385" s="37">
        <v>-24.536691</v>
      </c>
    </row>
    <row r="3386" ht="14.25" customHeight="1">
      <c r="A3386" s="4" t="s">
        <v>2157</v>
      </c>
      <c r="B3386" s="37">
        <v>50.0</v>
      </c>
      <c r="C3386" s="37">
        <v>25.450527</v>
      </c>
      <c r="D3386" s="37">
        <v>-24.549473</v>
      </c>
    </row>
    <row r="3387" ht="14.25" customHeight="1">
      <c r="A3387" s="4" t="s">
        <v>2159</v>
      </c>
      <c r="B3387" s="37">
        <v>50.0</v>
      </c>
      <c r="C3387" s="37">
        <v>25.40725</v>
      </c>
      <c r="D3387" s="37">
        <v>-24.59275</v>
      </c>
    </row>
    <row r="3388" ht="14.25" customHeight="1">
      <c r="A3388" s="4" t="s">
        <v>2352</v>
      </c>
      <c r="B3388" s="37">
        <v>45.0</v>
      </c>
      <c r="C3388" s="37">
        <v>20.400913</v>
      </c>
      <c r="D3388" s="37">
        <v>-24.599087</v>
      </c>
    </row>
    <row r="3389" ht="14.25" customHeight="1">
      <c r="A3389" s="4" t="s">
        <v>867</v>
      </c>
      <c r="B3389" s="37">
        <v>92.0</v>
      </c>
      <c r="C3389" s="37">
        <v>67.344392</v>
      </c>
      <c r="D3389" s="37">
        <v>-24.655608</v>
      </c>
    </row>
    <row r="3390" ht="14.25" customHeight="1">
      <c r="A3390" s="4" t="s">
        <v>4358</v>
      </c>
      <c r="B3390" s="37">
        <v>33.0</v>
      </c>
      <c r="C3390" s="37">
        <v>8.326035</v>
      </c>
      <c r="D3390" s="37">
        <v>-24.673965</v>
      </c>
    </row>
    <row r="3391" ht="14.25" customHeight="1">
      <c r="A3391" s="4" t="s">
        <v>2676</v>
      </c>
      <c r="B3391" s="37">
        <v>45.0</v>
      </c>
      <c r="C3391" s="37">
        <v>20.302961</v>
      </c>
      <c r="D3391" s="37">
        <v>-24.697039</v>
      </c>
    </row>
    <row r="3392" ht="14.25" customHeight="1">
      <c r="A3392" s="4" t="s">
        <v>3422</v>
      </c>
      <c r="B3392" s="37">
        <v>30.0</v>
      </c>
      <c r="C3392" s="37">
        <v>5.3</v>
      </c>
      <c r="D3392" s="37">
        <v>-24.7</v>
      </c>
    </row>
    <row r="3393" ht="14.25" customHeight="1">
      <c r="A3393" s="4" t="s">
        <v>2377</v>
      </c>
      <c r="B3393" s="37">
        <v>40.0</v>
      </c>
      <c r="C3393" s="37">
        <v>15.27968</v>
      </c>
      <c r="D3393" s="37">
        <v>-24.72032</v>
      </c>
    </row>
    <row r="3394" ht="14.25" customHeight="1">
      <c r="A3394" s="4" t="s">
        <v>3033</v>
      </c>
      <c r="B3394" s="37">
        <v>35.0</v>
      </c>
      <c r="C3394" s="37">
        <v>10.268846</v>
      </c>
      <c r="D3394" s="37">
        <v>-24.731154</v>
      </c>
    </row>
    <row r="3395" ht="14.25" customHeight="1">
      <c r="A3395" s="4" t="s">
        <v>3673</v>
      </c>
      <c r="B3395" s="37">
        <v>28.0</v>
      </c>
      <c r="C3395" s="37">
        <v>3.254172</v>
      </c>
      <c r="D3395" s="37">
        <v>-24.745828</v>
      </c>
    </row>
    <row r="3396" ht="14.25" customHeight="1">
      <c r="A3396" s="4" t="s">
        <v>1821</v>
      </c>
      <c r="B3396" s="37">
        <v>60.0</v>
      </c>
      <c r="C3396" s="37">
        <v>35.231365</v>
      </c>
      <c r="D3396" s="37">
        <v>-24.768635</v>
      </c>
    </row>
    <row r="3397" ht="14.25" customHeight="1">
      <c r="A3397" s="4" t="s">
        <v>3064</v>
      </c>
      <c r="B3397" s="37">
        <v>35.0</v>
      </c>
      <c r="C3397" s="37">
        <v>10.214013</v>
      </c>
      <c r="D3397" s="37">
        <v>-24.785987</v>
      </c>
    </row>
    <row r="3398" ht="14.25" customHeight="1">
      <c r="A3398" s="4" t="s">
        <v>3900</v>
      </c>
      <c r="B3398" s="37">
        <v>25.0</v>
      </c>
      <c r="C3398" s="37">
        <v>0.183662</v>
      </c>
      <c r="D3398" s="37">
        <v>-24.816338</v>
      </c>
    </row>
    <row r="3399" ht="14.25" customHeight="1">
      <c r="A3399" s="4" t="s">
        <v>233</v>
      </c>
      <c r="B3399" s="37">
        <v>175.0</v>
      </c>
      <c r="C3399" s="37">
        <v>150.16763</v>
      </c>
      <c r="D3399" s="37">
        <v>-24.83237</v>
      </c>
    </row>
    <row r="3400" ht="14.25" customHeight="1">
      <c r="A3400" s="4" t="s">
        <v>3067</v>
      </c>
      <c r="B3400" s="37">
        <v>35.0</v>
      </c>
      <c r="C3400" s="37">
        <v>10.139254</v>
      </c>
      <c r="D3400" s="37">
        <v>-24.860746</v>
      </c>
    </row>
    <row r="3401" ht="14.25" customHeight="1">
      <c r="A3401" s="4" t="s">
        <v>3048</v>
      </c>
      <c r="B3401" s="37">
        <v>35.0</v>
      </c>
      <c r="C3401" s="37">
        <v>10.137502</v>
      </c>
      <c r="D3401" s="37">
        <v>-24.862498</v>
      </c>
    </row>
    <row r="3402" ht="14.25" customHeight="1">
      <c r="A3402" s="4" t="s">
        <v>3902</v>
      </c>
      <c r="B3402" s="37">
        <v>25.0</v>
      </c>
      <c r="C3402" s="37">
        <v>0.134904</v>
      </c>
      <c r="D3402" s="37">
        <v>-24.865096</v>
      </c>
    </row>
    <row r="3403" ht="14.25" customHeight="1">
      <c r="A3403" s="4" t="s">
        <v>3906</v>
      </c>
      <c r="B3403" s="37">
        <v>25.0</v>
      </c>
      <c r="C3403" s="37">
        <v>0.129115</v>
      </c>
      <c r="D3403" s="37">
        <v>-24.870885</v>
      </c>
    </row>
    <row r="3404" ht="14.25" customHeight="1">
      <c r="A3404" s="4" t="s">
        <v>1442</v>
      </c>
      <c r="B3404" s="37">
        <v>50.0</v>
      </c>
      <c r="C3404" s="37">
        <v>25.121291</v>
      </c>
      <c r="D3404" s="37">
        <v>-24.878709</v>
      </c>
    </row>
    <row r="3405" ht="14.25" customHeight="1">
      <c r="A3405" s="4" t="s">
        <v>2354</v>
      </c>
      <c r="B3405" s="37">
        <v>45.0</v>
      </c>
      <c r="C3405" s="37">
        <v>20.101861</v>
      </c>
      <c r="D3405" s="37">
        <v>-24.898139</v>
      </c>
    </row>
    <row r="3406" ht="14.25" customHeight="1">
      <c r="A3406" s="4" t="s">
        <v>1739</v>
      </c>
      <c r="B3406" s="37">
        <v>60.0</v>
      </c>
      <c r="C3406" s="37">
        <v>35.09619</v>
      </c>
      <c r="D3406" s="37">
        <v>-24.90381</v>
      </c>
    </row>
    <row r="3407" ht="14.25" customHeight="1">
      <c r="A3407" s="4" t="s">
        <v>2748</v>
      </c>
      <c r="B3407" s="37">
        <v>25.0</v>
      </c>
      <c r="C3407" s="37">
        <v>0.077231</v>
      </c>
      <c r="D3407" s="37">
        <v>-24.922769</v>
      </c>
    </row>
    <row r="3408" ht="14.25" customHeight="1">
      <c r="A3408" s="4" t="s">
        <v>3037</v>
      </c>
      <c r="B3408" s="37">
        <v>35.0</v>
      </c>
      <c r="C3408" s="37">
        <v>10.076136</v>
      </c>
      <c r="D3408" s="37">
        <v>-24.923864</v>
      </c>
    </row>
    <row r="3409" ht="14.25" customHeight="1">
      <c r="A3409" s="4" t="s">
        <v>3873</v>
      </c>
      <c r="B3409" s="37">
        <v>25.0</v>
      </c>
      <c r="C3409" s="37">
        <v>0.056692</v>
      </c>
      <c r="D3409" s="37">
        <v>-24.943308</v>
      </c>
    </row>
    <row r="3410" ht="14.25" customHeight="1">
      <c r="A3410" s="4" t="s">
        <v>748</v>
      </c>
      <c r="B3410" s="37">
        <v>100.0</v>
      </c>
      <c r="C3410" s="37">
        <v>75.030163</v>
      </c>
      <c r="D3410" s="37">
        <v>-24.969837</v>
      </c>
    </row>
    <row r="3411" ht="14.25" customHeight="1">
      <c r="A3411" s="4" t="s">
        <v>5068</v>
      </c>
      <c r="B3411" s="37">
        <v>25.0</v>
      </c>
      <c r="C3411" s="37">
        <v>0.022723</v>
      </c>
      <c r="D3411" s="37">
        <v>-24.977277</v>
      </c>
    </row>
    <row r="3412" ht="14.25" customHeight="1">
      <c r="A3412" s="4" t="s">
        <v>7557</v>
      </c>
      <c r="B3412" s="37">
        <v>25.0</v>
      </c>
      <c r="C3412" s="37">
        <v>0.00991</v>
      </c>
      <c r="D3412" s="37">
        <v>-24.99009</v>
      </c>
    </row>
    <row r="3413" ht="14.25" customHeight="1">
      <c r="A3413" s="4" t="s">
        <v>3973</v>
      </c>
      <c r="B3413" s="37">
        <v>25.0</v>
      </c>
      <c r="C3413" s="37">
        <v>0.004756</v>
      </c>
      <c r="D3413" s="37">
        <v>-24.995244</v>
      </c>
    </row>
    <row r="3414" ht="14.25" customHeight="1">
      <c r="A3414" s="4" t="s">
        <v>2681</v>
      </c>
      <c r="B3414" s="37">
        <v>40.0</v>
      </c>
      <c r="C3414" s="37">
        <v>14.967182</v>
      </c>
      <c r="D3414" s="37">
        <v>-25.032818</v>
      </c>
    </row>
    <row r="3415" ht="14.25" customHeight="1">
      <c r="A3415" s="4" t="s">
        <v>2679</v>
      </c>
      <c r="B3415" s="37">
        <v>40.0</v>
      </c>
      <c r="C3415" s="37">
        <v>14.942422</v>
      </c>
      <c r="D3415" s="37">
        <v>-25.057578</v>
      </c>
    </row>
    <row r="3416" ht="14.25" customHeight="1">
      <c r="A3416" s="4" t="s">
        <v>2361</v>
      </c>
      <c r="B3416" s="37">
        <v>45.0</v>
      </c>
      <c r="C3416" s="37">
        <v>19.71993</v>
      </c>
      <c r="D3416" s="37">
        <v>-25.28007</v>
      </c>
    </row>
    <row r="3417" ht="14.25" customHeight="1">
      <c r="A3417" s="4" t="s">
        <v>946</v>
      </c>
      <c r="B3417" s="37">
        <v>90.0</v>
      </c>
      <c r="C3417" s="37">
        <v>64.685359</v>
      </c>
      <c r="D3417" s="37">
        <v>-25.314641</v>
      </c>
    </row>
    <row r="3418" ht="14.25" customHeight="1">
      <c r="A3418" s="4" t="s">
        <v>3760</v>
      </c>
      <c r="B3418" s="37">
        <v>25.5</v>
      </c>
      <c r="C3418" s="37">
        <v>0.041229</v>
      </c>
      <c r="D3418" s="37">
        <v>-25.458771</v>
      </c>
    </row>
    <row r="3419" ht="14.25" customHeight="1">
      <c r="A3419" s="4" t="s">
        <v>3577</v>
      </c>
      <c r="B3419" s="37">
        <v>30.0</v>
      </c>
      <c r="C3419" s="37">
        <v>4.463292</v>
      </c>
      <c r="D3419" s="37">
        <v>-25.536708</v>
      </c>
    </row>
    <row r="3420" ht="14.25" customHeight="1">
      <c r="A3420" s="4" t="s">
        <v>2690</v>
      </c>
      <c r="B3420" s="37">
        <v>40.0</v>
      </c>
      <c r="C3420" s="37">
        <v>14.448589</v>
      </c>
      <c r="D3420" s="37">
        <v>-25.551411</v>
      </c>
    </row>
    <row r="3421" ht="14.25" customHeight="1">
      <c r="A3421" s="4" t="s">
        <v>2364</v>
      </c>
      <c r="B3421" s="37">
        <v>45.0</v>
      </c>
      <c r="C3421" s="37">
        <v>19.377727</v>
      </c>
      <c r="D3421" s="37">
        <v>-25.622273</v>
      </c>
    </row>
    <row r="3422" ht="14.25" customHeight="1">
      <c r="A3422" s="4" t="s">
        <v>2693</v>
      </c>
      <c r="B3422" s="37">
        <v>40.0</v>
      </c>
      <c r="C3422" s="37">
        <v>14.358033</v>
      </c>
      <c r="D3422" s="37">
        <v>-25.641967</v>
      </c>
    </row>
    <row r="3423" ht="14.25" customHeight="1">
      <c r="A3423" s="4" t="s">
        <v>3167</v>
      </c>
      <c r="B3423" s="37">
        <v>30.0</v>
      </c>
      <c r="C3423" s="37">
        <v>4.357</v>
      </c>
      <c r="D3423" s="37">
        <v>-25.643</v>
      </c>
    </row>
    <row r="3424" ht="14.25" customHeight="1">
      <c r="A3424" s="4" t="s">
        <v>2465</v>
      </c>
      <c r="B3424" s="37">
        <v>27.0</v>
      </c>
      <c r="C3424" s="37">
        <v>1.260917</v>
      </c>
      <c r="D3424" s="37">
        <v>-25.739083</v>
      </c>
    </row>
    <row r="3425" ht="14.25" customHeight="1">
      <c r="A3425" s="4" t="s">
        <v>3636</v>
      </c>
      <c r="B3425" s="37">
        <v>42.0</v>
      </c>
      <c r="C3425" s="37">
        <v>16.252765</v>
      </c>
      <c r="D3425" s="37">
        <v>-25.747235</v>
      </c>
    </row>
    <row r="3426" ht="14.25" customHeight="1">
      <c r="A3426" s="4" t="s">
        <v>2453</v>
      </c>
      <c r="B3426" s="37">
        <v>50.0</v>
      </c>
      <c r="C3426" s="37">
        <v>24.127895</v>
      </c>
      <c r="D3426" s="37">
        <v>-25.872105</v>
      </c>
    </row>
    <row r="3427" ht="14.25" customHeight="1">
      <c r="A3427" s="4" t="s">
        <v>414</v>
      </c>
      <c r="B3427" s="37">
        <v>144.0</v>
      </c>
      <c r="C3427" s="37">
        <v>118.099659</v>
      </c>
      <c r="D3427" s="37">
        <v>-25.900341</v>
      </c>
    </row>
    <row r="3428" ht="14.25" customHeight="1">
      <c r="A3428" s="4" t="s">
        <v>414</v>
      </c>
      <c r="B3428" s="37">
        <v>144.0</v>
      </c>
      <c r="C3428" s="37">
        <v>118.099659</v>
      </c>
      <c r="D3428" s="37">
        <v>-25.900341</v>
      </c>
    </row>
    <row r="3429" ht="14.25" customHeight="1">
      <c r="A3429" s="4" t="s">
        <v>1539</v>
      </c>
      <c r="B3429" s="37">
        <v>63.0</v>
      </c>
      <c r="C3429" s="37">
        <v>37.023395</v>
      </c>
      <c r="D3429" s="37">
        <v>-25.976605</v>
      </c>
    </row>
    <row r="3430" ht="14.25" customHeight="1">
      <c r="A3430" s="4" t="s">
        <v>2163</v>
      </c>
      <c r="B3430" s="37">
        <v>50.0</v>
      </c>
      <c r="C3430" s="37">
        <v>24.006726</v>
      </c>
      <c r="D3430" s="37">
        <v>-25.993274</v>
      </c>
    </row>
    <row r="3431" ht="14.25" customHeight="1">
      <c r="A3431" s="4" t="s">
        <v>2683</v>
      </c>
      <c r="B3431" s="37">
        <v>45.0</v>
      </c>
      <c r="C3431" s="37">
        <v>18.996755</v>
      </c>
      <c r="D3431" s="37">
        <v>-26.003245</v>
      </c>
    </row>
    <row r="3432" ht="14.25" customHeight="1">
      <c r="A3432" s="4" t="s">
        <v>1530</v>
      </c>
      <c r="B3432" s="37">
        <v>65.0</v>
      </c>
      <c r="C3432" s="37">
        <v>38.966057</v>
      </c>
      <c r="D3432" s="37">
        <v>-26.033943</v>
      </c>
    </row>
    <row r="3433" ht="14.25" customHeight="1">
      <c r="A3433" s="4" t="s">
        <v>3439</v>
      </c>
      <c r="B3433" s="37">
        <v>30.0</v>
      </c>
      <c r="C3433" s="37">
        <v>3.904982</v>
      </c>
      <c r="D3433" s="37">
        <v>-26.095018</v>
      </c>
    </row>
    <row r="3434" ht="14.25" customHeight="1">
      <c r="A3434" s="4" t="s">
        <v>2709</v>
      </c>
      <c r="B3434" s="37">
        <v>40.0</v>
      </c>
      <c r="C3434" s="37">
        <v>13.83813</v>
      </c>
      <c r="D3434" s="37">
        <v>-26.16187</v>
      </c>
    </row>
    <row r="3435" ht="14.25" customHeight="1">
      <c r="A3435" s="4" t="s">
        <v>1587</v>
      </c>
      <c r="B3435" s="37">
        <v>42.0</v>
      </c>
      <c r="C3435" s="37">
        <v>15.738632</v>
      </c>
      <c r="D3435" s="37">
        <v>-26.261368</v>
      </c>
    </row>
    <row r="3436" ht="14.25" customHeight="1">
      <c r="A3436" s="4" t="s">
        <v>967</v>
      </c>
      <c r="B3436" s="37">
        <v>88.0</v>
      </c>
      <c r="C3436" s="37">
        <v>61.644321</v>
      </c>
      <c r="D3436" s="37">
        <v>-26.355679</v>
      </c>
    </row>
    <row r="3437" ht="14.25" customHeight="1">
      <c r="A3437" s="4" t="s">
        <v>1264</v>
      </c>
      <c r="B3437" s="37">
        <v>70.0</v>
      </c>
      <c r="C3437" s="37">
        <v>43.426961</v>
      </c>
      <c r="D3437" s="37">
        <v>-26.573039</v>
      </c>
    </row>
    <row r="3438" ht="14.25" customHeight="1">
      <c r="A3438" s="4" t="s">
        <v>2705</v>
      </c>
      <c r="B3438" s="37">
        <v>40.0</v>
      </c>
      <c r="C3438" s="37">
        <v>13.376506</v>
      </c>
      <c r="D3438" s="37">
        <v>-26.623494</v>
      </c>
    </row>
    <row r="3439" ht="14.25" customHeight="1">
      <c r="A3439" s="4" t="s">
        <v>3087</v>
      </c>
      <c r="B3439" s="37">
        <v>35.0</v>
      </c>
      <c r="C3439" s="37">
        <v>8.324748</v>
      </c>
      <c r="D3439" s="37">
        <v>-26.675252</v>
      </c>
    </row>
    <row r="3440" ht="14.25" customHeight="1">
      <c r="A3440" s="4" t="s">
        <v>1827</v>
      </c>
      <c r="B3440" s="37">
        <v>58.0</v>
      </c>
      <c r="C3440" s="37">
        <v>31.199215</v>
      </c>
      <c r="D3440" s="37">
        <v>-26.800785</v>
      </c>
    </row>
    <row r="3441" ht="14.25" customHeight="1">
      <c r="A3441" s="4" t="s">
        <v>3430</v>
      </c>
      <c r="B3441" s="37">
        <v>30.0</v>
      </c>
      <c r="C3441" s="37">
        <v>2.975649</v>
      </c>
      <c r="D3441" s="37">
        <v>-27.024351</v>
      </c>
    </row>
    <row r="3442" ht="14.25" customHeight="1">
      <c r="A3442" s="4" t="s">
        <v>3043</v>
      </c>
      <c r="B3442" s="37">
        <v>35.0</v>
      </c>
      <c r="C3442" s="37">
        <v>7.948159</v>
      </c>
      <c r="D3442" s="37">
        <v>-27.051841</v>
      </c>
    </row>
    <row r="3443" ht="14.25" customHeight="1">
      <c r="A3443" s="4" t="s">
        <v>1748</v>
      </c>
      <c r="B3443" s="37">
        <v>60.0</v>
      </c>
      <c r="C3443" s="37">
        <v>32.940507</v>
      </c>
      <c r="D3443" s="37">
        <v>-27.059493</v>
      </c>
    </row>
    <row r="3444" ht="14.25" customHeight="1">
      <c r="A3444" s="4" t="s">
        <v>1748</v>
      </c>
      <c r="B3444" s="37">
        <v>60.0</v>
      </c>
      <c r="C3444" s="37">
        <v>32.940507</v>
      </c>
      <c r="D3444" s="37">
        <v>-27.059493</v>
      </c>
    </row>
    <row r="3445" ht="14.25" customHeight="1">
      <c r="A3445" s="4" t="s">
        <v>2744</v>
      </c>
      <c r="B3445" s="37">
        <v>30.0</v>
      </c>
      <c r="C3445" s="37">
        <v>2.869369</v>
      </c>
      <c r="D3445" s="37">
        <v>-27.130631</v>
      </c>
    </row>
    <row r="3446" ht="14.25" customHeight="1">
      <c r="A3446" s="4" t="s">
        <v>1703</v>
      </c>
      <c r="B3446" s="37">
        <v>75.0</v>
      </c>
      <c r="C3446" s="37">
        <v>47.74861</v>
      </c>
      <c r="D3446" s="37">
        <v>-27.25139</v>
      </c>
    </row>
    <row r="3447" ht="14.25" customHeight="1">
      <c r="A3447" s="4" t="s">
        <v>3953</v>
      </c>
      <c r="B3447" s="37">
        <v>28.0</v>
      </c>
      <c r="C3447" s="37">
        <v>0.669276</v>
      </c>
      <c r="D3447" s="37">
        <v>-27.330724</v>
      </c>
    </row>
    <row r="3448" ht="14.25" customHeight="1">
      <c r="A3448" s="4" t="s">
        <v>779</v>
      </c>
      <c r="B3448" s="37">
        <v>100.0</v>
      </c>
      <c r="C3448" s="37">
        <v>72.660029</v>
      </c>
      <c r="D3448" s="37">
        <v>-27.339971</v>
      </c>
    </row>
    <row r="3449" ht="14.25" customHeight="1">
      <c r="A3449" s="4" t="s">
        <v>3084</v>
      </c>
      <c r="B3449" s="37">
        <v>34.0</v>
      </c>
      <c r="C3449" s="37">
        <v>6.543194</v>
      </c>
      <c r="D3449" s="37">
        <v>-27.456806</v>
      </c>
    </row>
    <row r="3450" ht="14.25" customHeight="1">
      <c r="A3450" s="4" t="s">
        <v>1754</v>
      </c>
      <c r="B3450" s="37">
        <v>60.0</v>
      </c>
      <c r="C3450" s="37">
        <v>32.522352</v>
      </c>
      <c r="D3450" s="37">
        <v>-27.477648</v>
      </c>
    </row>
    <row r="3451" ht="14.25" customHeight="1">
      <c r="A3451" s="4" t="s">
        <v>1769</v>
      </c>
      <c r="B3451" s="37">
        <v>50.0</v>
      </c>
      <c r="C3451" s="37">
        <v>22.518325</v>
      </c>
      <c r="D3451" s="37">
        <v>-27.481675</v>
      </c>
    </row>
    <row r="3452" ht="14.25" customHeight="1">
      <c r="A3452" s="4" t="s">
        <v>3053</v>
      </c>
      <c r="B3452" s="37">
        <v>35.0</v>
      </c>
      <c r="C3452" s="37">
        <v>7.458269</v>
      </c>
      <c r="D3452" s="37">
        <v>-27.541731</v>
      </c>
    </row>
    <row r="3453" ht="14.25" customHeight="1">
      <c r="A3453" s="4" t="s">
        <v>2366</v>
      </c>
      <c r="B3453" s="37">
        <v>45.0</v>
      </c>
      <c r="C3453" s="37">
        <v>17.300889</v>
      </c>
      <c r="D3453" s="37">
        <v>-27.699111</v>
      </c>
    </row>
    <row r="3454" ht="14.25" customHeight="1">
      <c r="A3454" s="4" t="s">
        <v>2806</v>
      </c>
      <c r="B3454" s="37">
        <v>38.0</v>
      </c>
      <c r="C3454" s="37">
        <v>10.3</v>
      </c>
      <c r="D3454" s="37">
        <v>-27.7</v>
      </c>
    </row>
    <row r="3455" ht="14.25" customHeight="1">
      <c r="A3455" s="4" t="s">
        <v>1368</v>
      </c>
      <c r="B3455" s="37">
        <v>70.0</v>
      </c>
      <c r="C3455" s="37">
        <v>42.272747</v>
      </c>
      <c r="D3455" s="37">
        <v>-27.727253</v>
      </c>
    </row>
    <row r="3456" ht="14.25" customHeight="1">
      <c r="A3456" s="4" t="s">
        <v>1733</v>
      </c>
      <c r="B3456" s="37">
        <v>70.0</v>
      </c>
      <c r="C3456" s="37">
        <v>42.19406</v>
      </c>
      <c r="D3456" s="37">
        <v>-27.80594</v>
      </c>
    </row>
    <row r="3457" ht="14.25" customHeight="1">
      <c r="A3457" s="4" t="s">
        <v>4321</v>
      </c>
      <c r="B3457" s="37">
        <v>40.0</v>
      </c>
      <c r="C3457" s="37">
        <v>12.181484</v>
      </c>
      <c r="D3457" s="37">
        <v>-27.818516</v>
      </c>
    </row>
    <row r="3458" ht="14.25" customHeight="1">
      <c r="A3458" s="4" t="s">
        <v>1745</v>
      </c>
      <c r="B3458" s="37">
        <v>60.0</v>
      </c>
      <c r="C3458" s="37">
        <v>32.122249</v>
      </c>
      <c r="D3458" s="37">
        <v>-27.877751</v>
      </c>
    </row>
    <row r="3459" ht="14.25" customHeight="1">
      <c r="A3459" s="4" t="s">
        <v>1982</v>
      </c>
      <c r="B3459" s="37">
        <v>53.0</v>
      </c>
      <c r="C3459" s="37">
        <v>25.031037</v>
      </c>
      <c r="D3459" s="37">
        <v>-27.968963</v>
      </c>
    </row>
    <row r="3460" ht="14.25" customHeight="1">
      <c r="A3460" s="4" t="s">
        <v>1016</v>
      </c>
      <c r="B3460" s="37">
        <v>85.0</v>
      </c>
      <c r="C3460" s="37">
        <v>57.010853</v>
      </c>
      <c r="D3460" s="37">
        <v>-27.989147</v>
      </c>
    </row>
    <row r="3461" ht="14.25" customHeight="1">
      <c r="A3461" s="4" t="s">
        <v>1268</v>
      </c>
      <c r="B3461" s="37">
        <v>75.0</v>
      </c>
      <c r="C3461" s="37">
        <v>47.000485</v>
      </c>
      <c r="D3461" s="37">
        <v>-27.999515</v>
      </c>
    </row>
    <row r="3462" ht="14.25" customHeight="1">
      <c r="A3462" s="4" t="s">
        <v>3837</v>
      </c>
      <c r="B3462" s="37">
        <v>30.0</v>
      </c>
      <c r="C3462" s="37">
        <v>1.865774</v>
      </c>
      <c r="D3462" s="37">
        <v>-28.134226</v>
      </c>
    </row>
    <row r="3463" ht="14.25" customHeight="1">
      <c r="A3463" s="4" t="s">
        <v>4112</v>
      </c>
      <c r="B3463" s="37">
        <v>31.0</v>
      </c>
      <c r="C3463" s="37">
        <v>2.840417</v>
      </c>
      <c r="D3463" s="37">
        <v>-28.159583</v>
      </c>
    </row>
    <row r="3464" ht="14.25" customHeight="1">
      <c r="A3464" s="4" t="s">
        <v>1729</v>
      </c>
      <c r="B3464" s="37">
        <v>65.0</v>
      </c>
      <c r="C3464" s="37">
        <v>36.830057</v>
      </c>
      <c r="D3464" s="37">
        <v>-28.169943</v>
      </c>
    </row>
    <row r="3465" ht="14.25" customHeight="1">
      <c r="A3465" s="4" t="s">
        <v>1750</v>
      </c>
      <c r="B3465" s="37">
        <v>60.0</v>
      </c>
      <c r="C3465" s="37">
        <v>31.670931</v>
      </c>
      <c r="D3465" s="37">
        <v>-28.329069</v>
      </c>
    </row>
    <row r="3466" ht="14.25" customHeight="1">
      <c r="A3466" s="4" t="s">
        <v>2178</v>
      </c>
      <c r="B3466" s="37">
        <v>49.9</v>
      </c>
      <c r="C3466" s="37">
        <v>21.55724</v>
      </c>
      <c r="D3466" s="37">
        <v>-28.34276</v>
      </c>
    </row>
    <row r="3467" ht="14.25" customHeight="1">
      <c r="A3467" s="4" t="s">
        <v>3058</v>
      </c>
      <c r="B3467" s="37">
        <v>35.0</v>
      </c>
      <c r="C3467" s="37">
        <v>6.592103</v>
      </c>
      <c r="D3467" s="37">
        <v>-28.407897</v>
      </c>
    </row>
    <row r="3468" ht="14.25" customHeight="1">
      <c r="A3468" s="4" t="s">
        <v>1828</v>
      </c>
      <c r="B3468" s="37">
        <v>58.0</v>
      </c>
      <c r="C3468" s="37">
        <v>29.580087</v>
      </c>
      <c r="D3468" s="37">
        <v>-28.419913</v>
      </c>
    </row>
    <row r="3469" ht="14.25" customHeight="1">
      <c r="A3469" s="4" t="s">
        <v>3172</v>
      </c>
      <c r="B3469" s="37">
        <v>32.0</v>
      </c>
      <c r="C3469" s="37">
        <v>3.562749</v>
      </c>
      <c r="D3469" s="37">
        <v>-28.437251</v>
      </c>
    </row>
    <row r="3470" ht="14.25" customHeight="1">
      <c r="A3470" s="4" t="s">
        <v>1033</v>
      </c>
      <c r="B3470" s="37">
        <v>60.0</v>
      </c>
      <c r="C3470" s="37">
        <v>31.49427</v>
      </c>
      <c r="D3470" s="37">
        <v>-28.50573</v>
      </c>
    </row>
    <row r="3471" ht="14.25" customHeight="1">
      <c r="A3471" s="4" t="s">
        <v>3051</v>
      </c>
      <c r="B3471" s="37">
        <v>35.0</v>
      </c>
      <c r="C3471" s="37">
        <v>6.448817</v>
      </c>
      <c r="D3471" s="37">
        <v>-28.551183</v>
      </c>
    </row>
    <row r="3472" ht="14.25" customHeight="1">
      <c r="A3472" s="4" t="s">
        <v>2009</v>
      </c>
      <c r="B3472" s="37">
        <v>52.0</v>
      </c>
      <c r="C3472" s="37">
        <v>23.324666</v>
      </c>
      <c r="D3472" s="37">
        <v>-28.675334</v>
      </c>
    </row>
    <row r="3473" ht="14.25" customHeight="1">
      <c r="A3473" s="4" t="s">
        <v>2708</v>
      </c>
      <c r="B3473" s="37">
        <v>42.0</v>
      </c>
      <c r="C3473" s="37">
        <v>13.208023</v>
      </c>
      <c r="D3473" s="37">
        <v>-28.791977</v>
      </c>
    </row>
    <row r="3474" ht="14.25" customHeight="1">
      <c r="A3474" s="4" t="s">
        <v>1785</v>
      </c>
      <c r="B3474" s="37">
        <v>60.0</v>
      </c>
      <c r="C3474" s="37">
        <v>31.165421</v>
      </c>
      <c r="D3474" s="37">
        <v>-28.834579</v>
      </c>
    </row>
    <row r="3475" ht="14.25" customHeight="1">
      <c r="A3475" s="4" t="s">
        <v>1035</v>
      </c>
      <c r="B3475" s="37">
        <v>60.0</v>
      </c>
      <c r="C3475" s="37">
        <v>31.11126</v>
      </c>
      <c r="D3475" s="37">
        <v>-28.88874</v>
      </c>
    </row>
    <row r="3476" ht="14.25" customHeight="1">
      <c r="A3476" s="4" t="s">
        <v>432</v>
      </c>
      <c r="B3476" s="37">
        <v>140.0</v>
      </c>
      <c r="C3476" s="37">
        <v>111.110575</v>
      </c>
      <c r="D3476" s="37">
        <v>-28.889425</v>
      </c>
    </row>
    <row r="3477" ht="14.25" customHeight="1">
      <c r="A3477" s="4" t="s">
        <v>3229</v>
      </c>
      <c r="B3477" s="37">
        <v>29.0</v>
      </c>
      <c r="C3477" s="37">
        <v>0.064286</v>
      </c>
      <c r="D3477" s="37">
        <v>-28.935714</v>
      </c>
    </row>
    <row r="3478" ht="14.25" customHeight="1">
      <c r="A3478" s="4" t="s">
        <v>2012</v>
      </c>
      <c r="B3478" s="37">
        <v>52.0</v>
      </c>
      <c r="C3478" s="37">
        <v>23.020488</v>
      </c>
      <c r="D3478" s="37">
        <v>-28.979512</v>
      </c>
    </row>
    <row r="3479" ht="14.25" customHeight="1">
      <c r="A3479" s="4" t="s">
        <v>2714</v>
      </c>
      <c r="B3479" s="37">
        <v>36.0</v>
      </c>
      <c r="C3479" s="37">
        <v>7.0</v>
      </c>
      <c r="D3479" s="37">
        <v>-29.0</v>
      </c>
    </row>
    <row r="3480" ht="14.25" customHeight="1">
      <c r="A3480" s="4" t="s">
        <v>1397</v>
      </c>
      <c r="B3480" s="37">
        <v>70.0</v>
      </c>
      <c r="C3480" s="37">
        <v>40.932372</v>
      </c>
      <c r="D3480" s="37">
        <v>-29.067628</v>
      </c>
    </row>
    <row r="3481" ht="14.25" customHeight="1">
      <c r="A3481" s="4" t="s">
        <v>1476</v>
      </c>
      <c r="B3481" s="37">
        <v>35.0</v>
      </c>
      <c r="C3481" s="37">
        <v>5.93206</v>
      </c>
      <c r="D3481" s="37">
        <v>-29.06794</v>
      </c>
    </row>
    <row r="3482" ht="14.25" customHeight="1">
      <c r="A3482" s="4" t="s">
        <v>3174</v>
      </c>
      <c r="B3482" s="37">
        <v>32.0</v>
      </c>
      <c r="C3482" s="37">
        <v>2.89997</v>
      </c>
      <c r="D3482" s="37">
        <v>-29.10003</v>
      </c>
    </row>
    <row r="3483" ht="14.25" customHeight="1">
      <c r="A3483" s="4" t="s">
        <v>6374</v>
      </c>
      <c r="B3483" s="37">
        <v>30.3</v>
      </c>
      <c r="C3483" s="37">
        <v>1.196752</v>
      </c>
      <c r="D3483" s="37">
        <v>-29.103248</v>
      </c>
    </row>
    <row r="3484" ht="14.25" customHeight="1">
      <c r="A3484" s="4" t="s">
        <v>952</v>
      </c>
      <c r="B3484" s="37">
        <v>90.0</v>
      </c>
      <c r="C3484" s="37">
        <v>60.874615</v>
      </c>
      <c r="D3484" s="37">
        <v>-29.125385</v>
      </c>
    </row>
    <row r="3485" ht="14.25" customHeight="1">
      <c r="A3485" s="4" t="s">
        <v>1752</v>
      </c>
      <c r="B3485" s="37">
        <v>60.0</v>
      </c>
      <c r="C3485" s="37">
        <v>30.695227</v>
      </c>
      <c r="D3485" s="37">
        <v>-29.304773</v>
      </c>
    </row>
    <row r="3486" ht="14.25" customHeight="1">
      <c r="A3486" s="4" t="s">
        <v>944</v>
      </c>
      <c r="B3486" s="37">
        <v>95.0</v>
      </c>
      <c r="C3486" s="37">
        <v>65.653758</v>
      </c>
      <c r="D3486" s="37">
        <v>-29.346242</v>
      </c>
    </row>
    <row r="3487" ht="14.25" customHeight="1">
      <c r="A3487" s="4" t="s">
        <v>2732</v>
      </c>
      <c r="B3487" s="37">
        <v>40.0</v>
      </c>
      <c r="C3487" s="37">
        <v>10.640645</v>
      </c>
      <c r="D3487" s="37">
        <v>-29.359355</v>
      </c>
    </row>
    <row r="3488" ht="14.25" customHeight="1">
      <c r="A3488" s="4" t="s">
        <v>1923</v>
      </c>
      <c r="B3488" s="37">
        <v>50.0</v>
      </c>
      <c r="C3488" s="37">
        <v>20.550712</v>
      </c>
      <c r="D3488" s="37">
        <v>-29.449288</v>
      </c>
    </row>
    <row r="3489" ht="14.25" customHeight="1">
      <c r="A3489" s="4" t="s">
        <v>832</v>
      </c>
      <c r="B3489" s="37">
        <v>93.0</v>
      </c>
      <c r="C3489" s="37">
        <v>63.54002</v>
      </c>
      <c r="D3489" s="37">
        <v>-29.45998</v>
      </c>
    </row>
    <row r="3490" ht="14.25" customHeight="1">
      <c r="A3490" s="4" t="s">
        <v>3443</v>
      </c>
      <c r="B3490" s="37">
        <v>30.0</v>
      </c>
      <c r="C3490" s="37">
        <v>0.53758</v>
      </c>
      <c r="D3490" s="37">
        <v>-29.46242</v>
      </c>
    </row>
    <row r="3491" ht="14.25" customHeight="1">
      <c r="A3491" s="4" t="s">
        <v>2371</v>
      </c>
      <c r="B3491" s="37">
        <v>45.0</v>
      </c>
      <c r="C3491" s="37">
        <v>15.523168</v>
      </c>
      <c r="D3491" s="37">
        <v>-29.476832</v>
      </c>
    </row>
    <row r="3492" ht="14.25" customHeight="1">
      <c r="A3492" s="4" t="s">
        <v>3658</v>
      </c>
      <c r="B3492" s="37">
        <v>30.0</v>
      </c>
      <c r="C3492" s="37">
        <v>0.499263</v>
      </c>
      <c r="D3492" s="37">
        <v>-29.500737</v>
      </c>
    </row>
    <row r="3493" ht="14.25" customHeight="1">
      <c r="A3493" s="4" t="s">
        <v>2194</v>
      </c>
      <c r="B3493" s="37">
        <v>50.0</v>
      </c>
      <c r="C3493" s="37">
        <v>20.488579</v>
      </c>
      <c r="D3493" s="37">
        <v>-29.511421</v>
      </c>
    </row>
    <row r="3494" ht="14.25" customHeight="1">
      <c r="A3494" s="4" t="s">
        <v>1269</v>
      </c>
      <c r="B3494" s="37">
        <v>75.0</v>
      </c>
      <c r="C3494" s="37">
        <v>45.434443</v>
      </c>
      <c r="D3494" s="37">
        <v>-29.565557</v>
      </c>
    </row>
    <row r="3495" ht="14.25" customHeight="1">
      <c r="A3495" s="4" t="s">
        <v>3114</v>
      </c>
      <c r="B3495" s="37">
        <v>38.0</v>
      </c>
      <c r="C3495" s="37">
        <v>8.406264</v>
      </c>
      <c r="D3495" s="37">
        <v>-29.593736</v>
      </c>
    </row>
    <row r="3496" ht="14.25" customHeight="1">
      <c r="A3496" s="4" t="s">
        <v>2165</v>
      </c>
      <c r="B3496" s="37">
        <v>50.0</v>
      </c>
      <c r="C3496" s="37">
        <v>20.389967</v>
      </c>
      <c r="D3496" s="37">
        <v>-29.610033</v>
      </c>
    </row>
    <row r="3497" ht="14.25" customHeight="1">
      <c r="A3497" s="4" t="s">
        <v>1143</v>
      </c>
      <c r="B3497" s="37">
        <v>75.0</v>
      </c>
      <c r="C3497" s="37">
        <v>45.356386</v>
      </c>
      <c r="D3497" s="37">
        <v>-29.643614</v>
      </c>
    </row>
    <row r="3498" ht="14.25" customHeight="1">
      <c r="A3498" s="4" t="s">
        <v>1146</v>
      </c>
      <c r="B3498" s="37">
        <v>85.0</v>
      </c>
      <c r="C3498" s="37">
        <v>55.350897</v>
      </c>
      <c r="D3498" s="37">
        <v>-29.649103</v>
      </c>
    </row>
    <row r="3499" ht="14.25" customHeight="1">
      <c r="A3499" s="4" t="s">
        <v>1838</v>
      </c>
      <c r="B3499" s="37">
        <v>58.0</v>
      </c>
      <c r="C3499" s="37">
        <v>28.328132</v>
      </c>
      <c r="D3499" s="37">
        <v>-29.671868</v>
      </c>
    </row>
    <row r="3500" ht="14.25" customHeight="1">
      <c r="A3500" s="4" t="s">
        <v>1585</v>
      </c>
      <c r="B3500" s="37">
        <v>62.0</v>
      </c>
      <c r="C3500" s="37">
        <v>32.178777</v>
      </c>
      <c r="D3500" s="37">
        <v>-29.821223</v>
      </c>
    </row>
    <row r="3501" ht="14.25" customHeight="1">
      <c r="A3501" s="4" t="s">
        <v>1768</v>
      </c>
      <c r="B3501" s="37">
        <v>60.0</v>
      </c>
      <c r="C3501" s="37">
        <v>30.063805</v>
      </c>
      <c r="D3501" s="37">
        <v>-29.936195</v>
      </c>
    </row>
    <row r="3502" ht="14.25" customHeight="1">
      <c r="A3502" s="4" t="s">
        <v>1895</v>
      </c>
      <c r="B3502" s="37">
        <v>55.0</v>
      </c>
      <c r="C3502" s="37">
        <v>25.040293</v>
      </c>
      <c r="D3502" s="37">
        <v>-29.959707</v>
      </c>
    </row>
    <row r="3503" ht="14.25" customHeight="1">
      <c r="A3503" s="4" t="s">
        <v>1959</v>
      </c>
      <c r="B3503" s="37">
        <v>57.0</v>
      </c>
      <c r="C3503" s="37">
        <v>26.838389</v>
      </c>
      <c r="D3503" s="37">
        <v>-30.161611</v>
      </c>
    </row>
    <row r="3504" ht="14.25" customHeight="1">
      <c r="A3504" s="4" t="s">
        <v>3040</v>
      </c>
      <c r="B3504" s="37">
        <v>38.0</v>
      </c>
      <c r="C3504" s="37">
        <v>7.659747</v>
      </c>
      <c r="D3504" s="37">
        <v>-30.340253</v>
      </c>
    </row>
    <row r="3505" ht="14.25" customHeight="1">
      <c r="A3505" s="4" t="s">
        <v>2711</v>
      </c>
      <c r="B3505" s="37">
        <v>40.0</v>
      </c>
      <c r="C3505" s="37">
        <v>9.652</v>
      </c>
      <c r="D3505" s="37">
        <v>-30.348</v>
      </c>
    </row>
    <row r="3506" ht="14.25" customHeight="1">
      <c r="A3506" s="4" t="s">
        <v>3054</v>
      </c>
      <c r="B3506" s="37">
        <v>35.0</v>
      </c>
      <c r="C3506" s="37">
        <v>4.651977</v>
      </c>
      <c r="D3506" s="37">
        <v>-30.348023</v>
      </c>
    </row>
    <row r="3507" ht="14.25" customHeight="1">
      <c r="A3507" s="4" t="s">
        <v>2166</v>
      </c>
      <c r="B3507" s="37">
        <v>50.0</v>
      </c>
      <c r="C3507" s="37">
        <v>19.59374</v>
      </c>
      <c r="D3507" s="37">
        <v>-30.40626</v>
      </c>
    </row>
    <row r="3508" ht="14.25" customHeight="1">
      <c r="A3508" s="4" t="s">
        <v>2823</v>
      </c>
      <c r="B3508" s="37">
        <v>40.0</v>
      </c>
      <c r="C3508" s="37">
        <v>9.589875</v>
      </c>
      <c r="D3508" s="37">
        <v>-30.410125</v>
      </c>
    </row>
    <row r="3509" ht="14.25" customHeight="1">
      <c r="A3509" s="4" t="s">
        <v>3055</v>
      </c>
      <c r="B3509" s="37">
        <v>35.0</v>
      </c>
      <c r="C3509" s="37">
        <v>4.496583</v>
      </c>
      <c r="D3509" s="37">
        <v>-30.503417</v>
      </c>
    </row>
    <row r="3510" ht="14.25" customHeight="1">
      <c r="A3510" s="4" t="s">
        <v>2813</v>
      </c>
      <c r="B3510" s="37">
        <v>37.0</v>
      </c>
      <c r="C3510" s="37">
        <v>6.482195</v>
      </c>
      <c r="D3510" s="37">
        <v>-30.517805</v>
      </c>
    </row>
    <row r="3511" ht="14.25" customHeight="1">
      <c r="A3511" s="4" t="s">
        <v>823</v>
      </c>
      <c r="B3511" s="37">
        <v>90.0</v>
      </c>
      <c r="C3511" s="37">
        <v>59.475623</v>
      </c>
      <c r="D3511" s="37">
        <v>-30.524377</v>
      </c>
    </row>
    <row r="3512" ht="14.25" customHeight="1">
      <c r="A3512" s="4" t="s">
        <v>1802</v>
      </c>
      <c r="B3512" s="37">
        <v>35.0</v>
      </c>
      <c r="C3512" s="37">
        <v>4.426297</v>
      </c>
      <c r="D3512" s="37">
        <v>-30.573703</v>
      </c>
    </row>
    <row r="3513" ht="14.25" customHeight="1">
      <c r="A3513" s="4" t="s">
        <v>372</v>
      </c>
      <c r="B3513" s="37">
        <v>150.0</v>
      </c>
      <c r="C3513" s="37">
        <v>119.420252</v>
      </c>
      <c r="D3513" s="37">
        <v>-30.579748</v>
      </c>
    </row>
    <row r="3514" ht="14.25" customHeight="1">
      <c r="A3514" s="4" t="s">
        <v>1466</v>
      </c>
      <c r="B3514" s="37">
        <v>70.0</v>
      </c>
      <c r="C3514" s="37">
        <v>39.380442</v>
      </c>
      <c r="D3514" s="37">
        <v>-30.619558</v>
      </c>
    </row>
    <row r="3515" ht="14.25" customHeight="1">
      <c r="A3515" s="4" t="s">
        <v>3175</v>
      </c>
      <c r="B3515" s="37">
        <v>32.0</v>
      </c>
      <c r="C3515" s="37">
        <v>1.304837</v>
      </c>
      <c r="D3515" s="37">
        <v>-30.695163</v>
      </c>
    </row>
    <row r="3516" ht="14.25" customHeight="1">
      <c r="A3516" s="4" t="s">
        <v>1075</v>
      </c>
      <c r="B3516" s="37">
        <v>84.0</v>
      </c>
      <c r="C3516" s="37">
        <v>53.215979</v>
      </c>
      <c r="D3516" s="37">
        <v>-30.784021</v>
      </c>
    </row>
    <row r="3517" ht="14.25" customHeight="1">
      <c r="A3517" s="4" t="s">
        <v>1760</v>
      </c>
      <c r="B3517" s="37">
        <v>60.0</v>
      </c>
      <c r="C3517" s="37">
        <v>29.136626</v>
      </c>
      <c r="D3517" s="37">
        <v>-30.863374</v>
      </c>
    </row>
    <row r="3518" ht="14.25" customHeight="1">
      <c r="A3518" s="4" t="s">
        <v>2454</v>
      </c>
      <c r="B3518" s="37">
        <v>31.0</v>
      </c>
      <c r="C3518" s="37">
        <v>0.084961</v>
      </c>
      <c r="D3518" s="37">
        <v>-30.915039</v>
      </c>
    </row>
    <row r="3519" ht="14.25" customHeight="1">
      <c r="A3519" s="4" t="s">
        <v>601</v>
      </c>
      <c r="B3519" s="37">
        <v>120.0</v>
      </c>
      <c r="C3519" s="37">
        <v>89.021735</v>
      </c>
      <c r="D3519" s="37">
        <v>-30.978265</v>
      </c>
    </row>
    <row r="3520" ht="14.25" customHeight="1">
      <c r="A3520" s="4" t="s">
        <v>1843</v>
      </c>
      <c r="B3520" s="37">
        <v>57.0</v>
      </c>
      <c r="C3520" s="37">
        <v>25.528495</v>
      </c>
      <c r="D3520" s="37">
        <v>-31.471505</v>
      </c>
    </row>
    <row r="3521" ht="14.25" customHeight="1">
      <c r="A3521" s="4" t="s">
        <v>2250</v>
      </c>
      <c r="B3521" s="37">
        <v>47.0</v>
      </c>
      <c r="C3521" s="37">
        <v>15.519841</v>
      </c>
      <c r="D3521" s="37">
        <v>-31.480159</v>
      </c>
    </row>
    <row r="3522" ht="14.25" customHeight="1">
      <c r="A3522" s="4" t="s">
        <v>1468</v>
      </c>
      <c r="B3522" s="37">
        <v>69.0</v>
      </c>
      <c r="C3522" s="37">
        <v>37.516013</v>
      </c>
      <c r="D3522" s="37">
        <v>-31.483987</v>
      </c>
    </row>
    <row r="3523" ht="14.25" customHeight="1">
      <c r="A3523" s="4" t="s">
        <v>2173</v>
      </c>
      <c r="B3523" s="37">
        <v>50.0</v>
      </c>
      <c r="C3523" s="37">
        <v>18.472363</v>
      </c>
      <c r="D3523" s="37">
        <v>-31.527637</v>
      </c>
    </row>
    <row r="3524" ht="14.25" customHeight="1">
      <c r="A3524" s="4" t="s">
        <v>57</v>
      </c>
      <c r="B3524" s="37">
        <v>200.0</v>
      </c>
      <c r="C3524" s="37">
        <v>168.368427</v>
      </c>
      <c r="D3524" s="37">
        <v>-31.631573</v>
      </c>
    </row>
    <row r="3525" ht="14.25" customHeight="1">
      <c r="A3525" s="4" t="s">
        <v>1399</v>
      </c>
      <c r="B3525" s="37">
        <v>70.0</v>
      </c>
      <c r="C3525" s="37">
        <v>38.345403</v>
      </c>
      <c r="D3525" s="37">
        <v>-31.654597</v>
      </c>
    </row>
    <row r="3526" ht="14.25" customHeight="1">
      <c r="A3526" s="4" t="s">
        <v>1534</v>
      </c>
      <c r="B3526" s="37">
        <v>65.0</v>
      </c>
      <c r="C3526" s="37">
        <v>33.328051</v>
      </c>
      <c r="D3526" s="37">
        <v>-31.671949</v>
      </c>
    </row>
    <row r="3527" ht="14.25" customHeight="1">
      <c r="A3527" s="4" t="s">
        <v>897</v>
      </c>
      <c r="B3527" s="37">
        <v>90.0</v>
      </c>
      <c r="C3527" s="37">
        <v>58.22912</v>
      </c>
      <c r="D3527" s="37">
        <v>-31.77088</v>
      </c>
    </row>
    <row r="3528" ht="14.25" customHeight="1">
      <c r="A3528" s="4" t="s">
        <v>1056</v>
      </c>
      <c r="B3528" s="37">
        <v>65.0</v>
      </c>
      <c r="C3528" s="37">
        <v>33.048353</v>
      </c>
      <c r="D3528" s="37">
        <v>-31.951647</v>
      </c>
    </row>
    <row r="3529" ht="14.25" customHeight="1">
      <c r="A3529" s="4" t="s">
        <v>1406</v>
      </c>
      <c r="B3529" s="37">
        <v>60.0</v>
      </c>
      <c r="C3529" s="37">
        <v>28.03125</v>
      </c>
      <c r="D3529" s="37">
        <v>-31.96875</v>
      </c>
    </row>
    <row r="3530" ht="14.25" customHeight="1">
      <c r="A3530" s="4" t="s">
        <v>2784</v>
      </c>
      <c r="B3530" s="37">
        <v>38.6</v>
      </c>
      <c r="C3530" s="37">
        <v>6.594136</v>
      </c>
      <c r="D3530" s="37">
        <v>-32.005864</v>
      </c>
    </row>
    <row r="3531" ht="14.25" customHeight="1">
      <c r="A3531" s="4" t="s">
        <v>1401</v>
      </c>
      <c r="B3531" s="37">
        <v>70.0</v>
      </c>
      <c r="C3531" s="37">
        <v>37.901509</v>
      </c>
      <c r="D3531" s="37">
        <v>-32.098491</v>
      </c>
    </row>
    <row r="3532" ht="14.25" customHeight="1">
      <c r="A3532" s="4" t="s">
        <v>2231</v>
      </c>
      <c r="B3532" s="37">
        <v>58.0</v>
      </c>
      <c r="C3532" s="37">
        <v>25.9</v>
      </c>
      <c r="D3532" s="37">
        <v>-32.1</v>
      </c>
    </row>
    <row r="3533" ht="14.25" customHeight="1">
      <c r="A3533" s="4" t="s">
        <v>1984</v>
      </c>
      <c r="B3533" s="37">
        <v>55.0</v>
      </c>
      <c r="C3533" s="37">
        <v>22.843047</v>
      </c>
      <c r="D3533" s="37">
        <v>-32.156953</v>
      </c>
    </row>
    <row r="3534" ht="14.25" customHeight="1">
      <c r="A3534" s="4" t="s">
        <v>1436</v>
      </c>
      <c r="B3534" s="37">
        <v>70.0</v>
      </c>
      <c r="C3534" s="37">
        <v>37.76008</v>
      </c>
      <c r="D3534" s="37">
        <v>-32.23992</v>
      </c>
    </row>
    <row r="3535" ht="14.25" customHeight="1">
      <c r="A3535" s="4" t="s">
        <v>1153</v>
      </c>
      <c r="B3535" s="37">
        <v>70.0</v>
      </c>
      <c r="C3535" s="37">
        <v>37.754208</v>
      </c>
      <c r="D3535" s="37">
        <v>-32.245792</v>
      </c>
    </row>
    <row r="3536" ht="14.25" customHeight="1">
      <c r="A3536" s="4" t="s">
        <v>3416</v>
      </c>
      <c r="B3536" s="37">
        <v>40.0</v>
      </c>
      <c r="C3536" s="37">
        <v>7.689458</v>
      </c>
      <c r="D3536" s="37">
        <v>-32.310542</v>
      </c>
    </row>
    <row r="3537" ht="14.25" customHeight="1">
      <c r="A3537" s="4" t="s">
        <v>757</v>
      </c>
      <c r="B3537" s="37">
        <v>100.0</v>
      </c>
      <c r="C3537" s="37">
        <v>67.631157</v>
      </c>
      <c r="D3537" s="37">
        <v>-32.368843</v>
      </c>
    </row>
    <row r="3538" ht="14.25" customHeight="1">
      <c r="A3538" s="4" t="s">
        <v>757</v>
      </c>
      <c r="B3538" s="37">
        <v>100.0</v>
      </c>
      <c r="C3538" s="37">
        <v>67.631157</v>
      </c>
      <c r="D3538" s="37">
        <v>-32.368843</v>
      </c>
    </row>
    <row r="3539" ht="14.25" customHeight="1">
      <c r="A3539" s="4" t="s">
        <v>1537</v>
      </c>
      <c r="B3539" s="37">
        <v>65.0</v>
      </c>
      <c r="C3539" s="37">
        <v>32.598931</v>
      </c>
      <c r="D3539" s="37">
        <v>-32.401069</v>
      </c>
    </row>
    <row r="3540" ht="14.25" customHeight="1">
      <c r="A3540" s="4" t="s">
        <v>1793</v>
      </c>
      <c r="B3540" s="37">
        <v>55.0</v>
      </c>
      <c r="C3540" s="37">
        <v>22.3625</v>
      </c>
      <c r="D3540" s="37">
        <v>-32.6375</v>
      </c>
    </row>
    <row r="3541" ht="14.25" customHeight="1">
      <c r="A3541" s="4" t="s">
        <v>1454</v>
      </c>
      <c r="B3541" s="37">
        <v>68.0</v>
      </c>
      <c r="C3541" s="37">
        <v>35.324232</v>
      </c>
      <c r="D3541" s="37">
        <v>-32.675768</v>
      </c>
    </row>
    <row r="3542" ht="14.25" customHeight="1">
      <c r="A3542" s="4" t="s">
        <v>1203</v>
      </c>
      <c r="B3542" s="37">
        <v>100.0</v>
      </c>
      <c r="C3542" s="37">
        <v>67.286731</v>
      </c>
      <c r="D3542" s="37">
        <v>-32.713269</v>
      </c>
    </row>
    <row r="3543" ht="14.25" customHeight="1">
      <c r="A3543" s="4" t="s">
        <v>2379</v>
      </c>
      <c r="B3543" s="37">
        <v>40.0</v>
      </c>
      <c r="C3543" s="37">
        <v>7.262288</v>
      </c>
      <c r="D3543" s="37">
        <v>-32.737712</v>
      </c>
    </row>
    <row r="3544" ht="14.25" customHeight="1">
      <c r="A3544" s="4" t="s">
        <v>3057</v>
      </c>
      <c r="B3544" s="37">
        <v>35.0</v>
      </c>
      <c r="C3544" s="37">
        <v>2.221994</v>
      </c>
      <c r="D3544" s="37">
        <v>-32.778006</v>
      </c>
    </row>
    <row r="3545" ht="14.25" customHeight="1">
      <c r="A3545" s="4" t="s">
        <v>3150</v>
      </c>
      <c r="B3545" s="37">
        <v>33.0</v>
      </c>
      <c r="C3545" s="37">
        <v>0.099462</v>
      </c>
      <c r="D3545" s="37">
        <v>-32.900538</v>
      </c>
    </row>
    <row r="3546" ht="14.25" customHeight="1">
      <c r="A3546" s="4" t="s">
        <v>1557</v>
      </c>
      <c r="B3546" s="37">
        <v>64.0</v>
      </c>
      <c r="C3546" s="37">
        <v>31.054924</v>
      </c>
      <c r="D3546" s="37">
        <v>-32.945076</v>
      </c>
    </row>
    <row r="3547" ht="14.25" customHeight="1">
      <c r="A3547" s="4" t="s">
        <v>3406</v>
      </c>
      <c r="B3547" s="37">
        <v>45.0</v>
      </c>
      <c r="C3547" s="37">
        <v>12.02667</v>
      </c>
      <c r="D3547" s="37">
        <v>-32.97333</v>
      </c>
    </row>
    <row r="3548" ht="14.25" customHeight="1">
      <c r="A3548" s="4" t="s">
        <v>2874</v>
      </c>
      <c r="B3548" s="37">
        <v>36.0</v>
      </c>
      <c r="C3548" s="37">
        <v>2.954405</v>
      </c>
      <c r="D3548" s="37">
        <v>-33.045595</v>
      </c>
    </row>
    <row r="3549" ht="14.25" customHeight="1">
      <c r="A3549" s="4" t="s">
        <v>1835</v>
      </c>
      <c r="B3549" s="37">
        <v>70.0</v>
      </c>
      <c r="C3549" s="37">
        <v>36.931089</v>
      </c>
      <c r="D3549" s="37">
        <v>-33.068911</v>
      </c>
    </row>
    <row r="3550" ht="14.25" customHeight="1">
      <c r="A3550" s="4" t="s">
        <v>2767</v>
      </c>
      <c r="B3550" s="37">
        <v>39.0</v>
      </c>
      <c r="C3550" s="37">
        <v>5.881504</v>
      </c>
      <c r="D3550" s="37">
        <v>-33.118496</v>
      </c>
    </row>
    <row r="3551" ht="14.25" customHeight="1">
      <c r="A3551" s="4" t="s">
        <v>2186</v>
      </c>
      <c r="B3551" s="37">
        <v>50.0</v>
      </c>
      <c r="C3551" s="37">
        <v>16.671505</v>
      </c>
      <c r="D3551" s="37">
        <v>-33.328495</v>
      </c>
    </row>
    <row r="3552" ht="14.25" customHeight="1">
      <c r="A3552" s="4" t="s">
        <v>1766</v>
      </c>
      <c r="B3552" s="37">
        <v>60.0</v>
      </c>
      <c r="C3552" s="37">
        <v>26.61659</v>
      </c>
      <c r="D3552" s="37">
        <v>-33.38341</v>
      </c>
    </row>
    <row r="3553" ht="14.25" customHeight="1">
      <c r="A3553" s="4" t="s">
        <v>403</v>
      </c>
      <c r="B3553" s="37">
        <v>145.0</v>
      </c>
      <c r="C3553" s="37">
        <v>111.505642</v>
      </c>
      <c r="D3553" s="37">
        <v>-33.494358</v>
      </c>
    </row>
    <row r="3554" ht="14.25" customHeight="1">
      <c r="A3554" s="4" t="s">
        <v>1913</v>
      </c>
      <c r="B3554" s="37">
        <v>68.0</v>
      </c>
      <c r="C3554" s="37">
        <v>34.350553</v>
      </c>
      <c r="D3554" s="37">
        <v>-33.649447</v>
      </c>
    </row>
    <row r="3555" ht="14.25" customHeight="1">
      <c r="A3555" s="4" t="s">
        <v>1913</v>
      </c>
      <c r="B3555" s="37">
        <v>68.0</v>
      </c>
      <c r="C3555" s="37">
        <v>34.350553</v>
      </c>
      <c r="D3555" s="37">
        <v>-33.649447</v>
      </c>
    </row>
    <row r="3556" ht="14.25" customHeight="1">
      <c r="A3556" s="4" t="s">
        <v>1763</v>
      </c>
      <c r="B3556" s="37">
        <v>60.0</v>
      </c>
      <c r="C3556" s="37">
        <v>26.28832</v>
      </c>
      <c r="D3556" s="37">
        <v>-33.71168</v>
      </c>
    </row>
    <row r="3557" ht="14.25" customHeight="1">
      <c r="A3557" s="4" t="s">
        <v>2180</v>
      </c>
      <c r="B3557" s="37">
        <v>55.0</v>
      </c>
      <c r="C3557" s="37">
        <v>21.28344</v>
      </c>
      <c r="D3557" s="37">
        <v>-33.71656</v>
      </c>
    </row>
    <row r="3558" ht="14.25" customHeight="1">
      <c r="A3558" s="4" t="s">
        <v>2478</v>
      </c>
      <c r="B3558" s="37">
        <v>41.0</v>
      </c>
      <c r="C3558" s="37">
        <v>7.204138</v>
      </c>
      <c r="D3558" s="37">
        <v>-33.795862</v>
      </c>
    </row>
    <row r="3559" ht="14.25" customHeight="1">
      <c r="A3559" s="4" t="s">
        <v>2372</v>
      </c>
      <c r="B3559" s="37">
        <v>45.0</v>
      </c>
      <c r="C3559" s="37">
        <v>11.146409</v>
      </c>
      <c r="D3559" s="37">
        <v>-33.853591</v>
      </c>
    </row>
    <row r="3560" ht="14.25" customHeight="1">
      <c r="A3560" s="4" t="s">
        <v>2883</v>
      </c>
      <c r="B3560" s="37">
        <v>36.0</v>
      </c>
      <c r="C3560" s="37">
        <v>2.126511</v>
      </c>
      <c r="D3560" s="37">
        <v>-33.873489</v>
      </c>
    </row>
    <row r="3561" ht="14.25" customHeight="1">
      <c r="A3561" s="4" t="s">
        <v>2720</v>
      </c>
      <c r="B3561" s="37">
        <v>40.0</v>
      </c>
      <c r="C3561" s="37">
        <v>6.114237</v>
      </c>
      <c r="D3561" s="37">
        <v>-33.885763</v>
      </c>
    </row>
    <row r="3562" ht="14.25" customHeight="1">
      <c r="A3562" s="4" t="s">
        <v>185</v>
      </c>
      <c r="B3562" s="37">
        <v>200.0</v>
      </c>
      <c r="C3562" s="37">
        <v>166.112167</v>
      </c>
      <c r="D3562" s="37">
        <v>-33.887833</v>
      </c>
    </row>
    <row r="3563" ht="14.25" customHeight="1">
      <c r="A3563" s="4" t="s">
        <v>668</v>
      </c>
      <c r="B3563" s="37">
        <v>105.0</v>
      </c>
      <c r="C3563" s="37">
        <v>71.017784</v>
      </c>
      <c r="D3563" s="37">
        <v>-33.982216</v>
      </c>
    </row>
    <row r="3564" ht="14.25" customHeight="1">
      <c r="A3564" s="4" t="s">
        <v>3094</v>
      </c>
      <c r="B3564" s="37">
        <v>34.0</v>
      </c>
      <c r="C3564" s="37">
        <v>0.004091</v>
      </c>
      <c r="D3564" s="37">
        <v>-33.995909</v>
      </c>
    </row>
    <row r="3565" ht="14.25" customHeight="1">
      <c r="A3565" s="4" t="s">
        <v>2408</v>
      </c>
      <c r="B3565" s="37">
        <v>40.0</v>
      </c>
      <c r="C3565" s="37">
        <v>5.773519</v>
      </c>
      <c r="D3565" s="37">
        <v>-34.226481</v>
      </c>
    </row>
    <row r="3566" ht="14.25" customHeight="1">
      <c r="A3566" s="4" t="s">
        <v>2408</v>
      </c>
      <c r="B3566" s="37">
        <v>40.0</v>
      </c>
      <c r="C3566" s="37">
        <v>5.773519</v>
      </c>
      <c r="D3566" s="37">
        <v>-34.226481</v>
      </c>
    </row>
    <row r="3567" ht="14.25" customHeight="1">
      <c r="A3567" s="4" t="s">
        <v>1487</v>
      </c>
      <c r="B3567" s="37">
        <v>68.0</v>
      </c>
      <c r="C3567" s="37">
        <v>33.685268</v>
      </c>
      <c r="D3567" s="37">
        <v>-34.314732</v>
      </c>
    </row>
    <row r="3568" ht="14.25" customHeight="1">
      <c r="A3568" s="4" t="s">
        <v>3061</v>
      </c>
      <c r="B3568" s="37">
        <v>35.0</v>
      </c>
      <c r="C3568" s="37">
        <v>0.630779</v>
      </c>
      <c r="D3568" s="37">
        <v>-34.369221</v>
      </c>
    </row>
    <row r="3569" ht="14.25" customHeight="1">
      <c r="A3569" s="4" t="s">
        <v>723</v>
      </c>
      <c r="B3569" s="37">
        <v>100.0</v>
      </c>
      <c r="C3569" s="37">
        <v>65.452312</v>
      </c>
      <c r="D3569" s="37">
        <v>-34.547688</v>
      </c>
    </row>
    <row r="3570" ht="14.25" customHeight="1">
      <c r="A3570" s="4" t="s">
        <v>2751</v>
      </c>
      <c r="B3570" s="37">
        <v>39.2</v>
      </c>
      <c r="C3570" s="37">
        <v>4.563029</v>
      </c>
      <c r="D3570" s="37">
        <v>-34.636971</v>
      </c>
    </row>
    <row r="3571" ht="14.25" customHeight="1">
      <c r="A3571" s="4" t="s">
        <v>3072</v>
      </c>
      <c r="B3571" s="37">
        <v>35.0</v>
      </c>
      <c r="C3571" s="37">
        <v>0.183125</v>
      </c>
      <c r="D3571" s="37">
        <v>-34.816875</v>
      </c>
    </row>
    <row r="3572" ht="14.25" customHeight="1">
      <c r="A3572" s="4" t="s">
        <v>2888</v>
      </c>
      <c r="B3572" s="37">
        <v>36.0</v>
      </c>
      <c r="C3572" s="37">
        <v>1.068392</v>
      </c>
      <c r="D3572" s="37">
        <v>-34.931608</v>
      </c>
    </row>
    <row r="3573" ht="14.25" customHeight="1">
      <c r="A3573" s="4" t="s">
        <v>6583</v>
      </c>
      <c r="B3573" s="37">
        <v>35.0</v>
      </c>
      <c r="C3573" s="37">
        <v>0.049413</v>
      </c>
      <c r="D3573" s="37">
        <v>-34.950587</v>
      </c>
    </row>
    <row r="3574" ht="14.25" customHeight="1">
      <c r="A3574" s="4" t="s">
        <v>2721</v>
      </c>
      <c r="B3574" s="37">
        <v>40.0</v>
      </c>
      <c r="C3574" s="37">
        <v>4.835968</v>
      </c>
      <c r="D3574" s="37">
        <v>-35.164032</v>
      </c>
    </row>
    <row r="3575" ht="14.25" customHeight="1">
      <c r="A3575" s="4" t="s">
        <v>2725</v>
      </c>
      <c r="B3575" s="37">
        <v>40.0</v>
      </c>
      <c r="C3575" s="37">
        <v>4.777007</v>
      </c>
      <c r="D3575" s="37">
        <v>-35.222993</v>
      </c>
    </row>
    <row r="3576" ht="14.25" customHeight="1">
      <c r="A3576" s="4" t="s">
        <v>1461</v>
      </c>
      <c r="B3576" s="37">
        <v>65.0</v>
      </c>
      <c r="C3576" s="37">
        <v>29.65559</v>
      </c>
      <c r="D3576" s="37">
        <v>-35.34441</v>
      </c>
    </row>
    <row r="3577" ht="14.25" customHeight="1">
      <c r="A3577" s="4" t="s">
        <v>3000</v>
      </c>
      <c r="B3577" s="37">
        <v>55.0</v>
      </c>
      <c r="C3577" s="37">
        <v>19.389454</v>
      </c>
      <c r="D3577" s="37">
        <v>-35.610546</v>
      </c>
    </row>
    <row r="3578" ht="14.25" customHeight="1">
      <c r="A3578" s="4" t="s">
        <v>3403</v>
      </c>
      <c r="B3578" s="37">
        <v>45.0</v>
      </c>
      <c r="C3578" s="37">
        <v>9.353573</v>
      </c>
      <c r="D3578" s="37">
        <v>-35.646427</v>
      </c>
    </row>
    <row r="3579" ht="14.25" customHeight="1">
      <c r="A3579" s="4" t="s">
        <v>1284</v>
      </c>
      <c r="B3579" s="37">
        <v>75.0</v>
      </c>
      <c r="C3579" s="37">
        <v>39.251128</v>
      </c>
      <c r="D3579" s="37">
        <v>-35.748872</v>
      </c>
    </row>
    <row r="3580" ht="14.25" customHeight="1">
      <c r="A3580" s="4" t="s">
        <v>368</v>
      </c>
      <c r="B3580" s="37">
        <v>150.0</v>
      </c>
      <c r="C3580" s="37">
        <v>114.053579</v>
      </c>
      <c r="D3580" s="37">
        <v>-35.946421</v>
      </c>
    </row>
    <row r="3581" ht="14.25" customHeight="1">
      <c r="A3581" s="4" t="s">
        <v>915</v>
      </c>
      <c r="B3581" s="37">
        <v>120.0</v>
      </c>
      <c r="C3581" s="37">
        <v>84.037039</v>
      </c>
      <c r="D3581" s="37">
        <v>-35.962961</v>
      </c>
    </row>
    <row r="3582" ht="14.25" customHeight="1">
      <c r="A3582" s="4" t="s">
        <v>1932</v>
      </c>
      <c r="B3582" s="37">
        <v>62.0</v>
      </c>
      <c r="C3582" s="37">
        <v>25.857987</v>
      </c>
      <c r="D3582" s="37">
        <v>-36.142013</v>
      </c>
    </row>
    <row r="3583" ht="14.25" customHeight="1">
      <c r="A3583" s="4" t="s">
        <v>1925</v>
      </c>
      <c r="B3583" s="37">
        <v>55.0</v>
      </c>
      <c r="C3583" s="37">
        <v>18.573791</v>
      </c>
      <c r="D3583" s="37">
        <v>-36.426209</v>
      </c>
    </row>
    <row r="3584" ht="14.25" customHeight="1">
      <c r="A3584" s="4" t="s">
        <v>2370</v>
      </c>
      <c r="B3584" s="37">
        <v>50.0</v>
      </c>
      <c r="C3584" s="37">
        <v>13.56096</v>
      </c>
      <c r="D3584" s="37">
        <v>-36.43904</v>
      </c>
    </row>
    <row r="3585" ht="14.25" customHeight="1">
      <c r="A3585" s="4" t="s">
        <v>2260</v>
      </c>
      <c r="B3585" s="37">
        <v>47.0</v>
      </c>
      <c r="C3585" s="37">
        <v>10.539414</v>
      </c>
      <c r="D3585" s="37">
        <v>-36.460586</v>
      </c>
    </row>
    <row r="3586" ht="14.25" customHeight="1">
      <c r="A3586" s="4" t="s">
        <v>1415</v>
      </c>
      <c r="B3586" s="37">
        <v>75.0</v>
      </c>
      <c r="C3586" s="37">
        <v>38.509342</v>
      </c>
      <c r="D3586" s="37">
        <v>-36.490658</v>
      </c>
    </row>
    <row r="3587" ht="14.25" customHeight="1">
      <c r="A3587" s="4" t="s">
        <v>2687</v>
      </c>
      <c r="B3587" s="37">
        <v>51.0</v>
      </c>
      <c r="C3587" s="37">
        <v>14.375181</v>
      </c>
      <c r="D3587" s="37">
        <v>-36.624819</v>
      </c>
    </row>
    <row r="3588" ht="14.25" customHeight="1">
      <c r="A3588" s="4" t="s">
        <v>1741</v>
      </c>
      <c r="B3588" s="37">
        <v>80.0</v>
      </c>
      <c r="C3588" s="37">
        <v>43.290977</v>
      </c>
      <c r="D3588" s="37">
        <v>-36.709023</v>
      </c>
    </row>
    <row r="3589" ht="14.25" customHeight="1">
      <c r="A3589" s="4" t="s">
        <v>2387</v>
      </c>
      <c r="B3589" s="37">
        <v>45.0</v>
      </c>
      <c r="C3589" s="37">
        <v>8.129455</v>
      </c>
      <c r="D3589" s="37">
        <v>-36.870545</v>
      </c>
    </row>
    <row r="3590" ht="14.25" customHeight="1">
      <c r="A3590" s="4" t="s">
        <v>1408</v>
      </c>
      <c r="B3590" s="37">
        <v>70.0</v>
      </c>
      <c r="C3590" s="37">
        <v>33.1056</v>
      </c>
      <c r="D3590" s="37">
        <v>-36.8944</v>
      </c>
    </row>
    <row r="3591" ht="14.25" customHeight="1">
      <c r="A3591" s="4" t="s">
        <v>1538</v>
      </c>
      <c r="B3591" s="37">
        <v>65.0</v>
      </c>
      <c r="C3591" s="37">
        <v>28.04554</v>
      </c>
      <c r="D3591" s="37">
        <v>-36.95446</v>
      </c>
    </row>
    <row r="3592" ht="14.25" customHeight="1">
      <c r="A3592" s="4" t="s">
        <v>2374</v>
      </c>
      <c r="B3592" s="37">
        <v>45.0</v>
      </c>
      <c r="C3592" s="37">
        <v>7.916887</v>
      </c>
      <c r="D3592" s="37">
        <v>-37.083113</v>
      </c>
    </row>
    <row r="3593" ht="14.25" customHeight="1">
      <c r="A3593" s="4" t="s">
        <v>2817</v>
      </c>
      <c r="B3593" s="37">
        <v>38.0</v>
      </c>
      <c r="C3593" s="37">
        <v>0.623374</v>
      </c>
      <c r="D3593" s="37">
        <v>-37.376626</v>
      </c>
    </row>
    <row r="3594" ht="14.25" customHeight="1">
      <c r="A3594" s="4" t="s">
        <v>1011</v>
      </c>
      <c r="B3594" s="37">
        <v>85.0</v>
      </c>
      <c r="C3594" s="37">
        <v>47.592825</v>
      </c>
      <c r="D3594" s="37">
        <v>-37.407175</v>
      </c>
    </row>
    <row r="3595" ht="14.25" customHeight="1">
      <c r="A3595" s="4" t="s">
        <v>2667</v>
      </c>
      <c r="B3595" s="37">
        <v>60.0</v>
      </c>
      <c r="C3595" s="37">
        <v>22.433915</v>
      </c>
      <c r="D3595" s="37">
        <v>-37.566085</v>
      </c>
    </row>
    <row r="3596" ht="14.25" customHeight="1">
      <c r="A3596" s="4" t="s">
        <v>2670</v>
      </c>
      <c r="B3596" s="37">
        <v>60.0</v>
      </c>
      <c r="C3596" s="37">
        <v>22.326247</v>
      </c>
      <c r="D3596" s="37">
        <v>-37.673753</v>
      </c>
    </row>
    <row r="3597" ht="14.25" customHeight="1">
      <c r="A3597" s="4" t="s">
        <v>2459</v>
      </c>
      <c r="B3597" s="37">
        <v>44.0</v>
      </c>
      <c r="C3597" s="37">
        <v>6.105175</v>
      </c>
      <c r="D3597" s="37">
        <v>-37.894825</v>
      </c>
    </row>
    <row r="3598" ht="14.25" customHeight="1">
      <c r="A3598" s="4" t="s">
        <v>1571</v>
      </c>
      <c r="B3598" s="37">
        <v>63.0</v>
      </c>
      <c r="C3598" s="37">
        <v>25.052</v>
      </c>
      <c r="D3598" s="37">
        <v>-37.948</v>
      </c>
    </row>
    <row r="3599" ht="14.25" customHeight="1">
      <c r="A3599" s="4" t="s">
        <v>1270</v>
      </c>
      <c r="B3599" s="37">
        <v>80.0</v>
      </c>
      <c r="C3599" s="37">
        <v>42.044321</v>
      </c>
      <c r="D3599" s="37">
        <v>-37.955679</v>
      </c>
    </row>
    <row r="3600" ht="14.25" customHeight="1">
      <c r="A3600" s="4" t="s">
        <v>1308</v>
      </c>
      <c r="B3600" s="37">
        <v>75.0</v>
      </c>
      <c r="C3600" s="37">
        <v>36.976367</v>
      </c>
      <c r="D3600" s="37">
        <v>-38.023633</v>
      </c>
    </row>
    <row r="3601" ht="14.25" customHeight="1">
      <c r="A3601" s="4" t="s">
        <v>3160</v>
      </c>
      <c r="B3601" s="37">
        <v>55.0</v>
      </c>
      <c r="C3601" s="37">
        <v>16.64021</v>
      </c>
      <c r="D3601" s="37">
        <v>-38.35979</v>
      </c>
    </row>
    <row r="3602" ht="14.25" customHeight="1">
      <c r="A3602" s="4" t="s">
        <v>2375</v>
      </c>
      <c r="B3602" s="37">
        <v>45.0</v>
      </c>
      <c r="C3602" s="37">
        <v>6.565495</v>
      </c>
      <c r="D3602" s="37">
        <v>-38.434505</v>
      </c>
    </row>
    <row r="3603" ht="14.25" customHeight="1">
      <c r="A3603" s="4" t="s">
        <v>1276</v>
      </c>
      <c r="B3603" s="37">
        <v>80.0</v>
      </c>
      <c r="C3603" s="37">
        <v>41.523271</v>
      </c>
      <c r="D3603" s="37">
        <v>-38.476729</v>
      </c>
    </row>
    <row r="3604" ht="14.25" customHeight="1">
      <c r="A3604" s="4" t="s">
        <v>1930</v>
      </c>
      <c r="B3604" s="37">
        <v>55.0</v>
      </c>
      <c r="C3604" s="37">
        <v>16.264475</v>
      </c>
      <c r="D3604" s="37">
        <v>-38.735525</v>
      </c>
    </row>
    <row r="3605" ht="14.25" customHeight="1">
      <c r="A3605" s="4" t="s">
        <v>1942</v>
      </c>
      <c r="B3605" s="37">
        <v>55.0</v>
      </c>
      <c r="C3605" s="37">
        <v>16.08861</v>
      </c>
      <c r="D3605" s="37">
        <v>-38.91139</v>
      </c>
    </row>
    <row r="3606" ht="14.25" customHeight="1">
      <c r="A3606" s="4" t="s">
        <v>4423</v>
      </c>
      <c r="B3606" s="37">
        <v>40.0</v>
      </c>
      <c r="C3606" s="37">
        <v>1.027749</v>
      </c>
      <c r="D3606" s="37">
        <v>-38.972251</v>
      </c>
    </row>
    <row r="3607" ht="14.25" customHeight="1">
      <c r="A3607" s="4" t="s">
        <v>1465</v>
      </c>
      <c r="B3607" s="37">
        <v>68.0</v>
      </c>
      <c r="C3607" s="37">
        <v>28.965197</v>
      </c>
      <c r="D3607" s="37">
        <v>-39.034803</v>
      </c>
    </row>
    <row r="3608" ht="14.25" customHeight="1">
      <c r="A3608" s="4" t="s">
        <v>2206</v>
      </c>
      <c r="B3608" s="37">
        <v>50.0</v>
      </c>
      <c r="C3608" s="37">
        <v>10.706786</v>
      </c>
      <c r="D3608" s="37">
        <v>-39.293214</v>
      </c>
    </row>
    <row r="3609" ht="14.25" customHeight="1">
      <c r="A3609" s="4" t="s">
        <v>2463</v>
      </c>
      <c r="B3609" s="37">
        <v>45.0</v>
      </c>
      <c r="C3609" s="37">
        <v>5.664251</v>
      </c>
      <c r="D3609" s="37">
        <v>-39.335749</v>
      </c>
    </row>
    <row r="3610" ht="14.25" customHeight="1">
      <c r="A3610" s="4" t="s">
        <v>2735</v>
      </c>
      <c r="B3610" s="37">
        <v>40.0</v>
      </c>
      <c r="C3610" s="37">
        <v>0.652526</v>
      </c>
      <c r="D3610" s="37">
        <v>-39.347474</v>
      </c>
    </row>
    <row r="3611" ht="14.25" customHeight="1">
      <c r="A3611" s="4" t="s">
        <v>1140</v>
      </c>
      <c r="B3611" s="37">
        <v>90.0</v>
      </c>
      <c r="C3611" s="37">
        <v>50.628009</v>
      </c>
      <c r="D3611" s="37">
        <v>-39.371991</v>
      </c>
    </row>
    <row r="3612" ht="14.25" customHeight="1">
      <c r="A3612" s="4" t="s">
        <v>1335</v>
      </c>
      <c r="B3612" s="37">
        <v>72.0</v>
      </c>
      <c r="C3612" s="37">
        <v>32.616869</v>
      </c>
      <c r="D3612" s="37">
        <v>-39.383131</v>
      </c>
    </row>
    <row r="3613" ht="14.25" customHeight="1">
      <c r="A3613" s="4" t="s">
        <v>2183</v>
      </c>
      <c r="B3613" s="37">
        <v>50.0</v>
      </c>
      <c r="C3613" s="37">
        <v>10.556196</v>
      </c>
      <c r="D3613" s="37">
        <v>-39.443804</v>
      </c>
    </row>
    <row r="3614" ht="14.25" customHeight="1">
      <c r="A3614" s="4" t="s">
        <v>2731</v>
      </c>
      <c r="B3614" s="37">
        <v>40.0</v>
      </c>
      <c r="C3614" s="37">
        <v>0.51192</v>
      </c>
      <c r="D3614" s="37">
        <v>-39.48808</v>
      </c>
    </row>
    <row r="3615" ht="14.25" customHeight="1">
      <c r="A3615" s="4" t="s">
        <v>2188</v>
      </c>
      <c r="B3615" s="37">
        <v>50.0</v>
      </c>
      <c r="C3615" s="37">
        <v>10.4</v>
      </c>
      <c r="D3615" s="37">
        <v>-39.6</v>
      </c>
    </row>
    <row r="3616" ht="14.25" customHeight="1">
      <c r="A3616" s="4" t="s">
        <v>1403</v>
      </c>
      <c r="B3616" s="37">
        <v>70.0</v>
      </c>
      <c r="C3616" s="37">
        <v>30.157016</v>
      </c>
      <c r="D3616" s="37">
        <v>-39.842984</v>
      </c>
    </row>
    <row r="3617" ht="14.25" customHeight="1">
      <c r="A3617" s="4" t="s">
        <v>2192</v>
      </c>
      <c r="B3617" s="37">
        <v>50.0</v>
      </c>
      <c r="C3617" s="37">
        <v>10.137232</v>
      </c>
      <c r="D3617" s="37">
        <v>-39.862768</v>
      </c>
    </row>
    <row r="3618" ht="14.25" customHeight="1">
      <c r="A3618" s="4" t="s">
        <v>2746</v>
      </c>
      <c r="B3618" s="37">
        <v>40.0</v>
      </c>
      <c r="C3618" s="37">
        <v>0.128978</v>
      </c>
      <c r="D3618" s="37">
        <v>-39.871022</v>
      </c>
    </row>
    <row r="3619" ht="14.25" customHeight="1">
      <c r="A3619" s="4" t="s">
        <v>2801</v>
      </c>
      <c r="B3619" s="37">
        <v>57.0</v>
      </c>
      <c r="C3619" s="37">
        <v>16.991902</v>
      </c>
      <c r="D3619" s="37">
        <v>-40.008098</v>
      </c>
    </row>
    <row r="3620" ht="14.25" customHeight="1">
      <c r="A3620" s="4" t="s">
        <v>2193</v>
      </c>
      <c r="B3620" s="37">
        <v>50.0</v>
      </c>
      <c r="C3620" s="37">
        <v>9.795017</v>
      </c>
      <c r="D3620" s="37">
        <v>-40.204983</v>
      </c>
    </row>
    <row r="3621" ht="14.25" customHeight="1">
      <c r="A3621" s="4" t="s">
        <v>1796</v>
      </c>
      <c r="B3621" s="37">
        <v>60.0</v>
      </c>
      <c r="C3621" s="37">
        <v>19.781879</v>
      </c>
      <c r="D3621" s="37">
        <v>-40.218121</v>
      </c>
    </row>
    <row r="3622" ht="14.25" customHeight="1">
      <c r="A3622" s="4" t="s">
        <v>2381</v>
      </c>
      <c r="B3622" s="37">
        <v>45.0</v>
      </c>
      <c r="C3622" s="37">
        <v>4.584886</v>
      </c>
      <c r="D3622" s="37">
        <v>-40.415114</v>
      </c>
    </row>
    <row r="3623" ht="14.25" customHeight="1">
      <c r="A3623" s="4" t="s">
        <v>2197</v>
      </c>
      <c r="B3623" s="37">
        <v>60.0</v>
      </c>
      <c r="C3623" s="37">
        <v>19.445217</v>
      </c>
      <c r="D3623" s="37">
        <v>-40.554783</v>
      </c>
    </row>
    <row r="3624" ht="14.25" customHeight="1">
      <c r="A3624" s="4" t="s">
        <v>1149</v>
      </c>
      <c r="B3624" s="37">
        <v>80.0</v>
      </c>
      <c r="C3624" s="37">
        <v>39.442871</v>
      </c>
      <c r="D3624" s="37">
        <v>-40.557129</v>
      </c>
    </row>
    <row r="3625" ht="14.25" customHeight="1">
      <c r="A3625" s="4" t="s">
        <v>598</v>
      </c>
      <c r="B3625" s="37">
        <v>117.0</v>
      </c>
      <c r="C3625" s="37">
        <v>76.418654</v>
      </c>
      <c r="D3625" s="37">
        <v>-40.581346</v>
      </c>
    </row>
    <row r="3626" ht="14.25" customHeight="1">
      <c r="A3626" s="4" t="s">
        <v>1338</v>
      </c>
      <c r="B3626" s="37">
        <v>59.66</v>
      </c>
      <c r="C3626" s="37">
        <v>18.94763</v>
      </c>
      <c r="D3626" s="37">
        <v>-40.71237</v>
      </c>
    </row>
    <row r="3627" ht="14.25" customHeight="1">
      <c r="A3627" s="4" t="s">
        <v>1228</v>
      </c>
      <c r="B3627" s="37">
        <v>76.0</v>
      </c>
      <c r="C3627" s="37">
        <v>35.286428</v>
      </c>
      <c r="D3627" s="37">
        <v>-40.713572</v>
      </c>
    </row>
    <row r="3628" ht="14.25" customHeight="1">
      <c r="A3628" s="4" t="s">
        <v>1952</v>
      </c>
      <c r="B3628" s="37">
        <v>47.0</v>
      </c>
      <c r="C3628" s="37">
        <v>6.167817</v>
      </c>
      <c r="D3628" s="37">
        <v>-40.832183</v>
      </c>
    </row>
    <row r="3629" ht="14.25" customHeight="1">
      <c r="A3629" s="4" t="s">
        <v>1417</v>
      </c>
      <c r="B3629" s="37">
        <v>60.0</v>
      </c>
      <c r="C3629" s="37">
        <v>19.076815</v>
      </c>
      <c r="D3629" s="37">
        <v>-40.923185</v>
      </c>
    </row>
    <row r="3630" ht="14.25" customHeight="1">
      <c r="A3630" s="4" t="s">
        <v>819</v>
      </c>
      <c r="B3630" s="37">
        <v>100.0</v>
      </c>
      <c r="C3630" s="37">
        <v>58.867694</v>
      </c>
      <c r="D3630" s="37">
        <v>-41.132306</v>
      </c>
    </row>
    <row r="3631" ht="14.25" customHeight="1">
      <c r="A3631" s="4" t="s">
        <v>588</v>
      </c>
      <c r="B3631" s="37">
        <v>100.0</v>
      </c>
      <c r="C3631" s="37">
        <v>58.607007</v>
      </c>
      <c r="D3631" s="37">
        <v>-41.392993</v>
      </c>
    </row>
    <row r="3632" ht="14.25" customHeight="1">
      <c r="A3632" s="4" t="s">
        <v>588</v>
      </c>
      <c r="B3632" s="37">
        <v>100.0</v>
      </c>
      <c r="C3632" s="37">
        <v>58.607007</v>
      </c>
      <c r="D3632" s="37">
        <v>-41.392993</v>
      </c>
    </row>
    <row r="3633" ht="14.25" customHeight="1">
      <c r="A3633" s="4" t="s">
        <v>2252</v>
      </c>
      <c r="B3633" s="37">
        <v>47.0</v>
      </c>
      <c r="C3633" s="37">
        <v>5.6</v>
      </c>
      <c r="D3633" s="37">
        <v>-41.4</v>
      </c>
    </row>
    <row r="3634" ht="14.25" customHeight="1">
      <c r="A3634" s="4" t="s">
        <v>1049</v>
      </c>
      <c r="B3634" s="37">
        <v>85.0</v>
      </c>
      <c r="C3634" s="37">
        <v>43.575716</v>
      </c>
      <c r="D3634" s="37">
        <v>-41.424284</v>
      </c>
    </row>
    <row r="3635" ht="14.25" customHeight="1">
      <c r="A3635" s="4" t="s">
        <v>1155</v>
      </c>
      <c r="B3635" s="37">
        <v>80.0</v>
      </c>
      <c r="C3635" s="37">
        <v>38.542418</v>
      </c>
      <c r="D3635" s="37">
        <v>-41.457582</v>
      </c>
    </row>
    <row r="3636" ht="14.25" customHeight="1">
      <c r="A3636" s="4" t="s">
        <v>2368</v>
      </c>
      <c r="B3636" s="37">
        <v>57.0</v>
      </c>
      <c r="C3636" s="37">
        <v>15.527125</v>
      </c>
      <c r="D3636" s="37">
        <v>-41.472875</v>
      </c>
    </row>
    <row r="3637" ht="14.25" customHeight="1">
      <c r="A3637" s="4" t="s">
        <v>425</v>
      </c>
      <c r="B3637" s="37">
        <v>145.0</v>
      </c>
      <c r="C3637" s="37">
        <v>103.400692</v>
      </c>
      <c r="D3637" s="37">
        <v>-41.599308</v>
      </c>
    </row>
    <row r="3638" ht="14.25" customHeight="1">
      <c r="A3638" s="4" t="s">
        <v>405</v>
      </c>
      <c r="B3638" s="37">
        <v>175.0</v>
      </c>
      <c r="C3638" s="37">
        <v>133.228348</v>
      </c>
      <c r="D3638" s="37">
        <v>-41.771652</v>
      </c>
    </row>
    <row r="3639" ht="14.25" customHeight="1">
      <c r="A3639" s="4" t="s">
        <v>956</v>
      </c>
      <c r="B3639" s="37">
        <v>100.0</v>
      </c>
      <c r="C3639" s="37">
        <v>58.220776</v>
      </c>
      <c r="D3639" s="37">
        <v>-41.779224</v>
      </c>
    </row>
    <row r="3640" ht="14.25" customHeight="1">
      <c r="A3640" s="4" t="s">
        <v>1775</v>
      </c>
      <c r="B3640" s="37">
        <v>60.0</v>
      </c>
      <c r="C3640" s="37">
        <v>18.208078</v>
      </c>
      <c r="D3640" s="37">
        <v>-41.791922</v>
      </c>
    </row>
    <row r="3641" ht="14.25" customHeight="1">
      <c r="A3641" s="4" t="s">
        <v>2405</v>
      </c>
      <c r="B3641" s="37">
        <v>44.0</v>
      </c>
      <c r="C3641" s="37">
        <v>1.5</v>
      </c>
      <c r="D3641" s="37">
        <v>-42.5</v>
      </c>
    </row>
    <row r="3642" ht="14.25" customHeight="1">
      <c r="A3642" s="4" t="s">
        <v>958</v>
      </c>
      <c r="B3642" s="37">
        <v>90.0</v>
      </c>
      <c r="C3642" s="37">
        <v>47.474112</v>
      </c>
      <c r="D3642" s="37">
        <v>-42.525888</v>
      </c>
    </row>
    <row r="3643" ht="14.25" customHeight="1">
      <c r="A3643" s="4" t="s">
        <v>762</v>
      </c>
      <c r="B3643" s="37">
        <v>100.0</v>
      </c>
      <c r="C3643" s="37">
        <v>57.366262</v>
      </c>
      <c r="D3643" s="37">
        <v>-42.633738</v>
      </c>
    </row>
    <row r="3644" ht="14.25" customHeight="1">
      <c r="A3644" s="4" t="s">
        <v>1795</v>
      </c>
      <c r="B3644" s="37">
        <v>60.0</v>
      </c>
      <c r="C3644" s="37">
        <v>17.281832</v>
      </c>
      <c r="D3644" s="37">
        <v>-42.718168</v>
      </c>
    </row>
    <row r="3645" ht="14.25" customHeight="1">
      <c r="A3645" s="4" t="s">
        <v>217</v>
      </c>
      <c r="B3645" s="37">
        <v>145.0</v>
      </c>
      <c r="C3645" s="37">
        <v>102.176165</v>
      </c>
      <c r="D3645" s="37">
        <v>-42.823835</v>
      </c>
    </row>
    <row r="3646" ht="14.25" customHeight="1">
      <c r="A3646" s="4" t="s">
        <v>2384</v>
      </c>
      <c r="B3646" s="37">
        <v>45.0</v>
      </c>
      <c r="C3646" s="37">
        <v>2.15454</v>
      </c>
      <c r="D3646" s="37">
        <v>-42.84546</v>
      </c>
    </row>
    <row r="3647" ht="14.25" customHeight="1">
      <c r="A3647" s="4" t="s">
        <v>960</v>
      </c>
      <c r="B3647" s="37">
        <v>86.0</v>
      </c>
      <c r="C3647" s="37">
        <v>42.877165</v>
      </c>
      <c r="D3647" s="37">
        <v>-43.122835</v>
      </c>
    </row>
    <row r="3648" ht="14.25" customHeight="1">
      <c r="A3648" s="4" t="s">
        <v>1935</v>
      </c>
      <c r="B3648" s="37">
        <v>56.0</v>
      </c>
      <c r="C3648" s="37">
        <v>12.870569</v>
      </c>
      <c r="D3648" s="37">
        <v>-43.129431</v>
      </c>
    </row>
    <row r="3649" ht="14.25" customHeight="1">
      <c r="A3649" s="4" t="s">
        <v>2202</v>
      </c>
      <c r="B3649" s="37">
        <v>50.0</v>
      </c>
      <c r="C3649" s="37">
        <v>6.471394</v>
      </c>
      <c r="D3649" s="37">
        <v>-43.528606</v>
      </c>
    </row>
    <row r="3650" ht="14.25" customHeight="1">
      <c r="A3650" s="4" t="s">
        <v>2204</v>
      </c>
      <c r="B3650" s="37">
        <v>50.0</v>
      </c>
      <c r="C3650" s="37">
        <v>6.291602</v>
      </c>
      <c r="D3650" s="37">
        <v>-43.708398</v>
      </c>
    </row>
    <row r="3651" ht="14.25" customHeight="1">
      <c r="A3651" s="4" t="s">
        <v>2694</v>
      </c>
      <c r="B3651" s="37">
        <v>77.0</v>
      </c>
      <c r="C3651" s="37">
        <v>33.201661</v>
      </c>
      <c r="D3651" s="37">
        <v>-43.798339</v>
      </c>
    </row>
    <row r="3652" ht="14.25" customHeight="1">
      <c r="A3652" s="4" t="s">
        <v>1163</v>
      </c>
      <c r="B3652" s="37">
        <v>80.0</v>
      </c>
      <c r="C3652" s="37">
        <v>36.073232</v>
      </c>
      <c r="D3652" s="37">
        <v>-43.926768</v>
      </c>
    </row>
    <row r="3653" ht="14.25" customHeight="1">
      <c r="A3653" s="4" t="s">
        <v>664</v>
      </c>
      <c r="B3653" s="37">
        <v>110.0</v>
      </c>
      <c r="C3653" s="37">
        <v>66.002193</v>
      </c>
      <c r="D3653" s="37">
        <v>-43.997807</v>
      </c>
    </row>
    <row r="3654" ht="14.25" customHeight="1">
      <c r="A3654" s="4" t="s">
        <v>839</v>
      </c>
      <c r="B3654" s="37">
        <v>95.0</v>
      </c>
      <c r="C3654" s="37">
        <v>50.802661</v>
      </c>
      <c r="D3654" s="37">
        <v>-44.197339</v>
      </c>
    </row>
    <row r="3655" ht="14.25" customHeight="1">
      <c r="A3655" s="4" t="s">
        <v>1333</v>
      </c>
      <c r="B3655" s="37">
        <v>72.0</v>
      </c>
      <c r="C3655" s="37">
        <v>27.796042</v>
      </c>
      <c r="D3655" s="37">
        <v>-44.203958</v>
      </c>
    </row>
    <row r="3656" ht="14.25" customHeight="1">
      <c r="A3656" s="4" t="s">
        <v>5891</v>
      </c>
      <c r="B3656" s="37">
        <v>45.0</v>
      </c>
      <c r="C3656" s="37">
        <v>0.145109</v>
      </c>
      <c r="D3656" s="37">
        <v>-44.854891</v>
      </c>
    </row>
    <row r="3657" ht="14.25" customHeight="1">
      <c r="A3657" s="4" t="s">
        <v>24</v>
      </c>
      <c r="B3657" s="37">
        <v>245.0</v>
      </c>
      <c r="C3657" s="37">
        <v>200.074175</v>
      </c>
      <c r="D3657" s="37">
        <v>-44.925825</v>
      </c>
    </row>
    <row r="3658" ht="14.25" customHeight="1">
      <c r="A3658" s="4" t="s">
        <v>1025</v>
      </c>
      <c r="B3658" s="37">
        <v>85.0</v>
      </c>
      <c r="C3658" s="37">
        <v>40.048332</v>
      </c>
      <c r="D3658" s="37">
        <v>-44.951668</v>
      </c>
    </row>
    <row r="3659" ht="14.25" customHeight="1">
      <c r="A3659" s="4" t="s">
        <v>1293</v>
      </c>
      <c r="B3659" s="37">
        <v>75.0</v>
      </c>
      <c r="C3659" s="37">
        <v>30.013346</v>
      </c>
      <c r="D3659" s="37">
        <v>-44.986654</v>
      </c>
    </row>
    <row r="3660" ht="14.25" customHeight="1">
      <c r="A3660" s="4" t="s">
        <v>1022</v>
      </c>
      <c r="B3660" s="37">
        <v>90.0</v>
      </c>
      <c r="C3660" s="37">
        <v>44.606335</v>
      </c>
      <c r="D3660" s="37">
        <v>-45.393665</v>
      </c>
    </row>
    <row r="3661" ht="14.25" customHeight="1">
      <c r="A3661" s="4" t="s">
        <v>1158</v>
      </c>
      <c r="B3661" s="37">
        <v>80.0</v>
      </c>
      <c r="C3661" s="37">
        <v>34.566746</v>
      </c>
      <c r="D3661" s="37">
        <v>-45.433254</v>
      </c>
    </row>
    <row r="3662" ht="14.25" customHeight="1">
      <c r="A3662" s="4" t="s">
        <v>1567</v>
      </c>
      <c r="B3662" s="37">
        <v>65.0</v>
      </c>
      <c r="C3662" s="37">
        <v>19.548064</v>
      </c>
      <c r="D3662" s="37">
        <v>-45.451936</v>
      </c>
    </row>
    <row r="3663" ht="14.25" customHeight="1">
      <c r="A3663" s="4" t="s">
        <v>1956</v>
      </c>
      <c r="B3663" s="37">
        <v>55.0</v>
      </c>
      <c r="C3663" s="37">
        <v>9.483821</v>
      </c>
      <c r="D3663" s="37">
        <v>-45.516179</v>
      </c>
    </row>
    <row r="3664" ht="14.25" customHeight="1">
      <c r="A3664" s="4" t="s">
        <v>1305</v>
      </c>
      <c r="B3664" s="37">
        <v>82.0</v>
      </c>
      <c r="C3664" s="37">
        <v>36.381716</v>
      </c>
      <c r="D3664" s="37">
        <v>-45.618284</v>
      </c>
    </row>
    <row r="3665" ht="14.25" customHeight="1">
      <c r="A3665" s="4" t="s">
        <v>1549</v>
      </c>
      <c r="B3665" s="37">
        <v>65.0</v>
      </c>
      <c r="C3665" s="37">
        <v>19.059018</v>
      </c>
      <c r="D3665" s="37">
        <v>-45.940982</v>
      </c>
    </row>
    <row r="3666" ht="14.25" customHeight="1">
      <c r="A3666" s="4" t="s">
        <v>72</v>
      </c>
      <c r="B3666" s="37">
        <v>225.0</v>
      </c>
      <c r="C3666" s="37">
        <v>179.020854</v>
      </c>
      <c r="D3666" s="37">
        <v>-45.979146</v>
      </c>
    </row>
    <row r="3667" ht="14.25" customHeight="1">
      <c r="A3667" s="4" t="s">
        <v>2701</v>
      </c>
      <c r="B3667" s="37">
        <v>60.0</v>
      </c>
      <c r="C3667" s="37">
        <v>13.395939</v>
      </c>
      <c r="D3667" s="37">
        <v>-46.604061</v>
      </c>
    </row>
    <row r="3668" ht="14.25" customHeight="1">
      <c r="A3668" s="4" t="s">
        <v>2199</v>
      </c>
      <c r="B3668" s="37">
        <v>55.0</v>
      </c>
      <c r="C3668" s="37">
        <v>8.355815</v>
      </c>
      <c r="D3668" s="37">
        <v>-46.644185</v>
      </c>
    </row>
    <row r="3669" ht="14.25" customHeight="1">
      <c r="A3669" s="4" t="s">
        <v>2160</v>
      </c>
      <c r="B3669" s="37">
        <v>70.0</v>
      </c>
      <c r="C3669" s="37">
        <v>23.159305</v>
      </c>
      <c r="D3669" s="37">
        <v>-46.840695</v>
      </c>
    </row>
    <row r="3670" ht="14.25" customHeight="1">
      <c r="A3670" s="4" t="s">
        <v>1772</v>
      </c>
      <c r="B3670" s="37">
        <v>60.0</v>
      </c>
      <c r="C3670" s="37">
        <v>13.082288</v>
      </c>
      <c r="D3670" s="37">
        <v>-46.917712</v>
      </c>
    </row>
    <row r="3671" ht="14.25" customHeight="1">
      <c r="A3671" s="4" t="s">
        <v>1159</v>
      </c>
      <c r="B3671" s="37">
        <v>80.0</v>
      </c>
      <c r="C3671" s="37">
        <v>32.885565</v>
      </c>
      <c r="D3671" s="37">
        <v>-47.114435</v>
      </c>
    </row>
    <row r="3672" ht="14.25" customHeight="1">
      <c r="A3672" s="4" t="s">
        <v>2819</v>
      </c>
      <c r="B3672" s="37">
        <v>55.0</v>
      </c>
      <c r="C3672" s="37">
        <v>7.871693</v>
      </c>
      <c r="D3672" s="37">
        <v>-47.128307</v>
      </c>
    </row>
    <row r="3673" ht="14.25" customHeight="1">
      <c r="A3673" s="4" t="s">
        <v>585</v>
      </c>
      <c r="B3673" s="37">
        <v>105.0</v>
      </c>
      <c r="C3673" s="37">
        <v>57.637485</v>
      </c>
      <c r="D3673" s="37">
        <v>-47.362515</v>
      </c>
    </row>
    <row r="3674" ht="14.25" customHeight="1">
      <c r="A3674" s="4" t="s">
        <v>1058</v>
      </c>
      <c r="B3674" s="37">
        <v>82.0</v>
      </c>
      <c r="C3674" s="37">
        <v>34.543701</v>
      </c>
      <c r="D3674" s="37">
        <v>-47.456299</v>
      </c>
    </row>
    <row r="3675" ht="14.25" customHeight="1">
      <c r="A3675" s="4" t="s">
        <v>2349</v>
      </c>
      <c r="B3675" s="37">
        <v>70.0</v>
      </c>
      <c r="C3675" s="37">
        <v>22.531698</v>
      </c>
      <c r="D3675" s="37">
        <v>-47.468302</v>
      </c>
    </row>
    <row r="3676" ht="14.25" customHeight="1">
      <c r="A3676" s="4" t="s">
        <v>1968</v>
      </c>
      <c r="B3676" s="37">
        <v>55.0</v>
      </c>
      <c r="C3676" s="37">
        <v>7.221458</v>
      </c>
      <c r="D3676" s="37">
        <v>-47.778542</v>
      </c>
    </row>
    <row r="3677" ht="14.25" customHeight="1">
      <c r="A3677" s="4" t="s">
        <v>1564</v>
      </c>
      <c r="B3677" s="37">
        <v>50.0</v>
      </c>
      <c r="C3677" s="37">
        <v>2.208939</v>
      </c>
      <c r="D3677" s="37">
        <v>-47.791061</v>
      </c>
    </row>
    <row r="3678" ht="14.25" customHeight="1">
      <c r="A3678" s="4" t="s">
        <v>2030</v>
      </c>
      <c r="B3678" s="37">
        <v>50.0</v>
      </c>
      <c r="C3678" s="37">
        <v>2.175312</v>
      </c>
      <c r="D3678" s="37">
        <v>-47.824688</v>
      </c>
    </row>
    <row r="3679" ht="14.25" customHeight="1">
      <c r="A3679" s="4" t="s">
        <v>1811</v>
      </c>
      <c r="B3679" s="37">
        <v>60.0</v>
      </c>
      <c r="C3679" s="37">
        <v>12.065985</v>
      </c>
      <c r="D3679" s="37">
        <v>-47.934015</v>
      </c>
    </row>
    <row r="3680" ht="14.25" customHeight="1">
      <c r="A3680" s="4" t="s">
        <v>1552</v>
      </c>
      <c r="B3680" s="37">
        <v>50.0</v>
      </c>
      <c r="C3680" s="37">
        <v>1.987287</v>
      </c>
      <c r="D3680" s="37">
        <v>-48.012713</v>
      </c>
    </row>
    <row r="3681" ht="14.25" customHeight="1">
      <c r="A3681" s="4" t="s">
        <v>1788</v>
      </c>
      <c r="B3681" s="37">
        <v>60.0</v>
      </c>
      <c r="C3681" s="37">
        <v>11.802056</v>
      </c>
      <c r="D3681" s="37">
        <v>-48.197944</v>
      </c>
    </row>
    <row r="3682" ht="14.25" customHeight="1">
      <c r="A3682" s="4" t="s">
        <v>1967</v>
      </c>
      <c r="B3682" s="37">
        <v>54.0</v>
      </c>
      <c r="C3682" s="37">
        <v>5.660084</v>
      </c>
      <c r="D3682" s="37">
        <v>-48.339916</v>
      </c>
    </row>
    <row r="3683" ht="14.25" customHeight="1">
      <c r="A3683" s="4" t="s">
        <v>673</v>
      </c>
      <c r="B3683" s="37">
        <v>110.0</v>
      </c>
      <c r="C3683" s="37">
        <v>61.656849</v>
      </c>
      <c r="D3683" s="37">
        <v>-48.343151</v>
      </c>
    </row>
    <row r="3684" ht="14.25" customHeight="1">
      <c r="A3684" s="4" t="s">
        <v>483</v>
      </c>
      <c r="B3684" s="37">
        <v>132.0</v>
      </c>
      <c r="C3684" s="37">
        <v>83.34892</v>
      </c>
      <c r="D3684" s="37">
        <v>-48.65108</v>
      </c>
    </row>
    <row r="3685" ht="14.25" customHeight="1">
      <c r="A3685" s="4" t="s">
        <v>2223</v>
      </c>
      <c r="B3685" s="37">
        <v>50.0</v>
      </c>
      <c r="C3685" s="37">
        <v>1.206135</v>
      </c>
      <c r="D3685" s="37">
        <v>-48.793865</v>
      </c>
    </row>
    <row r="3686" ht="14.25" customHeight="1">
      <c r="A3686" s="4" t="s">
        <v>682</v>
      </c>
      <c r="B3686" s="37">
        <v>107.0</v>
      </c>
      <c r="C3686" s="37">
        <v>58.183966</v>
      </c>
      <c r="D3686" s="37">
        <v>-48.816034</v>
      </c>
    </row>
    <row r="3687" ht="14.25" customHeight="1">
      <c r="A3687" s="4" t="s">
        <v>622</v>
      </c>
      <c r="B3687" s="37">
        <v>116.0</v>
      </c>
      <c r="C3687" s="37">
        <v>67.155742</v>
      </c>
      <c r="D3687" s="37">
        <v>-48.844258</v>
      </c>
    </row>
    <row r="3688" ht="14.25" customHeight="1">
      <c r="A3688" s="4" t="s">
        <v>1987</v>
      </c>
      <c r="B3688" s="37">
        <v>55.0</v>
      </c>
      <c r="C3688" s="37">
        <v>5.755286</v>
      </c>
      <c r="D3688" s="37">
        <v>-49.244714</v>
      </c>
    </row>
    <row r="3689" ht="14.25" customHeight="1">
      <c r="A3689" s="4" t="s">
        <v>6145</v>
      </c>
      <c r="B3689" s="37">
        <v>50.0</v>
      </c>
      <c r="C3689" s="37">
        <v>0.7</v>
      </c>
      <c r="D3689" s="37">
        <v>-49.3</v>
      </c>
    </row>
    <row r="3690" ht="14.25" customHeight="1">
      <c r="A3690" s="4" t="s">
        <v>280</v>
      </c>
      <c r="B3690" s="37">
        <v>200.0</v>
      </c>
      <c r="C3690" s="37">
        <v>150.350192</v>
      </c>
      <c r="D3690" s="37">
        <v>-49.649808</v>
      </c>
    </row>
    <row r="3691" ht="14.25" customHeight="1">
      <c r="A3691" s="4" t="s">
        <v>6053</v>
      </c>
      <c r="B3691" s="37">
        <v>50.0</v>
      </c>
      <c r="C3691" s="37">
        <v>0.2064</v>
      </c>
      <c r="D3691" s="37">
        <v>-49.7936</v>
      </c>
    </row>
    <row r="3692" ht="14.25" customHeight="1">
      <c r="A3692" s="4" t="s">
        <v>6017</v>
      </c>
      <c r="B3692" s="37">
        <v>50.0</v>
      </c>
      <c r="C3692" s="37">
        <v>0.023106</v>
      </c>
      <c r="D3692" s="37">
        <v>-49.976894</v>
      </c>
    </row>
    <row r="3693" ht="14.25" customHeight="1">
      <c r="A3693" s="4" t="s">
        <v>1213</v>
      </c>
      <c r="B3693" s="37">
        <v>76.0</v>
      </c>
      <c r="C3693" s="37">
        <v>26.00061</v>
      </c>
      <c r="D3693" s="37">
        <v>-49.99939</v>
      </c>
    </row>
    <row r="3694" ht="14.25" customHeight="1">
      <c r="A3694" s="4" t="s">
        <v>1152</v>
      </c>
      <c r="B3694" s="37">
        <v>88.0</v>
      </c>
      <c r="C3694" s="37">
        <v>37.899638</v>
      </c>
      <c r="D3694" s="37">
        <v>-50.100362</v>
      </c>
    </row>
    <row r="3695" ht="14.25" customHeight="1">
      <c r="A3695" s="4" t="s">
        <v>1191</v>
      </c>
      <c r="B3695" s="37">
        <v>52.0</v>
      </c>
      <c r="C3695" s="37">
        <v>1.891821</v>
      </c>
      <c r="D3695" s="37">
        <v>-50.108179</v>
      </c>
    </row>
    <row r="3696" ht="14.25" customHeight="1">
      <c r="A3696" s="4" t="s">
        <v>1427</v>
      </c>
      <c r="B3696" s="37">
        <v>70.0</v>
      </c>
      <c r="C3696" s="37">
        <v>19.819494</v>
      </c>
      <c r="D3696" s="37">
        <v>-50.180506</v>
      </c>
    </row>
    <row r="3697" ht="14.25" customHeight="1">
      <c r="A3697" s="4" t="s">
        <v>1946</v>
      </c>
      <c r="B3697" s="37">
        <v>57.0</v>
      </c>
      <c r="C3697" s="37">
        <v>6.768055</v>
      </c>
      <c r="D3697" s="37">
        <v>-50.231945</v>
      </c>
    </row>
    <row r="3698" ht="14.25" customHeight="1">
      <c r="A3698" s="4" t="s">
        <v>768</v>
      </c>
      <c r="B3698" s="37">
        <v>105.0</v>
      </c>
      <c r="C3698" s="37">
        <v>54.700065</v>
      </c>
      <c r="D3698" s="37">
        <v>-50.299935</v>
      </c>
    </row>
    <row r="3699" ht="14.25" customHeight="1">
      <c r="A3699" s="4" t="s">
        <v>784</v>
      </c>
      <c r="B3699" s="37">
        <v>100.0</v>
      </c>
      <c r="C3699" s="37">
        <v>49.392095</v>
      </c>
      <c r="D3699" s="37">
        <v>-50.607905</v>
      </c>
    </row>
    <row r="3700" ht="14.25" customHeight="1">
      <c r="A3700" s="4" t="s">
        <v>318</v>
      </c>
      <c r="B3700" s="37">
        <v>155.0</v>
      </c>
      <c r="C3700" s="37">
        <v>104.383624</v>
      </c>
      <c r="D3700" s="37">
        <v>-50.616376</v>
      </c>
    </row>
    <row r="3701" ht="14.25" customHeight="1">
      <c r="A3701" s="4" t="s">
        <v>786</v>
      </c>
      <c r="B3701" s="37">
        <v>90.0</v>
      </c>
      <c r="C3701" s="37">
        <v>39.292022</v>
      </c>
      <c r="D3701" s="37">
        <v>-50.707978</v>
      </c>
    </row>
    <row r="3702" ht="14.25" customHeight="1">
      <c r="A3702" s="4" t="s">
        <v>1778</v>
      </c>
      <c r="B3702" s="37">
        <v>65.0</v>
      </c>
      <c r="C3702" s="37">
        <v>14.218868</v>
      </c>
      <c r="D3702" s="37">
        <v>-50.781132</v>
      </c>
    </row>
    <row r="3703" ht="14.25" customHeight="1">
      <c r="A3703" s="4" t="s">
        <v>1422</v>
      </c>
      <c r="B3703" s="37">
        <v>70.0</v>
      </c>
      <c r="C3703" s="37">
        <v>18.990542</v>
      </c>
      <c r="D3703" s="37">
        <v>-51.009458</v>
      </c>
    </row>
    <row r="3704" ht="14.25" customHeight="1">
      <c r="A3704" s="4" t="s">
        <v>1444</v>
      </c>
      <c r="B3704" s="37">
        <v>70.0</v>
      </c>
      <c r="C3704" s="37">
        <v>18.821279</v>
      </c>
      <c r="D3704" s="37">
        <v>-51.178721</v>
      </c>
    </row>
    <row r="3705" ht="14.25" customHeight="1">
      <c r="A3705" s="4" t="s">
        <v>1555</v>
      </c>
      <c r="B3705" s="37">
        <v>65.0</v>
      </c>
      <c r="C3705" s="37">
        <v>13.750556</v>
      </c>
      <c r="D3705" s="37">
        <v>-51.249444</v>
      </c>
    </row>
    <row r="3706" ht="14.25" customHeight="1">
      <c r="A3706" s="4" t="s">
        <v>480</v>
      </c>
      <c r="B3706" s="37">
        <v>135.0</v>
      </c>
      <c r="C3706" s="37">
        <v>83.0249</v>
      </c>
      <c r="D3706" s="37">
        <v>-51.9751</v>
      </c>
    </row>
    <row r="3707" ht="14.25" customHeight="1">
      <c r="A3707" s="4" t="s">
        <v>1291</v>
      </c>
      <c r="B3707" s="37">
        <v>75.0</v>
      </c>
      <c r="C3707" s="37">
        <v>22.751979</v>
      </c>
      <c r="D3707" s="37">
        <v>-52.248021</v>
      </c>
    </row>
    <row r="3708" ht="14.25" customHeight="1">
      <c r="A3708" s="4" t="s">
        <v>548</v>
      </c>
      <c r="B3708" s="37">
        <v>85.0</v>
      </c>
      <c r="C3708" s="37">
        <v>32.694788</v>
      </c>
      <c r="D3708" s="37">
        <v>-52.305212</v>
      </c>
    </row>
    <row r="3709" ht="14.25" customHeight="1">
      <c r="A3709" s="4" t="s">
        <v>1799</v>
      </c>
      <c r="B3709" s="37">
        <v>60.0</v>
      </c>
      <c r="C3709" s="37">
        <v>7.605668</v>
      </c>
      <c r="D3709" s="37">
        <v>-52.394332</v>
      </c>
    </row>
    <row r="3710" ht="14.25" customHeight="1">
      <c r="A3710" s="4" t="s">
        <v>1182</v>
      </c>
      <c r="B3710" s="37">
        <v>70.0</v>
      </c>
      <c r="C3710" s="37">
        <v>17.473245</v>
      </c>
      <c r="D3710" s="37">
        <v>-52.526755</v>
      </c>
    </row>
    <row r="3711" ht="14.25" customHeight="1">
      <c r="A3711" s="4" t="s">
        <v>1543</v>
      </c>
      <c r="B3711" s="37">
        <v>70.0</v>
      </c>
      <c r="C3711" s="37">
        <v>17.21808</v>
      </c>
      <c r="D3711" s="37">
        <v>-52.78192</v>
      </c>
    </row>
    <row r="3712" ht="14.25" customHeight="1">
      <c r="A3712" s="4" t="s">
        <v>625</v>
      </c>
      <c r="B3712" s="37">
        <v>135.0</v>
      </c>
      <c r="C3712" s="37">
        <v>81.638674</v>
      </c>
      <c r="D3712" s="37">
        <v>-53.361326</v>
      </c>
    </row>
    <row r="3713" ht="14.25" customHeight="1">
      <c r="A3713" s="4" t="s">
        <v>1020</v>
      </c>
      <c r="B3713" s="37">
        <v>100.0</v>
      </c>
      <c r="C3713" s="37">
        <v>46.440491</v>
      </c>
      <c r="D3713" s="37">
        <v>-53.559509</v>
      </c>
    </row>
    <row r="3714" ht="14.25" customHeight="1">
      <c r="A3714" s="4" t="s">
        <v>176</v>
      </c>
      <c r="B3714" s="37">
        <v>185.0</v>
      </c>
      <c r="C3714" s="37">
        <v>130.468626</v>
      </c>
      <c r="D3714" s="37">
        <v>-54.531374</v>
      </c>
    </row>
    <row r="3715" ht="14.25" customHeight="1">
      <c r="A3715" s="4" t="s">
        <v>984</v>
      </c>
      <c r="B3715" s="37">
        <v>75.0</v>
      </c>
      <c r="C3715" s="37">
        <v>20.315324</v>
      </c>
      <c r="D3715" s="37">
        <v>-54.684676</v>
      </c>
    </row>
    <row r="3716" ht="14.25" customHeight="1">
      <c r="A3716" s="4" t="s">
        <v>1545</v>
      </c>
      <c r="B3716" s="37">
        <v>65.0</v>
      </c>
      <c r="C3716" s="37">
        <v>10.014234</v>
      </c>
      <c r="D3716" s="37">
        <v>-54.985766</v>
      </c>
    </row>
    <row r="3717" ht="14.25" customHeight="1">
      <c r="A3717" s="4" t="s">
        <v>579</v>
      </c>
      <c r="B3717" s="37">
        <v>120.0</v>
      </c>
      <c r="C3717" s="37">
        <v>64.736114</v>
      </c>
      <c r="D3717" s="37">
        <v>-55.263886</v>
      </c>
    </row>
    <row r="3718" ht="14.25" customHeight="1">
      <c r="A3718" s="4" t="s">
        <v>1801</v>
      </c>
      <c r="B3718" s="37">
        <v>60.0</v>
      </c>
      <c r="C3718" s="37">
        <v>4.535117</v>
      </c>
      <c r="D3718" s="37">
        <v>-55.464883</v>
      </c>
    </row>
    <row r="3719" ht="14.25" customHeight="1">
      <c r="A3719" s="4" t="s">
        <v>1425</v>
      </c>
      <c r="B3719" s="37">
        <v>70.0</v>
      </c>
      <c r="C3719" s="37">
        <v>14.294842</v>
      </c>
      <c r="D3719" s="37">
        <v>-55.705158</v>
      </c>
    </row>
    <row r="3720" ht="14.25" customHeight="1">
      <c r="A3720" s="4" t="s">
        <v>193</v>
      </c>
      <c r="B3720" s="37">
        <v>180.0</v>
      </c>
      <c r="C3720" s="37">
        <v>124.051759</v>
      </c>
      <c r="D3720" s="37">
        <v>-55.948241</v>
      </c>
    </row>
    <row r="3721" ht="14.25" customHeight="1">
      <c r="A3721" s="4" t="s">
        <v>466</v>
      </c>
      <c r="B3721" s="37">
        <v>150.0</v>
      </c>
      <c r="C3721" s="37">
        <v>93.926386</v>
      </c>
      <c r="D3721" s="37">
        <v>-56.073614</v>
      </c>
    </row>
    <row r="3722" ht="14.25" customHeight="1">
      <c r="A3722" s="4" t="s">
        <v>213</v>
      </c>
      <c r="B3722" s="37">
        <v>170.0</v>
      </c>
      <c r="C3722" s="37">
        <v>113.745408</v>
      </c>
      <c r="D3722" s="37">
        <v>-56.254592</v>
      </c>
    </row>
    <row r="3723" ht="14.25" customHeight="1">
      <c r="A3723" s="4" t="s">
        <v>1430</v>
      </c>
      <c r="B3723" s="37">
        <v>70.0</v>
      </c>
      <c r="C3723" s="37">
        <v>13.596911</v>
      </c>
      <c r="D3723" s="37">
        <v>-56.403089</v>
      </c>
    </row>
    <row r="3724" ht="14.25" customHeight="1">
      <c r="A3724" s="4" t="s">
        <v>1978</v>
      </c>
      <c r="B3724" s="37">
        <v>90.0</v>
      </c>
      <c r="C3724" s="37">
        <v>33.574332</v>
      </c>
      <c r="D3724" s="37">
        <v>-56.425668</v>
      </c>
    </row>
    <row r="3725" ht="14.25" customHeight="1">
      <c r="A3725" s="4" t="s">
        <v>1194</v>
      </c>
      <c r="B3725" s="37">
        <v>80.0</v>
      </c>
      <c r="C3725" s="37">
        <v>23.219748</v>
      </c>
      <c r="D3725" s="37">
        <v>-56.780252</v>
      </c>
    </row>
    <row r="3726" ht="14.25" customHeight="1">
      <c r="A3726" s="4" t="s">
        <v>509</v>
      </c>
      <c r="B3726" s="37">
        <v>135.0</v>
      </c>
      <c r="C3726" s="37">
        <v>77.564037</v>
      </c>
      <c r="D3726" s="37">
        <v>-57.435963</v>
      </c>
    </row>
    <row r="3727" ht="14.25" customHeight="1">
      <c r="A3727" s="4" t="s">
        <v>1169</v>
      </c>
      <c r="B3727" s="37">
        <v>80.0</v>
      </c>
      <c r="C3727" s="37">
        <v>20.95082</v>
      </c>
      <c r="D3727" s="37">
        <v>-59.04918</v>
      </c>
    </row>
    <row r="3728" ht="14.25" customHeight="1">
      <c r="A3728" s="4" t="s">
        <v>40</v>
      </c>
      <c r="B3728" s="37">
        <v>260.0</v>
      </c>
      <c r="C3728" s="37">
        <v>200.807262</v>
      </c>
      <c r="D3728" s="37">
        <v>-59.192738</v>
      </c>
    </row>
    <row r="3729" ht="14.25" customHeight="1">
      <c r="A3729" s="4" t="s">
        <v>3433</v>
      </c>
      <c r="B3729" s="37">
        <v>60.0</v>
      </c>
      <c r="C3729" s="37">
        <v>0.668171</v>
      </c>
      <c r="D3729" s="37">
        <v>-59.331829</v>
      </c>
    </row>
    <row r="3730" ht="14.25" customHeight="1">
      <c r="A3730" s="4" t="s">
        <v>1938</v>
      </c>
      <c r="B3730" s="37">
        <v>71.0</v>
      </c>
      <c r="C3730" s="37">
        <v>11.466088</v>
      </c>
      <c r="D3730" s="37">
        <v>-59.533912</v>
      </c>
    </row>
    <row r="3731" ht="14.25" customHeight="1">
      <c r="A3731" s="4" t="s">
        <v>5782</v>
      </c>
      <c r="B3731" s="37">
        <v>60.0</v>
      </c>
      <c r="C3731" s="37">
        <v>0.231417</v>
      </c>
      <c r="D3731" s="37">
        <v>-59.768583</v>
      </c>
    </row>
    <row r="3732" ht="14.25" customHeight="1">
      <c r="A3732" s="4" t="s">
        <v>778</v>
      </c>
      <c r="B3732" s="37">
        <v>100.0</v>
      </c>
      <c r="C3732" s="37">
        <v>40.19871</v>
      </c>
      <c r="D3732" s="37">
        <v>-59.80129</v>
      </c>
    </row>
    <row r="3733" ht="14.25" customHeight="1">
      <c r="A3733" s="4" t="s">
        <v>662</v>
      </c>
      <c r="B3733" s="37">
        <v>110.0</v>
      </c>
      <c r="C3733" s="37">
        <v>50.026353</v>
      </c>
      <c r="D3733" s="37">
        <v>-59.973647</v>
      </c>
    </row>
    <row r="3734" ht="14.25" customHeight="1">
      <c r="A3734" s="4" t="s">
        <v>1782</v>
      </c>
      <c r="B3734" s="37">
        <v>60.0</v>
      </c>
      <c r="C3734" s="37">
        <v>0.022451</v>
      </c>
      <c r="D3734" s="37">
        <v>-59.977549</v>
      </c>
    </row>
    <row r="3735" ht="14.25" customHeight="1">
      <c r="A3735" s="4" t="s">
        <v>1172</v>
      </c>
      <c r="B3735" s="37">
        <v>80.0</v>
      </c>
      <c r="C3735" s="37">
        <v>19.673424</v>
      </c>
      <c r="D3735" s="37">
        <v>-60.326576</v>
      </c>
    </row>
    <row r="3736" ht="14.25" customHeight="1">
      <c r="A3736" s="4" t="s">
        <v>1296</v>
      </c>
      <c r="B3736" s="37">
        <v>75.0</v>
      </c>
      <c r="C3736" s="37">
        <v>14.567883</v>
      </c>
      <c r="D3736" s="37">
        <v>-60.432117</v>
      </c>
    </row>
    <row r="3737" ht="14.25" customHeight="1">
      <c r="A3737" s="4" t="s">
        <v>1173</v>
      </c>
      <c r="B3737" s="37">
        <v>80.0</v>
      </c>
      <c r="C3737" s="37">
        <v>19.480739</v>
      </c>
      <c r="D3737" s="37">
        <v>-60.519261</v>
      </c>
    </row>
    <row r="3738" ht="14.25" customHeight="1">
      <c r="A3738" s="4" t="s">
        <v>1756</v>
      </c>
      <c r="B3738" s="37">
        <v>87.0</v>
      </c>
      <c r="C3738" s="37">
        <v>26.082914</v>
      </c>
      <c r="D3738" s="37">
        <v>-60.917086</v>
      </c>
    </row>
    <row r="3739" ht="14.25" customHeight="1">
      <c r="A3739" s="4" t="s">
        <v>455</v>
      </c>
      <c r="B3739" s="37">
        <v>130.0</v>
      </c>
      <c r="C3739" s="37">
        <v>68.642452</v>
      </c>
      <c r="D3739" s="37">
        <v>-61.357548</v>
      </c>
    </row>
    <row r="3740" ht="14.25" customHeight="1">
      <c r="A3740" s="4" t="s">
        <v>1433</v>
      </c>
      <c r="B3740" s="37">
        <v>70.0</v>
      </c>
      <c r="C3740" s="37">
        <v>8.46099</v>
      </c>
      <c r="D3740" s="37">
        <v>-61.53901</v>
      </c>
    </row>
    <row r="3741" ht="14.25" customHeight="1">
      <c r="A3741" s="4" t="s">
        <v>1178</v>
      </c>
      <c r="B3741" s="37">
        <v>80.0</v>
      </c>
      <c r="C3741" s="37">
        <v>18.318</v>
      </c>
      <c r="D3741" s="37">
        <v>-61.682</v>
      </c>
    </row>
    <row r="3742" ht="14.25" customHeight="1">
      <c r="A3742" s="4" t="s">
        <v>189</v>
      </c>
      <c r="B3742" s="37">
        <v>200.0</v>
      </c>
      <c r="C3742" s="37">
        <v>137.850096</v>
      </c>
      <c r="D3742" s="37">
        <v>-62.149904</v>
      </c>
    </row>
    <row r="3743" ht="14.25" customHeight="1">
      <c r="A3743" s="4" t="s">
        <v>1176</v>
      </c>
      <c r="B3743" s="37">
        <v>80.0</v>
      </c>
      <c r="C3743" s="37">
        <v>17.593391</v>
      </c>
      <c r="D3743" s="37">
        <v>-62.406609</v>
      </c>
    </row>
    <row r="3744" ht="14.25" customHeight="1">
      <c r="A3744" s="4" t="s">
        <v>1179</v>
      </c>
      <c r="B3744" s="37">
        <v>90.0</v>
      </c>
      <c r="C3744" s="37">
        <v>27.35609</v>
      </c>
      <c r="D3744" s="37">
        <v>-62.64391</v>
      </c>
    </row>
    <row r="3745" ht="14.25" customHeight="1">
      <c r="A3745" s="4" t="s">
        <v>273</v>
      </c>
      <c r="B3745" s="37">
        <v>165.0</v>
      </c>
      <c r="C3745" s="37">
        <v>102.315545</v>
      </c>
      <c r="D3745" s="37">
        <v>-62.684455</v>
      </c>
    </row>
    <row r="3746" ht="14.25" customHeight="1">
      <c r="A3746" s="4" t="s">
        <v>1434</v>
      </c>
      <c r="B3746" s="37">
        <v>70.0</v>
      </c>
      <c r="C3746" s="37">
        <v>7.097125</v>
      </c>
      <c r="D3746" s="37">
        <v>-62.902875</v>
      </c>
    </row>
    <row r="3747" ht="14.25" customHeight="1">
      <c r="A3747" s="4" t="s">
        <v>628</v>
      </c>
      <c r="B3747" s="37">
        <v>120.0</v>
      </c>
      <c r="C3747" s="37">
        <v>56.114221</v>
      </c>
      <c r="D3747" s="37">
        <v>-63.885779</v>
      </c>
    </row>
    <row r="3748" ht="14.25" customHeight="1">
      <c r="A3748" s="4" t="s">
        <v>1439</v>
      </c>
      <c r="B3748" s="37">
        <v>70.0</v>
      </c>
      <c r="C3748" s="37">
        <v>5.851188</v>
      </c>
      <c r="D3748" s="37">
        <v>-64.148812</v>
      </c>
    </row>
    <row r="3749" ht="14.25" customHeight="1">
      <c r="A3749" s="4" t="s">
        <v>962</v>
      </c>
      <c r="B3749" s="37">
        <v>100.0</v>
      </c>
      <c r="C3749" s="37">
        <v>35.168677</v>
      </c>
      <c r="D3749" s="37">
        <v>-64.831323</v>
      </c>
    </row>
    <row r="3750" ht="14.25" customHeight="1">
      <c r="A3750" s="4" t="s">
        <v>1575</v>
      </c>
      <c r="B3750" s="37">
        <v>65.0</v>
      </c>
      <c r="C3750" s="37">
        <v>0.072413</v>
      </c>
      <c r="D3750" s="37">
        <v>-64.927587</v>
      </c>
    </row>
    <row r="3751" ht="14.25" customHeight="1">
      <c r="A3751" s="4" t="s">
        <v>1211</v>
      </c>
      <c r="B3751" s="37">
        <v>80.0</v>
      </c>
      <c r="C3751" s="37">
        <v>15.071514</v>
      </c>
      <c r="D3751" s="37">
        <v>-64.928486</v>
      </c>
    </row>
    <row r="3752" ht="14.25" customHeight="1">
      <c r="A3752" s="4" t="s">
        <v>801</v>
      </c>
      <c r="B3752" s="37">
        <v>100.0</v>
      </c>
      <c r="C3752" s="37">
        <v>35.024475</v>
      </c>
      <c r="D3752" s="37">
        <v>-64.975525</v>
      </c>
    </row>
    <row r="3753" ht="14.25" customHeight="1">
      <c r="A3753" s="4" t="s">
        <v>315</v>
      </c>
      <c r="B3753" s="37">
        <v>155.0</v>
      </c>
      <c r="C3753" s="37">
        <v>89.732035</v>
      </c>
      <c r="D3753" s="37">
        <v>-65.267965</v>
      </c>
    </row>
    <row r="3754" ht="14.25" customHeight="1">
      <c r="A3754" s="4" t="s">
        <v>374</v>
      </c>
      <c r="B3754" s="37">
        <v>150.0</v>
      </c>
      <c r="C3754" s="37">
        <v>83.640426</v>
      </c>
      <c r="D3754" s="37">
        <v>-66.359574</v>
      </c>
    </row>
    <row r="3755" ht="14.25" customHeight="1">
      <c r="A3755" s="4" t="s">
        <v>793</v>
      </c>
      <c r="B3755" s="37">
        <v>84.0</v>
      </c>
      <c r="C3755" s="37">
        <v>17.010646</v>
      </c>
      <c r="D3755" s="37">
        <v>-66.989354</v>
      </c>
    </row>
    <row r="3756" ht="14.25" customHeight="1">
      <c r="A3756" s="4" t="s">
        <v>614</v>
      </c>
      <c r="B3756" s="37">
        <v>115.0</v>
      </c>
      <c r="C3756" s="37">
        <v>47.95202</v>
      </c>
      <c r="D3756" s="37">
        <v>-67.04798</v>
      </c>
    </row>
    <row r="3757" ht="14.25" customHeight="1">
      <c r="A3757" s="4" t="s">
        <v>420</v>
      </c>
      <c r="B3757" s="37">
        <v>150.0</v>
      </c>
      <c r="C3757" s="37">
        <v>82.161969</v>
      </c>
      <c r="D3757" s="37">
        <v>-67.838031</v>
      </c>
    </row>
    <row r="3758" ht="14.25" customHeight="1">
      <c r="A3758" s="4" t="s">
        <v>649</v>
      </c>
      <c r="B3758" s="37">
        <v>112.0</v>
      </c>
      <c r="C3758" s="37">
        <v>42.776259</v>
      </c>
      <c r="D3758" s="37">
        <v>-69.223741</v>
      </c>
    </row>
    <row r="3759" ht="14.25" customHeight="1">
      <c r="A3759" s="4" t="s">
        <v>1459</v>
      </c>
      <c r="B3759" s="37">
        <v>70.0</v>
      </c>
      <c r="C3759" s="37">
        <v>0.61784</v>
      </c>
      <c r="D3759" s="37">
        <v>-69.38216</v>
      </c>
    </row>
    <row r="3760" ht="14.25" customHeight="1">
      <c r="A3760" s="4" t="s">
        <v>515</v>
      </c>
      <c r="B3760" s="37">
        <v>130.0</v>
      </c>
      <c r="C3760" s="37">
        <v>60.522097</v>
      </c>
      <c r="D3760" s="37">
        <v>-69.477903</v>
      </c>
    </row>
    <row r="3761" ht="14.25" customHeight="1">
      <c r="A3761" s="4" t="s">
        <v>1299</v>
      </c>
      <c r="B3761" s="37">
        <v>75.0</v>
      </c>
      <c r="C3761" s="37">
        <v>5.409517</v>
      </c>
      <c r="D3761" s="37">
        <v>-69.590483</v>
      </c>
    </row>
    <row r="3762" ht="14.25" customHeight="1">
      <c r="A3762" s="4" t="s">
        <v>1804</v>
      </c>
      <c r="B3762" s="37">
        <v>80.0</v>
      </c>
      <c r="C3762" s="37">
        <v>10.166502</v>
      </c>
      <c r="D3762" s="37">
        <v>-69.833498</v>
      </c>
    </row>
    <row r="3763" ht="14.25" customHeight="1">
      <c r="A3763" s="4" t="s">
        <v>1184</v>
      </c>
      <c r="B3763" s="37">
        <v>86.0</v>
      </c>
      <c r="C3763" s="37">
        <v>15.13133</v>
      </c>
      <c r="D3763" s="37">
        <v>-70.86867</v>
      </c>
    </row>
    <row r="3764" ht="14.25" customHeight="1">
      <c r="A3764" s="4" t="s">
        <v>471</v>
      </c>
      <c r="B3764" s="37">
        <v>135.0</v>
      </c>
      <c r="C3764" s="37">
        <v>63.992328</v>
      </c>
      <c r="D3764" s="37">
        <v>-71.007672</v>
      </c>
    </row>
    <row r="3765" ht="14.25" customHeight="1">
      <c r="A3765" s="4" t="s">
        <v>612</v>
      </c>
      <c r="B3765" s="37">
        <v>115.0</v>
      </c>
      <c r="C3765" s="37">
        <v>40.91183</v>
      </c>
      <c r="D3765" s="37">
        <v>-74.08817</v>
      </c>
    </row>
    <row r="3766" ht="14.25" customHeight="1">
      <c r="A3766" s="4" t="s">
        <v>144</v>
      </c>
      <c r="B3766" s="37">
        <v>200.0</v>
      </c>
      <c r="C3766" s="37">
        <v>125.320003</v>
      </c>
      <c r="D3766" s="37">
        <v>-74.679997</v>
      </c>
    </row>
    <row r="3767" ht="14.25" customHeight="1">
      <c r="A3767" s="4" t="s">
        <v>224</v>
      </c>
      <c r="B3767" s="37">
        <v>175.0</v>
      </c>
      <c r="C3767" s="37">
        <v>100.28969</v>
      </c>
      <c r="D3767" s="37">
        <v>-74.71031</v>
      </c>
    </row>
    <row r="3768" ht="14.25" customHeight="1">
      <c r="A3768" s="4" t="s">
        <v>771</v>
      </c>
      <c r="B3768" s="37">
        <v>102.0</v>
      </c>
      <c r="C3768" s="37">
        <v>27.09858</v>
      </c>
      <c r="D3768" s="37">
        <v>-74.90142</v>
      </c>
    </row>
    <row r="3769" ht="14.25" customHeight="1">
      <c r="A3769" s="4" t="s">
        <v>434</v>
      </c>
      <c r="B3769" s="37">
        <v>140.0</v>
      </c>
      <c r="C3769" s="37">
        <v>65.007045</v>
      </c>
      <c r="D3769" s="37">
        <v>-74.992955</v>
      </c>
    </row>
    <row r="3770" ht="14.25" customHeight="1">
      <c r="A3770" s="4" t="s">
        <v>434</v>
      </c>
      <c r="B3770" s="37">
        <v>140.0</v>
      </c>
      <c r="C3770" s="37">
        <v>65.007045</v>
      </c>
      <c r="D3770" s="37">
        <v>-74.992955</v>
      </c>
    </row>
    <row r="3771" ht="14.25" customHeight="1">
      <c r="A3771" s="4" t="s">
        <v>795</v>
      </c>
      <c r="B3771" s="37">
        <v>100.0</v>
      </c>
      <c r="C3771" s="37">
        <v>24.985612</v>
      </c>
      <c r="D3771" s="37">
        <v>-75.014388</v>
      </c>
    </row>
    <row r="3772" ht="14.25" customHeight="1">
      <c r="A3772" s="4" t="s">
        <v>591</v>
      </c>
      <c r="B3772" s="37">
        <v>120.0</v>
      </c>
      <c r="C3772" s="37">
        <v>43.929341</v>
      </c>
      <c r="D3772" s="37">
        <v>-76.070659</v>
      </c>
    </row>
    <row r="3773" ht="14.25" customHeight="1">
      <c r="A3773" s="4" t="s">
        <v>790</v>
      </c>
      <c r="B3773" s="37">
        <v>105.0</v>
      </c>
      <c r="C3773" s="37">
        <v>28.772222</v>
      </c>
      <c r="D3773" s="37">
        <v>-76.227778</v>
      </c>
    </row>
    <row r="3774" ht="14.25" customHeight="1">
      <c r="A3774" s="4" t="s">
        <v>790</v>
      </c>
      <c r="B3774" s="37">
        <v>105.0</v>
      </c>
      <c r="C3774" s="37">
        <v>28.772222</v>
      </c>
      <c r="D3774" s="37">
        <v>-76.227778</v>
      </c>
    </row>
    <row r="3775" ht="14.25" customHeight="1">
      <c r="A3775" s="4" t="s">
        <v>393</v>
      </c>
      <c r="B3775" s="37">
        <v>150.0</v>
      </c>
      <c r="C3775" s="37">
        <v>73.103784</v>
      </c>
      <c r="D3775" s="37">
        <v>-76.896216</v>
      </c>
    </row>
    <row r="3776" ht="14.25" customHeight="1">
      <c r="A3776" s="4" t="s">
        <v>857</v>
      </c>
      <c r="B3776" s="37">
        <v>100.0</v>
      </c>
      <c r="C3776" s="37">
        <v>23.014504</v>
      </c>
      <c r="D3776" s="37">
        <v>-76.985496</v>
      </c>
    </row>
    <row r="3777" ht="14.25" customHeight="1">
      <c r="A3777" s="4" t="s">
        <v>227</v>
      </c>
      <c r="B3777" s="37">
        <v>178.0</v>
      </c>
      <c r="C3777" s="37">
        <v>100.189501</v>
      </c>
      <c r="D3777" s="37">
        <v>-77.810499</v>
      </c>
    </row>
    <row r="3778" ht="14.25" customHeight="1">
      <c r="A3778" s="4" t="s">
        <v>853</v>
      </c>
      <c r="B3778" s="37">
        <v>95.0</v>
      </c>
      <c r="C3778" s="37">
        <v>17.1769</v>
      </c>
      <c r="D3778" s="37">
        <v>-77.8231</v>
      </c>
    </row>
    <row r="3779" ht="14.25" customHeight="1">
      <c r="A3779" s="4" t="s">
        <v>1208</v>
      </c>
      <c r="B3779" s="37">
        <v>81.2</v>
      </c>
      <c r="C3779" s="37">
        <v>1.339152</v>
      </c>
      <c r="D3779" s="37">
        <v>-79.860848</v>
      </c>
    </row>
    <row r="3780" ht="14.25" customHeight="1">
      <c r="A3780" s="4" t="s">
        <v>514</v>
      </c>
      <c r="B3780" s="37">
        <v>130.0</v>
      </c>
      <c r="C3780" s="37">
        <v>49.551662</v>
      </c>
      <c r="D3780" s="37">
        <v>-80.448338</v>
      </c>
    </row>
    <row r="3781" ht="14.25" customHeight="1">
      <c r="A3781" s="4" t="s">
        <v>688</v>
      </c>
      <c r="B3781" s="37">
        <v>130.0</v>
      </c>
      <c r="C3781" s="37">
        <v>47.396698</v>
      </c>
      <c r="D3781" s="37">
        <v>-82.603302</v>
      </c>
    </row>
    <row r="3782" ht="14.25" customHeight="1">
      <c r="A3782" s="4" t="s">
        <v>701</v>
      </c>
      <c r="B3782" s="37">
        <v>90.0</v>
      </c>
      <c r="C3782" s="37">
        <v>6.712451</v>
      </c>
      <c r="D3782" s="37">
        <v>-83.287549</v>
      </c>
    </row>
    <row r="3783" ht="14.25" customHeight="1">
      <c r="A3783" s="4" t="s">
        <v>65</v>
      </c>
      <c r="B3783" s="37">
        <v>225.0</v>
      </c>
      <c r="C3783" s="37">
        <v>141.614023</v>
      </c>
      <c r="D3783" s="37">
        <v>-83.385977</v>
      </c>
    </row>
    <row r="3784" ht="14.25" customHeight="1">
      <c r="A3784" s="4" t="s">
        <v>138</v>
      </c>
      <c r="B3784" s="37">
        <v>200.0</v>
      </c>
      <c r="C3784" s="37">
        <v>116.593191</v>
      </c>
      <c r="D3784" s="37">
        <v>-83.406809</v>
      </c>
    </row>
    <row r="3785" ht="14.25" customHeight="1">
      <c r="A3785" s="4" t="s">
        <v>6538</v>
      </c>
      <c r="B3785" s="37">
        <v>84.45</v>
      </c>
      <c r="C3785" s="37">
        <v>0.617228</v>
      </c>
      <c r="D3785" s="37">
        <v>-83.832772</v>
      </c>
    </row>
    <row r="3786" ht="14.25" customHeight="1">
      <c r="A3786" s="4" t="s">
        <v>398</v>
      </c>
      <c r="B3786" s="37">
        <v>149.0</v>
      </c>
      <c r="C3786" s="37">
        <v>64.459316</v>
      </c>
      <c r="D3786" s="37">
        <v>-84.540684</v>
      </c>
    </row>
    <row r="3787" ht="14.25" customHeight="1">
      <c r="A3787" s="4" t="s">
        <v>871</v>
      </c>
      <c r="B3787" s="37">
        <v>107.0</v>
      </c>
      <c r="C3787" s="37">
        <v>22.406362</v>
      </c>
      <c r="D3787" s="37">
        <v>-84.593638</v>
      </c>
    </row>
    <row r="3788" ht="14.25" customHeight="1">
      <c r="A3788" s="4" t="s">
        <v>679</v>
      </c>
      <c r="B3788" s="37">
        <v>110.0</v>
      </c>
      <c r="C3788" s="37">
        <v>24.004159</v>
      </c>
      <c r="D3788" s="37">
        <v>-85.995841</v>
      </c>
    </row>
    <row r="3789" ht="14.25" customHeight="1">
      <c r="A3789" s="4" t="s">
        <v>679</v>
      </c>
      <c r="B3789" s="37">
        <v>110.0</v>
      </c>
      <c r="C3789" s="37">
        <v>24.004159</v>
      </c>
      <c r="D3789" s="37">
        <v>-85.995841</v>
      </c>
    </row>
    <row r="3790" ht="14.25" customHeight="1">
      <c r="A3790" s="4" t="s">
        <v>230</v>
      </c>
      <c r="B3790" s="37">
        <v>175.0</v>
      </c>
      <c r="C3790" s="37">
        <v>88.24622</v>
      </c>
      <c r="D3790" s="37">
        <v>-86.75378</v>
      </c>
    </row>
    <row r="3791" ht="14.25" customHeight="1">
      <c r="A3791" s="4" t="s">
        <v>302</v>
      </c>
      <c r="B3791" s="37">
        <v>150.0</v>
      </c>
      <c r="C3791" s="37">
        <v>63.143812</v>
      </c>
      <c r="D3791" s="37">
        <v>-86.856188</v>
      </c>
    </row>
    <row r="3792" ht="14.25" customHeight="1">
      <c r="A3792" s="4" t="s">
        <v>877</v>
      </c>
      <c r="B3792" s="37">
        <v>98.0</v>
      </c>
      <c r="C3792" s="37">
        <v>11.0</v>
      </c>
      <c r="D3792" s="37">
        <v>-87.0</v>
      </c>
    </row>
    <row r="3793" ht="14.25" customHeight="1">
      <c r="A3793" s="4" t="s">
        <v>475</v>
      </c>
      <c r="B3793" s="37">
        <v>140.0</v>
      </c>
      <c r="C3793" s="37">
        <v>52.792307</v>
      </c>
      <c r="D3793" s="37">
        <v>-87.207693</v>
      </c>
    </row>
    <row r="3794" ht="14.25" customHeight="1">
      <c r="A3794" s="4" t="s">
        <v>381</v>
      </c>
      <c r="B3794" s="37">
        <v>150.0</v>
      </c>
      <c r="C3794" s="37">
        <v>61.937495</v>
      </c>
      <c r="D3794" s="37">
        <v>-88.062505</v>
      </c>
    </row>
    <row r="3795" ht="14.25" customHeight="1">
      <c r="A3795" s="4" t="s">
        <v>166</v>
      </c>
      <c r="B3795" s="37">
        <v>190.0</v>
      </c>
      <c r="C3795" s="37">
        <v>101.785482</v>
      </c>
      <c r="D3795" s="37">
        <v>-88.214518</v>
      </c>
    </row>
    <row r="3796" ht="14.25" customHeight="1">
      <c r="A3796" s="4" t="s">
        <v>5403</v>
      </c>
      <c r="B3796" s="37">
        <v>100.0</v>
      </c>
      <c r="C3796" s="37">
        <v>11.041228</v>
      </c>
      <c r="D3796" s="37">
        <v>-88.958772</v>
      </c>
    </row>
    <row r="3797" ht="14.25" customHeight="1">
      <c r="A3797" s="4" t="s">
        <v>595</v>
      </c>
      <c r="B3797" s="37">
        <v>120.0</v>
      </c>
      <c r="C3797" s="37">
        <v>30.21262</v>
      </c>
      <c r="D3797" s="37">
        <v>-89.78738</v>
      </c>
    </row>
    <row r="3798" ht="14.25" customHeight="1">
      <c r="A3798" s="4" t="s">
        <v>971</v>
      </c>
      <c r="B3798" s="37">
        <v>90.0</v>
      </c>
      <c r="C3798" s="37">
        <v>0.190562</v>
      </c>
      <c r="D3798" s="37">
        <v>-89.809438</v>
      </c>
    </row>
    <row r="3799" ht="14.25" customHeight="1">
      <c r="A3799" s="4" t="s">
        <v>697</v>
      </c>
      <c r="B3799" s="37">
        <v>126.0</v>
      </c>
      <c r="C3799" s="37">
        <v>35.799026</v>
      </c>
      <c r="D3799" s="37">
        <v>-90.200974</v>
      </c>
    </row>
    <row r="3800" ht="14.25" customHeight="1">
      <c r="A3800" s="4" t="s">
        <v>697</v>
      </c>
      <c r="B3800" s="37">
        <v>126.0</v>
      </c>
      <c r="C3800" s="37">
        <v>35.799026</v>
      </c>
      <c r="D3800" s="37">
        <v>-90.200974</v>
      </c>
    </row>
    <row r="3801" ht="14.25" customHeight="1">
      <c r="A3801" s="4" t="s">
        <v>949</v>
      </c>
      <c r="B3801" s="37">
        <v>92.0</v>
      </c>
      <c r="C3801" s="37">
        <v>0.026871</v>
      </c>
      <c r="D3801" s="37">
        <v>-91.973129</v>
      </c>
    </row>
    <row r="3802" ht="14.25" customHeight="1">
      <c r="A3802" s="4" t="s">
        <v>307</v>
      </c>
      <c r="B3802" s="37">
        <v>170.0</v>
      </c>
      <c r="C3802" s="37">
        <v>76.846624</v>
      </c>
      <c r="D3802" s="37">
        <v>-93.153376</v>
      </c>
    </row>
    <row r="3803" ht="14.25" customHeight="1">
      <c r="A3803" s="4" t="s">
        <v>815</v>
      </c>
      <c r="B3803" s="37">
        <v>94.0</v>
      </c>
      <c r="C3803" s="37">
        <v>0.009213</v>
      </c>
      <c r="D3803" s="37">
        <v>-93.990787</v>
      </c>
    </row>
    <row r="3804" ht="14.25" customHeight="1">
      <c r="A3804" s="4" t="s">
        <v>83</v>
      </c>
      <c r="B3804" s="37">
        <v>200.0</v>
      </c>
      <c r="C3804" s="37">
        <v>105.219735</v>
      </c>
      <c r="D3804" s="37">
        <v>-94.780265</v>
      </c>
    </row>
    <row r="3805" ht="14.25" customHeight="1">
      <c r="A3805" s="4" t="s">
        <v>799</v>
      </c>
      <c r="B3805" s="37">
        <v>100.0</v>
      </c>
      <c r="C3805" s="37">
        <v>4.411102</v>
      </c>
      <c r="D3805" s="37">
        <v>-95.588898</v>
      </c>
    </row>
    <row r="3806" ht="14.25" customHeight="1">
      <c r="A3806" s="4" t="s">
        <v>211</v>
      </c>
      <c r="B3806" s="37">
        <v>170.0</v>
      </c>
      <c r="C3806" s="37">
        <v>73.820094</v>
      </c>
      <c r="D3806" s="37">
        <v>-96.179906</v>
      </c>
    </row>
    <row r="3807" ht="14.25" customHeight="1">
      <c r="A3807" s="4" t="s">
        <v>528</v>
      </c>
      <c r="B3807" s="37">
        <v>130.0</v>
      </c>
      <c r="C3807" s="37">
        <v>33.592415</v>
      </c>
      <c r="D3807" s="37">
        <v>-96.407585</v>
      </c>
    </row>
    <row r="3808" ht="14.25" customHeight="1">
      <c r="A3808" s="4" t="s">
        <v>261</v>
      </c>
      <c r="B3808" s="37">
        <v>190.0</v>
      </c>
      <c r="C3808" s="37">
        <v>93.417865</v>
      </c>
      <c r="D3808" s="37">
        <v>-96.582135</v>
      </c>
    </row>
    <row r="3809" ht="14.25" customHeight="1">
      <c r="A3809" s="4" t="s">
        <v>5258</v>
      </c>
      <c r="B3809" s="37">
        <v>100.0</v>
      </c>
      <c r="C3809" s="37">
        <v>3.05838</v>
      </c>
      <c r="D3809" s="37">
        <v>-96.94162</v>
      </c>
    </row>
    <row r="3810" ht="14.25" customHeight="1">
      <c r="A3810" s="4" t="s">
        <v>305</v>
      </c>
      <c r="B3810" s="37">
        <v>160.0</v>
      </c>
      <c r="C3810" s="37">
        <v>60.655503</v>
      </c>
      <c r="D3810" s="37">
        <v>-99.344497</v>
      </c>
    </row>
    <row r="3811" ht="14.25" customHeight="1">
      <c r="A3811" s="4" t="s">
        <v>780</v>
      </c>
      <c r="B3811" s="37">
        <v>140.0</v>
      </c>
      <c r="C3811" s="37">
        <v>38.120554</v>
      </c>
      <c r="D3811" s="37">
        <v>-101.879446</v>
      </c>
    </row>
    <row r="3812" ht="14.25" customHeight="1">
      <c r="A3812" s="4" t="s">
        <v>5156</v>
      </c>
      <c r="B3812" s="37">
        <v>103.0</v>
      </c>
      <c r="C3812" s="37">
        <v>0.274299</v>
      </c>
      <c r="D3812" s="37">
        <v>-102.725701</v>
      </c>
    </row>
    <row r="3813" ht="14.25" customHeight="1">
      <c r="A3813" s="4" t="s">
        <v>442</v>
      </c>
      <c r="B3813" s="37">
        <v>135.0</v>
      </c>
      <c r="C3813" s="37">
        <v>31.704416</v>
      </c>
      <c r="D3813" s="37">
        <v>-103.295584</v>
      </c>
    </row>
    <row r="3814" ht="14.25" customHeight="1">
      <c r="A3814" s="4" t="s">
        <v>458</v>
      </c>
      <c r="B3814" s="37">
        <v>137.0</v>
      </c>
      <c r="C3814" s="37">
        <v>32.13183</v>
      </c>
      <c r="D3814" s="37">
        <v>-104.86817</v>
      </c>
    </row>
    <row r="3815" ht="14.25" customHeight="1">
      <c r="A3815" s="4" t="s">
        <v>440</v>
      </c>
      <c r="B3815" s="37">
        <v>140.0</v>
      </c>
      <c r="C3815" s="37">
        <v>31.141074</v>
      </c>
      <c r="D3815" s="37">
        <v>-108.858926</v>
      </c>
    </row>
    <row r="3816" ht="14.25" customHeight="1">
      <c r="A3816" s="4" t="s">
        <v>163</v>
      </c>
      <c r="B3816" s="37">
        <v>200.0</v>
      </c>
      <c r="C3816" s="37">
        <v>90.755643</v>
      </c>
      <c r="D3816" s="37">
        <v>-109.244357</v>
      </c>
    </row>
    <row r="3817" ht="14.25" customHeight="1">
      <c r="A3817" s="4" t="s">
        <v>88</v>
      </c>
      <c r="B3817" s="37">
        <v>180.0</v>
      </c>
      <c r="C3817" s="37">
        <v>70.083519</v>
      </c>
      <c r="D3817" s="37">
        <v>-109.916481</v>
      </c>
    </row>
    <row r="3818" ht="14.25" customHeight="1">
      <c r="A3818" s="4" t="s">
        <v>672</v>
      </c>
      <c r="B3818" s="37">
        <v>160.0</v>
      </c>
      <c r="C3818" s="37">
        <v>48.068396</v>
      </c>
      <c r="D3818" s="37">
        <v>-111.931604</v>
      </c>
    </row>
    <row r="3819" ht="14.25" customHeight="1">
      <c r="A3819" s="4" t="s">
        <v>313</v>
      </c>
      <c r="B3819" s="37">
        <v>160.0</v>
      </c>
      <c r="C3819" s="37">
        <v>46.978995</v>
      </c>
      <c r="D3819" s="37">
        <v>-113.021005</v>
      </c>
    </row>
    <row r="3820" ht="14.25" customHeight="1">
      <c r="A3820" s="4" t="s">
        <v>400</v>
      </c>
      <c r="B3820" s="37">
        <v>150.0</v>
      </c>
      <c r="C3820" s="37">
        <v>34.964818</v>
      </c>
      <c r="D3820" s="37">
        <v>-115.035182</v>
      </c>
    </row>
    <row r="3821" ht="14.25" customHeight="1">
      <c r="A3821" s="4" t="s">
        <v>400</v>
      </c>
      <c r="B3821" s="37">
        <v>150.0</v>
      </c>
      <c r="C3821" s="37">
        <v>34.964818</v>
      </c>
      <c r="D3821" s="37">
        <v>-115.035182</v>
      </c>
    </row>
    <row r="3822" ht="14.25" customHeight="1">
      <c r="A3822" s="4" t="s">
        <v>327</v>
      </c>
      <c r="B3822" s="37">
        <v>155.0</v>
      </c>
      <c r="C3822" s="37">
        <v>34.293771</v>
      </c>
      <c r="D3822" s="37">
        <v>-120.706229</v>
      </c>
    </row>
    <row r="3823" ht="14.25" customHeight="1">
      <c r="A3823" s="4" t="s">
        <v>60</v>
      </c>
      <c r="B3823" s="37">
        <v>215.0</v>
      </c>
      <c r="C3823" s="37">
        <v>89.28991</v>
      </c>
      <c r="D3823" s="37">
        <v>-125.71009</v>
      </c>
    </row>
    <row r="3824" ht="14.25" customHeight="1">
      <c r="A3824" s="4" t="s">
        <v>396</v>
      </c>
      <c r="B3824" s="37">
        <v>150.0</v>
      </c>
      <c r="C3824" s="37">
        <v>21.379315</v>
      </c>
      <c r="D3824" s="37">
        <v>-128.620685</v>
      </c>
    </row>
    <row r="3825" ht="14.25" customHeight="1">
      <c r="A3825" s="4" t="s">
        <v>192</v>
      </c>
      <c r="B3825" s="37">
        <v>176.0</v>
      </c>
      <c r="C3825" s="37">
        <v>47.375327</v>
      </c>
      <c r="D3825" s="37">
        <v>-128.624673</v>
      </c>
    </row>
    <row r="3826" ht="14.25" customHeight="1">
      <c r="A3826" s="4" t="s">
        <v>158</v>
      </c>
      <c r="B3826" s="37">
        <v>195.0</v>
      </c>
      <c r="C3826" s="37">
        <v>65.17186</v>
      </c>
      <c r="D3826" s="37">
        <v>-129.82814</v>
      </c>
    </row>
    <row r="3827" ht="14.25" customHeight="1">
      <c r="A3827" s="4" t="s">
        <v>253</v>
      </c>
      <c r="B3827" s="37">
        <v>175.0</v>
      </c>
      <c r="C3827" s="37">
        <v>38.297305</v>
      </c>
      <c r="D3827" s="37">
        <v>-136.702695</v>
      </c>
    </row>
    <row r="3828" ht="14.25" customHeight="1">
      <c r="A3828" s="4" t="s">
        <v>4438</v>
      </c>
      <c r="B3828" s="37">
        <v>140.0</v>
      </c>
      <c r="C3828" s="37">
        <v>0.146072</v>
      </c>
      <c r="D3828" s="37">
        <v>-139.853928</v>
      </c>
    </row>
    <row r="3829" ht="14.25" customHeight="1">
      <c r="A3829" s="4" t="s">
        <v>101</v>
      </c>
      <c r="B3829" s="37">
        <v>209.0</v>
      </c>
      <c r="C3829" s="37">
        <v>65.17316</v>
      </c>
      <c r="D3829" s="37">
        <v>-143.82684</v>
      </c>
    </row>
    <row r="3830" ht="14.25" customHeight="1">
      <c r="A3830" s="4" t="s">
        <v>3522</v>
      </c>
      <c r="B3830" s="37">
        <v>160.0</v>
      </c>
      <c r="C3830" s="37">
        <v>10.762178</v>
      </c>
      <c r="D3830" s="37">
        <v>-149.237822</v>
      </c>
    </row>
    <row r="3831" ht="14.25" customHeight="1">
      <c r="A3831" s="4" t="s">
        <v>6595</v>
      </c>
      <c r="B3831" s="37">
        <v>150.0</v>
      </c>
      <c r="C3831" s="37">
        <v>0.199228</v>
      </c>
      <c r="D3831" s="37">
        <v>-149.800772</v>
      </c>
    </row>
    <row r="3832" ht="14.25" customHeight="1">
      <c r="A3832" s="4" t="s">
        <v>271</v>
      </c>
      <c r="B3832" s="37">
        <v>165.0</v>
      </c>
      <c r="C3832" s="37">
        <v>0.665426</v>
      </c>
      <c r="D3832" s="37">
        <v>-164.334574</v>
      </c>
    </row>
    <row r="3833" ht="14.25" customHeight="1">
      <c r="A3833" s="4" t="s">
        <v>6333</v>
      </c>
      <c r="B3833" s="37">
        <v>200.0</v>
      </c>
      <c r="C3833" s="37">
        <v>11.905519</v>
      </c>
      <c r="D3833" s="37">
        <v>-188.094481</v>
      </c>
    </row>
    <row r="3834" ht="14.25" customHeight="1">
      <c r="A3834" s="4" t="s">
        <v>32</v>
      </c>
      <c r="B3834" s="37">
        <v>263.7</v>
      </c>
      <c r="C3834" s="37">
        <v>73.058679</v>
      </c>
      <c r="D3834" s="37">
        <v>-190.641321</v>
      </c>
      <c r="F3834" s="45">
        <f>MAX(D:D)</f>
        <v>523.505847</v>
      </c>
      <c r="G3834" s="46" t="s">
        <v>7831</v>
      </c>
    </row>
    <row r="3835" ht="14.25" customHeight="1">
      <c r="A3835" s="4" t="s">
        <v>5058</v>
      </c>
      <c r="B3835" s="37">
        <v>300.0</v>
      </c>
      <c r="C3835" s="37">
        <v>0.102055</v>
      </c>
      <c r="D3835" s="37">
        <v>-299.897945</v>
      </c>
    </row>
    <row r="3836" ht="14.25" customHeight="1">
      <c r="A3836" s="4" t="s">
        <v>2175</v>
      </c>
      <c r="B3836" s="37">
        <v>390.0</v>
      </c>
      <c r="C3836" s="37">
        <v>14.131298</v>
      </c>
      <c r="D3836" s="37">
        <v>-375.868702</v>
      </c>
    </row>
    <row r="3837" ht="14.25" customHeight="1">
      <c r="A3837" s="4" t="s">
        <v>5880</v>
      </c>
      <c r="B3837" s="37">
        <v>400.0</v>
      </c>
      <c r="C3837" s="37">
        <v>0.454255</v>
      </c>
      <c r="D3837" s="37">
        <v>-399.545745</v>
      </c>
    </row>
    <row r="3838" ht="14.25" customHeight="1">
      <c r="A3838" s="4" t="s">
        <v>2771</v>
      </c>
      <c r="B3838" s="37">
        <v>553.632</v>
      </c>
      <c r="C3838" s="37">
        <v>0.626809</v>
      </c>
      <c r="D3838" s="37">
        <v>-553.005191</v>
      </c>
    </row>
    <row r="3839" ht="14.25" customHeight="1">
      <c r="A3839" s="4" t="s">
        <v>5839</v>
      </c>
      <c r="B3839" s="37">
        <v>600.0</v>
      </c>
      <c r="C3839" s="37">
        <v>1.602466</v>
      </c>
      <c r="D3839" s="37">
        <v>-598.397534</v>
      </c>
    </row>
    <row r="3840" ht="14.25" customHeight="1">
      <c r="A3840" s="4" t="s">
        <v>5554</v>
      </c>
      <c r="B3840" s="37">
        <v>700.0</v>
      </c>
      <c r="C3840" s="37">
        <v>3.275443</v>
      </c>
      <c r="D3840" s="37">
        <v>-696.724557</v>
      </c>
    </row>
    <row r="3841" ht="14.25" customHeight="1">
      <c r="A3841" s="4" t="s">
        <v>6568</v>
      </c>
      <c r="B3841" s="37">
        <v>700.0</v>
      </c>
      <c r="C3841" s="37">
        <v>1.687311</v>
      </c>
      <c r="D3841" s="37">
        <v>-698.312689</v>
      </c>
    </row>
    <row r="3842" ht="14.25" customHeight="1">
      <c r="A3842" s="4" t="s">
        <v>7295</v>
      </c>
      <c r="B3842" s="37">
        <v>1000.0</v>
      </c>
      <c r="C3842" s="37">
        <v>10.03739</v>
      </c>
      <c r="D3842" s="37">
        <v>-989.96261</v>
      </c>
    </row>
    <row r="3843" ht="14.25" customHeight="1">
      <c r="A3843" s="4" t="s">
        <v>6023</v>
      </c>
      <c r="B3843" s="37">
        <v>1100.0</v>
      </c>
      <c r="C3843" s="37">
        <v>0.439162</v>
      </c>
      <c r="D3843" s="37">
        <v>-1099.560838</v>
      </c>
    </row>
    <row r="3844" ht="14.25" customHeight="1">
      <c r="A3844" s="4" t="s">
        <v>4431</v>
      </c>
      <c r="B3844" s="37">
        <v>2127.519898</v>
      </c>
      <c r="C3844" s="37">
        <v>0.410388</v>
      </c>
      <c r="D3844" s="37">
        <v>-2127.10951</v>
      </c>
    </row>
    <row r="3845" ht="14.25" customHeight="1">
      <c r="A3845" s="4" t="s">
        <v>4406</v>
      </c>
      <c r="B3845" s="37">
        <v>2400.0</v>
      </c>
      <c r="C3845" s="37">
        <v>2.298191</v>
      </c>
      <c r="D3845" s="37">
        <v>-2397.701809</v>
      </c>
    </row>
    <row r="3846" ht="14.25" customHeight="1">
      <c r="A3846" s="4" t="s">
        <v>5464</v>
      </c>
      <c r="B3846" s="37">
        <v>2500.0</v>
      </c>
      <c r="C3846" s="37">
        <v>0.195888</v>
      </c>
      <c r="D3846" s="37">
        <v>-2499.804112</v>
      </c>
    </row>
    <row r="3847" ht="14.25" customHeight="1">
      <c r="A3847" s="4" t="s">
        <v>6578</v>
      </c>
      <c r="B3847" s="37">
        <v>4200.0</v>
      </c>
      <c r="C3847" s="37">
        <v>0.211667</v>
      </c>
      <c r="D3847" s="37">
        <v>-4199.788333</v>
      </c>
    </row>
    <row r="3848" ht="14.25" customHeight="1">
      <c r="A3848" s="4" t="s">
        <v>2154</v>
      </c>
      <c r="B3848" s="37">
        <v>12215.5</v>
      </c>
      <c r="C3848" s="37">
        <v>2.201412</v>
      </c>
      <c r="D3848" s="37">
        <v>-12213.298588</v>
      </c>
    </row>
  </sheetData>
  <autoFilter ref="$D$1:$D$3848">
    <sortState ref="D1:D3848">
      <sortCondition descending="1" ref="D1:D3848"/>
    </sortState>
  </autoFilter>
  <printOptions/>
  <pageMargins bottom="0.75" footer="0.0" header="0.0" left="0.7" right="0.7" top="0.75"/>
  <pageSetup orientation="landscape"/>
  <drawing r:id="rId1"/>
  <tableParts count="1">
    <tablePart r:id="rId3"/>
  </tableParts>
</worksheet>
</file>