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<sst xmlns="http://schemas.openxmlformats.org/spreadsheetml/2006/main" count="285" uniqueCount="56">
  <si>
    <t>ANDHRA PRADESH</t>
  </si>
  <si>
    <t>*1.6*66.4/10000</t>
  </si>
  <si>
    <t>BIHAR</t>
  </si>
  <si>
    <t>RURAL</t>
  </si>
  <si>
    <t>URBAN</t>
  </si>
  <si>
    <t>TOTAL</t>
  </si>
  <si>
    <t>rural min</t>
  </si>
  <si>
    <t>rural max</t>
  </si>
  <si>
    <t>urban min</t>
  </si>
  <si>
    <t>urban max</t>
  </si>
  <si>
    <t>total population</t>
  </si>
  <si>
    <t>rural</t>
  </si>
  <si>
    <t>urban</t>
  </si>
  <si>
    <t>ARUNACHAL PRADESH</t>
  </si>
  <si>
    <t>CHATTISGARH</t>
  </si>
  <si>
    <t>GOA</t>
  </si>
  <si>
    <t>ASSAM</t>
  </si>
  <si>
    <t>HARYANA</t>
  </si>
  <si>
    <t>RURAL MIN</t>
  </si>
  <si>
    <t>RURAL MAX</t>
  </si>
  <si>
    <t>URBAN MIN</t>
  </si>
  <si>
    <t>URBAN MAX</t>
  </si>
  <si>
    <t>GUJARAT</t>
  </si>
  <si>
    <t>HIMACHAL</t>
  </si>
  <si>
    <t>JHARKAND</t>
  </si>
  <si>
    <t>KARNATAKA</t>
  </si>
  <si>
    <t>MAHARASHTRA</t>
  </si>
  <si>
    <t>KERALA</t>
  </si>
  <si>
    <t>CVD _RURAL MIN</t>
  </si>
  <si>
    <t>CVD_RURAL MAX</t>
  </si>
  <si>
    <t>CVD_URBAN MIN</t>
  </si>
  <si>
    <t>CVD_URBAN MAX</t>
  </si>
  <si>
    <t>MANIPUR</t>
  </si>
  <si>
    <t>MADHYA PRADESH</t>
  </si>
  <si>
    <t>MEGHALAYA</t>
  </si>
  <si>
    <t>MIZORAM</t>
  </si>
  <si>
    <t>nagaland</t>
  </si>
  <si>
    <t>odisha</t>
  </si>
  <si>
    <t>punjab</t>
  </si>
  <si>
    <t>rajasthan</t>
  </si>
  <si>
    <t>sikkim</t>
  </si>
  <si>
    <t>TN</t>
  </si>
  <si>
    <t>Telangana</t>
  </si>
  <si>
    <t>telangana population</t>
  </si>
  <si>
    <t>(andhra+telangana)</t>
  </si>
  <si>
    <t>tripura</t>
  </si>
  <si>
    <t>uttrakhand</t>
  </si>
  <si>
    <t>up</t>
  </si>
  <si>
    <t>wb</t>
  </si>
  <si>
    <t>and nic</t>
  </si>
  <si>
    <t>chandigarh</t>
  </si>
  <si>
    <t>dn haveli</t>
  </si>
  <si>
    <t>jk</t>
  </si>
  <si>
    <t>daman diu</t>
  </si>
  <si>
    <t>puducherry</t>
  </si>
  <si>
    <t>daman diu+ dnh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</si>
</sst>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666666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thin">
        <color rgb="FFDDDDDD"/>
      </bottom>
    </border>
    <border>
      <right style="thin">
        <color rgb="FFE9E9E9"/>
      </right>
      <bottom style="thin">
        <color rgb="FFDDDDDD"/>
      </bottom>
    </border>
    <border>
      <right style="thin">
        <color rgb="FFE9E9E9"/>
      </right>
      <bottom style="thin">
        <color rgb="FFE9E9E9"/>
      </bottom>
    </border>
    <border>
      <right style="thin">
        <color rgb="FFE9E9E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E9E9E9"/>
      </right>
      <top style="thin">
        <color rgb="FFDDDDDD"/>
      </top>
      <bottom style="thin">
        <color rgb="FFE9E9E9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2" fillId="2" fontId="2" numFmtId="0" xfId="0" applyAlignment="1" applyBorder="1" applyFill="1" applyFont="1">
      <alignment horizontal="center" vertical="top"/>
    </xf>
    <xf borderId="2" fillId="2" fontId="2" numFmtId="3" xfId="0" applyAlignment="1" applyBorder="1" applyFont="1" applyNumberFormat="1">
      <alignment horizontal="center" vertical="top"/>
    </xf>
    <xf borderId="0" fillId="0" fontId="1" numFmtId="0" xfId="0" applyAlignment="1" applyFont="1">
      <alignment horizontal="right" vertical="bottom"/>
    </xf>
    <xf borderId="2" fillId="2" fontId="2" numFmtId="164" xfId="0" applyAlignment="1" applyBorder="1" applyFont="1" applyNumberFormat="1">
      <alignment horizontal="center" vertical="top"/>
    </xf>
    <xf borderId="3" fillId="2" fontId="2" numFmtId="0" xfId="0" applyAlignment="1" applyBorder="1" applyFont="1">
      <alignment horizontal="center" vertical="top"/>
    </xf>
    <xf borderId="3" fillId="2" fontId="2" numFmtId="3" xfId="0" applyAlignment="1" applyBorder="1" applyFont="1" applyNumberFormat="1">
      <alignment horizontal="center" vertical="top"/>
    </xf>
    <xf borderId="4" fillId="2" fontId="2" numFmtId="164" xfId="0" applyAlignment="1" applyBorder="1" applyFont="1" applyNumberFormat="1">
      <alignment horizontal="center" vertical="top"/>
    </xf>
    <xf borderId="3" fillId="2" fontId="2" numFmtId="164" xfId="0" applyAlignment="1" applyBorder="1" applyFont="1" applyNumberFormat="1">
      <alignment horizontal="center" vertical="top"/>
    </xf>
    <xf borderId="0" fillId="0" fontId="1" numFmtId="0" xfId="0" applyAlignment="1" applyFont="1">
      <alignment shrinkToFit="0" vertical="bottom" wrapText="0"/>
    </xf>
    <xf borderId="2" fillId="2" fontId="2" numFmtId="0" xfId="0" applyAlignment="1" applyBorder="1" applyFont="1">
      <alignment horizontal="center" readingOrder="0" vertical="top"/>
    </xf>
    <xf borderId="2" fillId="2" fontId="2" numFmtId="164" xfId="0" applyAlignment="1" applyBorder="1" applyFont="1" applyNumberFormat="1">
      <alignment horizontal="center" readingOrder="0" vertical="top"/>
    </xf>
    <xf borderId="4" fillId="2" fontId="2" numFmtId="164" xfId="0" applyAlignment="1" applyBorder="1" applyFont="1" applyNumberFormat="1">
      <alignment horizontal="center" readingOrder="0" vertical="top"/>
    </xf>
    <xf borderId="0" fillId="0" fontId="1" numFmtId="0" xfId="0" applyAlignment="1" applyFont="1">
      <alignment readingOrder="0" vertical="bottom"/>
    </xf>
    <xf borderId="0" fillId="2" fontId="2" numFmtId="164" xfId="0" applyAlignment="1" applyFont="1" applyNumberFormat="1">
      <alignment horizontal="center" vertical="top"/>
    </xf>
    <xf borderId="2" fillId="2" fontId="2" numFmtId="165" xfId="0" applyAlignment="1" applyBorder="1" applyFont="1" applyNumberFormat="1">
      <alignment horizontal="center" vertical="top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7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8" fillId="2" fontId="2" numFmtId="3" xfId="0" applyAlignment="1" applyBorder="1" applyFont="1" applyNumberFormat="1">
      <alignment horizontal="center" readingOrder="0" vertical="top"/>
    </xf>
    <xf borderId="0" fillId="0" fontId="5" numFmtId="165" xfId="0" applyFont="1" applyNumberFormat="1"/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horizontal="center" vertical="top"/>
    </xf>
    <xf borderId="8" fillId="2" fontId="2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vertical="top"/>
    </xf>
    <xf borderId="2" fillId="2" fontId="4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3" fillId="2" fontId="4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vertical="bottom"/>
    </xf>
    <xf borderId="3" fillId="2" fontId="2" numFmtId="165" xfId="0" applyAlignment="1" applyBorder="1" applyFont="1" applyNumberFormat="1">
      <alignment horizontal="center" vertical="top"/>
    </xf>
    <xf borderId="0" fillId="0" fontId="1" numFmtId="165" xfId="0" applyAlignment="1" applyFont="1" applyNumberForma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8.88"/>
    <col customWidth="1" min="4" max="4" width="17.38"/>
    <col customWidth="1" min="5" max="5" width="16.13"/>
    <col customWidth="1" min="6" max="6" width="15.63"/>
    <col customWidth="1" min="13" max="13" width="17.13"/>
    <col customWidth="1" min="14" max="14" width="14.25"/>
    <col customWidth="1" min="15" max="15" width="13.63"/>
    <col customWidth="1" min="16" max="16" width="16.13"/>
    <col customWidth="1" min="22" max="22" width="19.0"/>
    <col customWidth="1" min="23" max="23" width="16.88"/>
    <col customWidth="1" min="24" max="24" width="17.13"/>
    <col customWidth="1" min="25" max="25" width="17.5"/>
  </cols>
  <sheetData>
    <row r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 t="s">
        <v>0</v>
      </c>
      <c r="C3" s="1"/>
      <c r="D3" s="2"/>
      <c r="E3" s="2"/>
      <c r="F3" s="2"/>
      <c r="G3" s="1" t="s">
        <v>1</v>
      </c>
      <c r="H3" s="1"/>
      <c r="I3" s="1"/>
      <c r="J3" s="1"/>
      <c r="K3" s="1"/>
      <c r="L3" s="3" t="s">
        <v>2</v>
      </c>
      <c r="M3" s="4" t="s">
        <v>3</v>
      </c>
      <c r="N3" s="4"/>
      <c r="O3" s="4" t="s">
        <v>4</v>
      </c>
      <c r="P3" s="4" t="s">
        <v>5</v>
      </c>
      <c r="Q3" s="3" t="s">
        <v>6</v>
      </c>
      <c r="R3" s="1" t="s">
        <v>7</v>
      </c>
      <c r="S3" s="1" t="s">
        <v>8</v>
      </c>
      <c r="T3" s="1" t="s">
        <v>9</v>
      </c>
      <c r="U3" s="1"/>
      <c r="V3" s="1"/>
      <c r="W3" s="1"/>
      <c r="X3" s="1"/>
      <c r="Y3" s="1"/>
    </row>
    <row r="4">
      <c r="A4" s="1"/>
      <c r="B4" s="3"/>
      <c r="C4" s="4" t="s">
        <v>10</v>
      </c>
      <c r="D4" s="5"/>
      <c r="E4" s="5" t="s">
        <v>11</v>
      </c>
      <c r="F4" s="5" t="s">
        <v>12</v>
      </c>
      <c r="G4" s="3" t="s">
        <v>6</v>
      </c>
      <c r="H4" s="1" t="s">
        <v>7</v>
      </c>
      <c r="I4" s="1" t="s">
        <v>8</v>
      </c>
      <c r="J4" s="1" t="s">
        <v>9</v>
      </c>
      <c r="K4" s="1"/>
      <c r="L4" s="6">
        <v>2015.0</v>
      </c>
      <c r="M4" s="6">
        <f t="shared" ref="M4:M10" si="1">88.71*P4/100</f>
        <v>101867733.3</v>
      </c>
      <c r="N4" s="6"/>
      <c r="O4" s="6">
        <f t="shared" ref="O4:O10" si="2">11.29*P4/100</f>
        <v>12964566.67</v>
      </c>
      <c r="P4" s="7">
        <v>1.148323E8</v>
      </c>
      <c r="Q4" s="6">
        <f t="shared" ref="Q4:Q10" si="3">P4*88.71*1.6/10000</f>
        <v>1629883.733</v>
      </c>
      <c r="R4" s="8">
        <f t="shared" ref="R4:R10" si="4">P4*88.71*7.4/10000</f>
        <v>7538212.266</v>
      </c>
      <c r="S4" s="8">
        <f t="shared" ref="S4:S10" si="5">P4*11.29*1/10000</f>
        <v>129645.6667</v>
      </c>
      <c r="T4" s="8">
        <f t="shared" ref="T4:T10" si="6">P4*13.2*11.29/10000</f>
        <v>1711322.8</v>
      </c>
      <c r="U4" s="1"/>
      <c r="V4" s="1"/>
      <c r="W4" s="1"/>
      <c r="X4" s="1"/>
      <c r="Y4" s="1"/>
    </row>
    <row r="5">
      <c r="A5" s="1"/>
      <c r="B5" s="6">
        <v>2015.0</v>
      </c>
      <c r="C5" s="7">
        <v>8.7840571E7</v>
      </c>
      <c r="D5" s="9"/>
      <c r="E5" s="9">
        <f t="shared" ref="E5:E11" si="7">66.64*C5/100</f>
        <v>58536956.51</v>
      </c>
      <c r="F5" s="9">
        <f t="shared" ref="F5:F11" si="8">33.36*C5/100</f>
        <v>29303614.49</v>
      </c>
      <c r="G5" s="6">
        <f t="shared" ref="G5:G11" si="9">C5*1.6*66.4/10000</f>
        <v>933218.2263</v>
      </c>
      <c r="H5" s="8">
        <f t="shared" ref="H5:H11" si="10">C5*7.4*66.4/10000</f>
        <v>4316134.297</v>
      </c>
      <c r="I5" s="8">
        <f t="shared" ref="I5:I11" si="11">C5*33.36*1/10000</f>
        <v>293036.1449</v>
      </c>
      <c r="J5" s="8">
        <f t="shared" ref="J5:J11" si="12">C5*33.36*13.2/10000</f>
        <v>3868077.112</v>
      </c>
      <c r="K5" s="1"/>
      <c r="L5" s="6">
        <v>2016.0</v>
      </c>
      <c r="M5" s="6">
        <f t="shared" si="1"/>
        <v>104272406.8</v>
      </c>
      <c r="N5" s="6"/>
      <c r="O5" s="6">
        <f t="shared" si="2"/>
        <v>13270606.17</v>
      </c>
      <c r="P5" s="7">
        <v>1.17543013E8</v>
      </c>
      <c r="Q5" s="6">
        <f t="shared" si="3"/>
        <v>1668358.509</v>
      </c>
      <c r="R5" s="8">
        <f t="shared" si="4"/>
        <v>7716158.106</v>
      </c>
      <c r="S5" s="8">
        <f t="shared" si="5"/>
        <v>132706.0617</v>
      </c>
      <c r="T5" s="8">
        <f t="shared" si="6"/>
        <v>1751720.014</v>
      </c>
      <c r="U5" s="1"/>
      <c r="V5" s="1"/>
      <c r="W5" s="1"/>
      <c r="X5" s="1"/>
      <c r="Y5" s="1"/>
    </row>
    <row r="6">
      <c r="A6" s="1"/>
      <c r="B6" s="6">
        <v>2016.0</v>
      </c>
      <c r="C6" s="7">
        <v>8.8633668E7</v>
      </c>
      <c r="D6" s="9"/>
      <c r="E6" s="9">
        <f t="shared" si="7"/>
        <v>59065476.36</v>
      </c>
      <c r="F6" s="9">
        <f t="shared" si="8"/>
        <v>29568191.64</v>
      </c>
      <c r="G6" s="6">
        <f t="shared" si="9"/>
        <v>941644.0888</v>
      </c>
      <c r="H6" s="8">
        <f t="shared" si="10"/>
        <v>4355103.911</v>
      </c>
      <c r="I6" s="8">
        <f t="shared" si="11"/>
        <v>295681.9164</v>
      </c>
      <c r="J6" s="8">
        <f t="shared" si="12"/>
        <v>3903001.297</v>
      </c>
      <c r="K6" s="1"/>
      <c r="L6" s="6">
        <v>2017.0</v>
      </c>
      <c r="M6" s="6">
        <f t="shared" si="1"/>
        <v>106684616.2</v>
      </c>
      <c r="N6" s="6"/>
      <c r="O6" s="6">
        <f t="shared" si="2"/>
        <v>13577604.75</v>
      </c>
      <c r="P6" s="7">
        <v>1.20262221E8</v>
      </c>
      <c r="Q6" s="6">
        <f t="shared" si="3"/>
        <v>1706953.86</v>
      </c>
      <c r="R6" s="8">
        <f t="shared" si="4"/>
        <v>7894661.602</v>
      </c>
      <c r="S6" s="8">
        <f t="shared" si="5"/>
        <v>135776.0475</v>
      </c>
      <c r="T6" s="8">
        <f t="shared" si="6"/>
        <v>1792243.827</v>
      </c>
      <c r="U6" s="1"/>
      <c r="V6" s="1"/>
      <c r="W6" s="1"/>
      <c r="X6" s="1"/>
      <c r="Y6" s="1"/>
    </row>
    <row r="7">
      <c r="A7" s="1"/>
      <c r="B7" s="6">
        <v>2017.0</v>
      </c>
      <c r="C7" s="7">
        <v>8.941792E7</v>
      </c>
      <c r="D7" s="9"/>
      <c r="E7" s="9">
        <f t="shared" si="7"/>
        <v>59588101.89</v>
      </c>
      <c r="F7" s="9">
        <f t="shared" si="8"/>
        <v>29829818.11</v>
      </c>
      <c r="G7" s="6">
        <f t="shared" si="9"/>
        <v>949975.9821</v>
      </c>
      <c r="H7" s="8">
        <f t="shared" si="10"/>
        <v>4393638.917</v>
      </c>
      <c r="I7" s="8">
        <f t="shared" si="11"/>
        <v>298298.1811</v>
      </c>
      <c r="J7" s="8">
        <f t="shared" si="12"/>
        <v>3937535.991</v>
      </c>
      <c r="K7" s="1"/>
      <c r="L7" s="6">
        <v>2018.0</v>
      </c>
      <c r="M7" s="6">
        <f t="shared" si="1"/>
        <v>109103267.8</v>
      </c>
      <c r="N7" s="6"/>
      <c r="O7" s="6">
        <f t="shared" si="2"/>
        <v>13885423.21</v>
      </c>
      <c r="P7" s="7">
        <v>1.22988691E8</v>
      </c>
      <c r="Q7" s="6">
        <f t="shared" si="3"/>
        <v>1745652.285</v>
      </c>
      <c r="R7" s="8">
        <f t="shared" si="4"/>
        <v>8073641.816</v>
      </c>
      <c r="S7" s="8">
        <f t="shared" si="5"/>
        <v>138854.2321</v>
      </c>
      <c r="T7" s="8">
        <f t="shared" si="6"/>
        <v>1832875.864</v>
      </c>
      <c r="U7" s="1"/>
      <c r="V7" s="1"/>
      <c r="W7" s="1"/>
      <c r="X7" s="1"/>
      <c r="Y7" s="1"/>
    </row>
    <row r="8">
      <c r="A8" s="1"/>
      <c r="B8" s="6">
        <v>2018.0</v>
      </c>
      <c r="C8" s="7">
        <v>9.0193287E7</v>
      </c>
      <c r="D8" s="9"/>
      <c r="E8" s="9">
        <f t="shared" si="7"/>
        <v>60104806.46</v>
      </c>
      <c r="F8" s="9">
        <f t="shared" si="8"/>
        <v>30088480.54</v>
      </c>
      <c r="G8" s="6">
        <f t="shared" si="9"/>
        <v>958213.4811</v>
      </c>
      <c r="H8" s="8">
        <f t="shared" si="10"/>
        <v>4431737.35</v>
      </c>
      <c r="I8" s="8">
        <f t="shared" si="11"/>
        <v>300884.8054</v>
      </c>
      <c r="J8" s="8">
        <f t="shared" si="12"/>
        <v>3971679.432</v>
      </c>
      <c r="K8" s="1"/>
      <c r="L8" s="6">
        <v>2019.0</v>
      </c>
      <c r="M8" s="6">
        <f t="shared" si="1"/>
        <v>111527283.6</v>
      </c>
      <c r="N8" s="6"/>
      <c r="O8" s="6">
        <f t="shared" si="2"/>
        <v>14193924.38</v>
      </c>
      <c r="P8" s="7">
        <v>1.25721208E8</v>
      </c>
      <c r="Q8" s="6">
        <f t="shared" si="3"/>
        <v>1784436.538</v>
      </c>
      <c r="R8" s="8">
        <f t="shared" si="4"/>
        <v>8253018.988</v>
      </c>
      <c r="S8" s="8">
        <f t="shared" si="5"/>
        <v>141939.2438</v>
      </c>
      <c r="T8" s="8">
        <f t="shared" si="6"/>
        <v>1873598.019</v>
      </c>
      <c r="U8" s="1"/>
      <c r="V8" s="1"/>
      <c r="W8" s="1"/>
      <c r="X8" s="1"/>
      <c r="Y8" s="1"/>
    </row>
    <row r="9">
      <c r="A9" s="1"/>
      <c r="B9" s="6">
        <v>2019.0</v>
      </c>
      <c r="C9" s="7">
        <v>9.0959737E7</v>
      </c>
      <c r="D9" s="9"/>
      <c r="E9" s="9">
        <f t="shared" si="7"/>
        <v>60615568.74</v>
      </c>
      <c r="F9" s="9">
        <f t="shared" si="8"/>
        <v>30344168.26</v>
      </c>
      <c r="G9" s="6">
        <f t="shared" si="9"/>
        <v>966356.2459</v>
      </c>
      <c r="H9" s="8">
        <f t="shared" si="10"/>
        <v>4469397.637</v>
      </c>
      <c r="I9" s="8">
        <f t="shared" si="11"/>
        <v>303441.6826</v>
      </c>
      <c r="J9" s="8">
        <f t="shared" si="12"/>
        <v>4005430.211</v>
      </c>
      <c r="K9" s="1"/>
      <c r="L9" s="6">
        <v>2020.0</v>
      </c>
      <c r="M9" s="6">
        <f t="shared" si="1"/>
        <v>113955597.4</v>
      </c>
      <c r="N9" s="6"/>
      <c r="O9" s="6">
        <f t="shared" si="2"/>
        <v>14502972.55</v>
      </c>
      <c r="P9" s="7">
        <v>1.2845857E8</v>
      </c>
      <c r="Q9" s="6">
        <f t="shared" si="3"/>
        <v>1823289.559</v>
      </c>
      <c r="R9" s="8">
        <f t="shared" si="4"/>
        <v>8432714.211</v>
      </c>
      <c r="S9" s="8">
        <f t="shared" si="5"/>
        <v>145029.7255</v>
      </c>
      <c r="T9" s="8">
        <f t="shared" si="6"/>
        <v>1914392.377</v>
      </c>
      <c r="U9" s="1"/>
      <c r="V9" s="1"/>
      <c r="W9" s="1"/>
      <c r="X9" s="1"/>
      <c r="Y9" s="1"/>
    </row>
    <row r="10">
      <c r="A10" s="1"/>
      <c r="B10" s="6">
        <v>2020.0</v>
      </c>
      <c r="C10" s="7">
        <v>9.171724E7</v>
      </c>
      <c r="D10" s="9"/>
      <c r="E10" s="9">
        <f t="shared" si="7"/>
        <v>61120368.74</v>
      </c>
      <c r="F10" s="9">
        <f t="shared" si="8"/>
        <v>30596871.26</v>
      </c>
      <c r="G10" s="6">
        <f t="shared" si="9"/>
        <v>974403.9578</v>
      </c>
      <c r="H10" s="8">
        <f t="shared" si="10"/>
        <v>4506618.305</v>
      </c>
      <c r="I10" s="8">
        <f t="shared" si="11"/>
        <v>305968.7126</v>
      </c>
      <c r="J10" s="8">
        <f t="shared" si="12"/>
        <v>4038787.007</v>
      </c>
      <c r="K10" s="1"/>
      <c r="L10" s="10">
        <v>2021.0</v>
      </c>
      <c r="M10" s="6">
        <f t="shared" si="1"/>
        <v>116387160.7</v>
      </c>
      <c r="N10" s="6"/>
      <c r="O10" s="6">
        <f t="shared" si="2"/>
        <v>14812434.28</v>
      </c>
      <c r="P10" s="11">
        <v>1.31199595E8</v>
      </c>
      <c r="Q10" s="10">
        <f t="shared" si="3"/>
        <v>1862194.572</v>
      </c>
      <c r="R10" s="8">
        <f t="shared" si="4"/>
        <v>8612649.894</v>
      </c>
      <c r="S10" s="8">
        <f t="shared" si="5"/>
        <v>148124.3428</v>
      </c>
      <c r="T10" s="8">
        <f t="shared" si="6"/>
        <v>1955241.324</v>
      </c>
      <c r="U10" s="1"/>
      <c r="V10" s="1"/>
      <c r="W10" s="1"/>
      <c r="X10" s="1"/>
      <c r="Y10" s="1"/>
    </row>
    <row r="11">
      <c r="A11" s="1"/>
      <c r="B11" s="10">
        <v>2021.0</v>
      </c>
      <c r="C11" s="11">
        <v>9.2465775E7</v>
      </c>
      <c r="D11" s="12"/>
      <c r="E11" s="9">
        <f t="shared" si="7"/>
        <v>61619192.46</v>
      </c>
      <c r="F11" s="13">
        <f t="shared" si="8"/>
        <v>30846582.54</v>
      </c>
      <c r="G11" s="10">
        <f t="shared" si="9"/>
        <v>982356.3936</v>
      </c>
      <c r="H11" s="8">
        <f t="shared" si="10"/>
        <v>4543398.32</v>
      </c>
      <c r="I11" s="8">
        <f t="shared" si="11"/>
        <v>308465.8254</v>
      </c>
      <c r="J11" s="8">
        <f t="shared" si="12"/>
        <v>4071748.895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4" t="s">
        <v>13</v>
      </c>
      <c r="C17" s="1"/>
      <c r="D17" s="2"/>
      <c r="E17" s="2"/>
      <c r="F17" s="2"/>
      <c r="G17" s="1"/>
      <c r="H17" s="1"/>
      <c r="I17" s="1"/>
      <c r="J17" s="1"/>
      <c r="K17" s="1"/>
      <c r="L17" s="3" t="s">
        <v>14</v>
      </c>
      <c r="M17" s="4" t="s">
        <v>10</v>
      </c>
      <c r="N17" s="5"/>
      <c r="O17" s="5" t="s">
        <v>11</v>
      </c>
      <c r="P17" s="5" t="s">
        <v>12</v>
      </c>
      <c r="Q17" s="3" t="s">
        <v>6</v>
      </c>
      <c r="R17" s="1" t="s">
        <v>7</v>
      </c>
      <c r="S17" s="1" t="s">
        <v>8</v>
      </c>
      <c r="T17" s="1" t="s">
        <v>9</v>
      </c>
      <c r="U17" s="1"/>
      <c r="V17" s="1"/>
      <c r="W17" s="1"/>
      <c r="X17" s="1"/>
      <c r="Y17" s="1"/>
    </row>
    <row r="18">
      <c r="A18" s="1"/>
      <c r="B18" s="3"/>
      <c r="C18" s="4" t="s">
        <v>10</v>
      </c>
      <c r="D18" s="5"/>
      <c r="E18" s="5" t="s">
        <v>11</v>
      </c>
      <c r="F18" s="5" t="s">
        <v>12</v>
      </c>
      <c r="G18" s="3" t="s">
        <v>6</v>
      </c>
      <c r="H18" s="1" t="s">
        <v>7</v>
      </c>
      <c r="I18" s="1" t="s">
        <v>8</v>
      </c>
      <c r="J18" s="1" t="s">
        <v>9</v>
      </c>
      <c r="K18" s="1"/>
      <c r="L18" s="6">
        <v>2015.0</v>
      </c>
      <c r="M18" s="15">
        <f t="shared" ref="M18:M24" si="13">76.76*P18/100</f>
        <v>21841337.99</v>
      </c>
      <c r="N18" s="15"/>
      <c r="O18" s="15">
        <f t="shared" ref="O18:O24" si="14">23.24*P18/100</f>
        <v>6612724.009</v>
      </c>
      <c r="P18" s="7">
        <v>2.8454062E7</v>
      </c>
      <c r="Q18" s="6">
        <f t="shared" ref="Q18:Q24" si="15">P18*76.76*1.6/10000</f>
        <v>349461.4079</v>
      </c>
      <c r="R18" s="8">
        <f t="shared" ref="R18:R24" si="16">P18*7.4*76.76/10000</f>
        <v>1616259.011</v>
      </c>
      <c r="S18" s="8">
        <f t="shared" ref="S18:S24" si="17">P18*23.24*1/10000</f>
        <v>66127.24009</v>
      </c>
      <c r="T18" s="8">
        <f t="shared" ref="T18:T24" si="18">P18*13.2*23.24/10000</f>
        <v>872879.5692</v>
      </c>
      <c r="U18" s="1"/>
      <c r="V18" s="1"/>
      <c r="W18" s="1"/>
      <c r="X18" s="1"/>
      <c r="Y18" s="1"/>
    </row>
    <row r="19">
      <c r="A19" s="1"/>
      <c r="B19" s="6">
        <v>2015.0</v>
      </c>
      <c r="C19" s="7">
        <v>1528216.0</v>
      </c>
      <c r="D19" s="16"/>
      <c r="E19" s="16">
        <f t="shared" ref="E19:E25" si="19">77.06*C19/100</f>
        <v>1177643.25</v>
      </c>
      <c r="F19" s="9">
        <f t="shared" ref="F19:F25" si="20">22.94*C19/100</f>
        <v>350572.7504</v>
      </c>
      <c r="G19" s="6">
        <f t="shared" ref="G19:G25" si="21">C19*77.06*1.6/10000</f>
        <v>18842.29199</v>
      </c>
      <c r="H19" s="8">
        <f t="shared" ref="H19:H25" si="22">C19*77.06*7.4/10000</f>
        <v>87145.60047</v>
      </c>
      <c r="I19" s="8">
        <f t="shared" ref="I19:I25" si="23">C19*22.94*1/10000</f>
        <v>3505.727504</v>
      </c>
      <c r="J19" s="8">
        <f t="shared" ref="J19:J25" si="24">C19*22.94*13.2/10000</f>
        <v>46275.60305</v>
      </c>
      <c r="K19" s="1"/>
      <c r="L19" s="6">
        <v>2016.0</v>
      </c>
      <c r="M19" s="15">
        <f t="shared" si="13"/>
        <v>22408661.17</v>
      </c>
      <c r="N19" s="15"/>
      <c r="O19" s="15">
        <f t="shared" si="14"/>
        <v>6784487.828</v>
      </c>
      <c r="P19" s="7">
        <v>2.9193149E7</v>
      </c>
      <c r="Q19" s="6">
        <f t="shared" si="15"/>
        <v>358538.5788</v>
      </c>
      <c r="R19" s="8">
        <f t="shared" si="16"/>
        <v>1658240.927</v>
      </c>
      <c r="S19" s="8">
        <f t="shared" si="17"/>
        <v>67844.87828</v>
      </c>
      <c r="T19" s="8">
        <f t="shared" si="18"/>
        <v>895552.3932</v>
      </c>
      <c r="U19" s="1"/>
      <c r="V19" s="1"/>
      <c r="W19" s="1"/>
      <c r="X19" s="1"/>
      <c r="Y19" s="1"/>
    </row>
    <row r="20">
      <c r="A20" s="1"/>
      <c r="B20" s="6">
        <v>2016.0</v>
      </c>
      <c r="C20" s="7">
        <v>1564735.0</v>
      </c>
      <c r="D20" s="16"/>
      <c r="E20" s="16">
        <f t="shared" si="19"/>
        <v>1205784.791</v>
      </c>
      <c r="F20" s="9">
        <f t="shared" si="20"/>
        <v>358950.209</v>
      </c>
      <c r="G20" s="6">
        <f t="shared" si="21"/>
        <v>19292.55666</v>
      </c>
      <c r="H20" s="8">
        <f t="shared" si="22"/>
        <v>89228.07453</v>
      </c>
      <c r="I20" s="8">
        <f t="shared" si="23"/>
        <v>3589.50209</v>
      </c>
      <c r="J20" s="8">
        <f t="shared" si="24"/>
        <v>47381.42759</v>
      </c>
      <c r="K20" s="1"/>
      <c r="L20" s="6">
        <v>2017.0</v>
      </c>
      <c r="M20" s="15">
        <f t="shared" si="13"/>
        <v>22979079.32</v>
      </c>
      <c r="N20" s="15"/>
      <c r="O20" s="15">
        <f t="shared" si="14"/>
        <v>6957188.683</v>
      </c>
      <c r="P20" s="7">
        <v>2.9936268E7</v>
      </c>
      <c r="Q20" s="6">
        <f t="shared" si="15"/>
        <v>367665.2691</v>
      </c>
      <c r="R20" s="8">
        <f t="shared" si="16"/>
        <v>1700451.869</v>
      </c>
      <c r="S20" s="8">
        <f t="shared" si="17"/>
        <v>69571.88683</v>
      </c>
      <c r="T20" s="8">
        <f t="shared" si="18"/>
        <v>918348.9062</v>
      </c>
      <c r="U20" s="1"/>
      <c r="V20" s="1"/>
      <c r="W20" s="1"/>
      <c r="X20" s="1"/>
      <c r="Y20" s="1"/>
    </row>
    <row r="21">
      <c r="A21" s="1"/>
      <c r="B21" s="6">
        <v>2017.0</v>
      </c>
      <c r="C21" s="7">
        <v>1601380.0</v>
      </c>
      <c r="D21" s="16"/>
      <c r="E21" s="16">
        <f t="shared" si="19"/>
        <v>1234023.428</v>
      </c>
      <c r="F21" s="9">
        <f t="shared" si="20"/>
        <v>367356.572</v>
      </c>
      <c r="G21" s="6">
        <f t="shared" si="21"/>
        <v>19744.37485</v>
      </c>
      <c r="H21" s="8">
        <f t="shared" si="22"/>
        <v>91317.73367</v>
      </c>
      <c r="I21" s="8">
        <f t="shared" si="23"/>
        <v>3673.56572</v>
      </c>
      <c r="J21" s="8">
        <f t="shared" si="24"/>
        <v>48491.0675</v>
      </c>
      <c r="K21" s="1"/>
      <c r="L21" s="6">
        <v>2018.0</v>
      </c>
      <c r="M21" s="15">
        <f t="shared" si="13"/>
        <v>23552318.39</v>
      </c>
      <c r="N21" s="15"/>
      <c r="O21" s="15">
        <f t="shared" si="14"/>
        <v>7130743.609</v>
      </c>
      <c r="P21" s="7">
        <v>3.0683062E7</v>
      </c>
      <c r="Q21" s="6">
        <f t="shared" si="15"/>
        <v>376837.0943</v>
      </c>
      <c r="R21" s="8">
        <f t="shared" si="16"/>
        <v>1742871.561</v>
      </c>
      <c r="S21" s="8">
        <f t="shared" si="17"/>
        <v>71307.43609</v>
      </c>
      <c r="T21" s="8">
        <f t="shared" si="18"/>
        <v>941258.1564</v>
      </c>
      <c r="U21" s="1"/>
      <c r="V21" s="1"/>
      <c r="W21" s="1"/>
      <c r="X21" s="1"/>
      <c r="Y21" s="1"/>
    </row>
    <row r="22">
      <c r="A22" s="1"/>
      <c r="B22" s="6">
        <v>2018.0</v>
      </c>
      <c r="C22" s="7">
        <v>1638132.0</v>
      </c>
      <c r="D22" s="16"/>
      <c r="E22" s="16">
        <f t="shared" si="19"/>
        <v>1262344.519</v>
      </c>
      <c r="F22" s="9">
        <f t="shared" si="20"/>
        <v>375787.4808</v>
      </c>
      <c r="G22" s="6">
        <f t="shared" si="21"/>
        <v>20197.51231</v>
      </c>
      <c r="H22" s="8">
        <f t="shared" si="22"/>
        <v>93413.49442</v>
      </c>
      <c r="I22" s="8">
        <f t="shared" si="23"/>
        <v>3757.874808</v>
      </c>
      <c r="J22" s="8">
        <f t="shared" si="24"/>
        <v>49603.94747</v>
      </c>
      <c r="K22" s="1"/>
      <c r="L22" s="6">
        <v>2019.0</v>
      </c>
      <c r="M22" s="15">
        <f t="shared" si="13"/>
        <v>24128106.67</v>
      </c>
      <c r="N22" s="15"/>
      <c r="O22" s="15">
        <f t="shared" si="14"/>
        <v>7305070.335</v>
      </c>
      <c r="P22" s="7">
        <v>3.1433177E7</v>
      </c>
      <c r="Q22" s="6">
        <f t="shared" si="15"/>
        <v>386049.7066</v>
      </c>
      <c r="R22" s="8">
        <f t="shared" si="16"/>
        <v>1785479.893</v>
      </c>
      <c r="S22" s="8">
        <f t="shared" si="17"/>
        <v>73050.70335</v>
      </c>
      <c r="T22" s="8">
        <f t="shared" si="18"/>
        <v>964269.2842</v>
      </c>
      <c r="U22" s="1"/>
      <c r="V22" s="1"/>
      <c r="W22" s="1"/>
      <c r="X22" s="1"/>
      <c r="Y22" s="1"/>
    </row>
    <row r="23">
      <c r="A23" s="1"/>
      <c r="B23" s="6">
        <v>2019.0</v>
      </c>
      <c r="C23" s="7">
        <v>1674976.0</v>
      </c>
      <c r="D23" s="16"/>
      <c r="E23" s="16">
        <f t="shared" si="19"/>
        <v>1290736.506</v>
      </c>
      <c r="F23" s="9">
        <f t="shared" si="20"/>
        <v>384239.4944</v>
      </c>
      <c r="G23" s="6">
        <f t="shared" si="21"/>
        <v>20651.78409</v>
      </c>
      <c r="H23" s="8">
        <f t="shared" si="22"/>
        <v>95514.50141</v>
      </c>
      <c r="I23" s="8">
        <f t="shared" si="23"/>
        <v>3842.394944</v>
      </c>
      <c r="J23" s="8">
        <f t="shared" si="24"/>
        <v>50719.61326</v>
      </c>
      <c r="K23" s="1"/>
      <c r="L23" s="6">
        <v>2020.0</v>
      </c>
      <c r="M23" s="15">
        <f t="shared" si="13"/>
        <v>24706174.71</v>
      </c>
      <c r="N23" s="15"/>
      <c r="O23" s="15">
        <f t="shared" si="14"/>
        <v>7480087.289</v>
      </c>
      <c r="P23" s="7">
        <v>3.2186262E7</v>
      </c>
      <c r="Q23" s="6">
        <f t="shared" si="15"/>
        <v>395298.7954</v>
      </c>
      <c r="R23" s="8">
        <f t="shared" si="16"/>
        <v>1828256.929</v>
      </c>
      <c r="S23" s="8">
        <f t="shared" si="17"/>
        <v>74800.87289</v>
      </c>
      <c r="T23" s="8">
        <f t="shared" si="18"/>
        <v>987371.5221</v>
      </c>
      <c r="U23" s="1"/>
      <c r="V23" s="1"/>
      <c r="W23" s="1"/>
      <c r="X23" s="1"/>
      <c r="Y23" s="1"/>
    </row>
    <row r="24">
      <c r="A24" s="1"/>
      <c r="B24" s="6">
        <v>2020.0</v>
      </c>
      <c r="C24" s="7">
        <v>1711895.0</v>
      </c>
      <c r="D24" s="16"/>
      <c r="E24" s="16">
        <f t="shared" si="19"/>
        <v>1319186.287</v>
      </c>
      <c r="F24" s="9">
        <f t="shared" si="20"/>
        <v>392708.713</v>
      </c>
      <c r="G24" s="6">
        <f t="shared" si="21"/>
        <v>21106.98059</v>
      </c>
      <c r="H24" s="8">
        <f t="shared" si="22"/>
        <v>97619.78524</v>
      </c>
      <c r="I24" s="8">
        <f t="shared" si="23"/>
        <v>3927.08713</v>
      </c>
      <c r="J24" s="8">
        <f t="shared" si="24"/>
        <v>51837.55012</v>
      </c>
      <c r="K24" s="1"/>
      <c r="L24" s="10">
        <v>2021.0</v>
      </c>
      <c r="M24" s="15">
        <f t="shared" si="13"/>
        <v>25286253.1</v>
      </c>
      <c r="N24" s="15"/>
      <c r="O24" s="15">
        <f t="shared" si="14"/>
        <v>7655712.898</v>
      </c>
      <c r="P24" s="11">
        <v>3.2941966E7</v>
      </c>
      <c r="Q24" s="10">
        <f t="shared" si="15"/>
        <v>404580.0496</v>
      </c>
      <c r="R24" s="8">
        <f t="shared" si="16"/>
        <v>1871182.73</v>
      </c>
      <c r="S24" s="8">
        <f t="shared" si="17"/>
        <v>76557.12898</v>
      </c>
      <c r="T24" s="8">
        <f t="shared" si="18"/>
        <v>1010554.103</v>
      </c>
      <c r="U24" s="1"/>
      <c r="V24" s="1"/>
      <c r="W24" s="1"/>
      <c r="X24" s="1"/>
      <c r="Y24" s="1"/>
    </row>
    <row r="25">
      <c r="A25" s="1"/>
      <c r="B25" s="10">
        <v>2021.0</v>
      </c>
      <c r="C25" s="11">
        <v>1748873.0</v>
      </c>
      <c r="D25" s="17"/>
      <c r="E25" s="16">
        <f t="shared" si="19"/>
        <v>1347681.534</v>
      </c>
      <c r="F25" s="9">
        <f t="shared" si="20"/>
        <v>401191.4662</v>
      </c>
      <c r="G25" s="10">
        <f t="shared" si="21"/>
        <v>21562.90454</v>
      </c>
      <c r="H25" s="8">
        <f t="shared" si="22"/>
        <v>99728.4335</v>
      </c>
      <c r="I25" s="8">
        <f t="shared" si="23"/>
        <v>4011.914662</v>
      </c>
      <c r="J25" s="8">
        <f t="shared" si="24"/>
        <v>52957.27354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2"/>
      <c r="E28" s="2"/>
      <c r="F28" s="2"/>
      <c r="G28" s="1"/>
      <c r="H28" s="1"/>
      <c r="I28" s="1"/>
      <c r="J28" s="1"/>
      <c r="K28" s="1"/>
      <c r="L28" s="3" t="s">
        <v>15</v>
      </c>
      <c r="M28" s="4" t="s">
        <v>10</v>
      </c>
      <c r="N28" s="5"/>
      <c r="O28" s="5" t="s">
        <v>11</v>
      </c>
      <c r="P28" s="5" t="s">
        <v>12</v>
      </c>
      <c r="Q28" s="3" t="s">
        <v>6</v>
      </c>
      <c r="R28" s="1" t="s">
        <v>7</v>
      </c>
      <c r="S28" s="1" t="s">
        <v>8</v>
      </c>
      <c r="T28" s="1" t="s">
        <v>9</v>
      </c>
      <c r="U28" s="1"/>
      <c r="V28" s="1"/>
      <c r="W28" s="1"/>
      <c r="X28" s="1"/>
      <c r="Y28" s="1"/>
    </row>
    <row r="29">
      <c r="A29" s="1"/>
      <c r="B29" s="1"/>
      <c r="C29" s="1"/>
      <c r="D29" s="2"/>
      <c r="E29" s="2"/>
      <c r="F29" s="2"/>
      <c r="G29" s="1"/>
      <c r="H29" s="1"/>
      <c r="I29" s="1"/>
      <c r="J29" s="1"/>
      <c r="K29" s="1"/>
      <c r="L29" s="6">
        <v>2015.0</v>
      </c>
      <c r="M29" s="6">
        <f t="shared" ref="M29:M35" si="25">37.83*P29/100</f>
        <v>562826.7957</v>
      </c>
      <c r="N29" s="6"/>
      <c r="O29" s="6">
        <f t="shared" ref="O29:O35" si="26">62.17*P29/100</f>
        <v>924952.2043</v>
      </c>
      <c r="P29" s="7">
        <v>1487779.0</v>
      </c>
      <c r="Q29" s="6">
        <f t="shared" ref="Q29:Q35" si="27">P29*37.83*1.6/10000</f>
        <v>9005.228731</v>
      </c>
      <c r="R29" s="8">
        <f t="shared" ref="R29:R35" si="28">P29*7.4*34.83/10000</f>
        <v>38346.3135</v>
      </c>
      <c r="S29" s="8">
        <f t="shared" ref="S29:S35" si="29">P29*62.17*1/10000</f>
        <v>9249.522043</v>
      </c>
      <c r="T29" s="8">
        <f t="shared" ref="T29:T35" si="30">P29*13.2*62.17/10000</f>
        <v>122093.691</v>
      </c>
      <c r="U29" s="1"/>
      <c r="V29" s="1"/>
      <c r="W29" s="1"/>
      <c r="X29" s="1"/>
      <c r="Y29" s="1"/>
    </row>
    <row r="30">
      <c r="A30" s="1"/>
      <c r="B30" s="3" t="s">
        <v>16</v>
      </c>
      <c r="C30" s="4" t="s">
        <v>10</v>
      </c>
      <c r="D30" s="5"/>
      <c r="E30" s="5" t="s">
        <v>11</v>
      </c>
      <c r="F30" s="5" t="s">
        <v>12</v>
      </c>
      <c r="G30" s="3" t="s">
        <v>6</v>
      </c>
      <c r="H30" s="1" t="s">
        <v>7</v>
      </c>
      <c r="I30" s="1" t="s">
        <v>8</v>
      </c>
      <c r="J30" s="1" t="s">
        <v>9</v>
      </c>
      <c r="K30" s="1"/>
      <c r="L30" s="6">
        <v>2016.0</v>
      </c>
      <c r="M30" s="6">
        <f t="shared" si="25"/>
        <v>565487.3796</v>
      </c>
      <c r="N30" s="6"/>
      <c r="O30" s="6">
        <f t="shared" si="26"/>
        <v>929324.6204</v>
      </c>
      <c r="P30" s="7">
        <v>1494812.0</v>
      </c>
      <c r="Q30" s="6">
        <f t="shared" si="27"/>
        <v>9047.798074</v>
      </c>
      <c r="R30" s="8">
        <f t="shared" si="28"/>
        <v>38527.58345</v>
      </c>
      <c r="S30" s="8">
        <f t="shared" si="29"/>
        <v>9293.246204</v>
      </c>
      <c r="T30" s="8">
        <f t="shared" si="30"/>
        <v>122670.8499</v>
      </c>
      <c r="U30" s="1"/>
      <c r="V30" s="1"/>
      <c r="W30" s="1"/>
      <c r="X30" s="1"/>
      <c r="Y30" s="1"/>
    </row>
    <row r="31">
      <c r="A31" s="1"/>
      <c r="B31" s="6">
        <v>2015.0</v>
      </c>
      <c r="C31" s="7">
        <v>3.336904E7</v>
      </c>
      <c r="D31" s="9"/>
      <c r="E31" s="9">
        <f t="shared" ref="E31:E37" si="31">85.9*C31/100</f>
        <v>28664005.36</v>
      </c>
      <c r="F31" s="9">
        <f t="shared" ref="F31:F37" si="32">14.1*C31/100</f>
        <v>4705034.64</v>
      </c>
      <c r="G31" s="6">
        <f t="shared" ref="G31:G37" si="33">C31*1.6*85.9/10000</f>
        <v>458624.0858</v>
      </c>
      <c r="H31" s="8">
        <f t="shared" ref="H31:H37" si="34">C31*85.9*7.4/10000</f>
        <v>2121136.397</v>
      </c>
      <c r="I31" s="8">
        <f t="shared" ref="I31:I37" si="35">C31*14.9/10000</f>
        <v>49719.8696</v>
      </c>
      <c r="J31" s="8">
        <f t="shared" ref="J31:J37" si="36">C31*14.1*13.2/100000</f>
        <v>62106.45725</v>
      </c>
      <c r="K31" s="1"/>
      <c r="L31" s="6">
        <v>2017.0</v>
      </c>
      <c r="M31" s="6">
        <f t="shared" si="25"/>
        <v>568107.1071</v>
      </c>
      <c r="N31" s="6"/>
      <c r="O31" s="6">
        <f t="shared" si="26"/>
        <v>933629.8929</v>
      </c>
      <c r="P31" s="7">
        <v>1501737.0</v>
      </c>
      <c r="Q31" s="6">
        <f t="shared" si="27"/>
        <v>9089.713714</v>
      </c>
      <c r="R31" s="8">
        <f t="shared" si="28"/>
        <v>38706.06979</v>
      </c>
      <c r="S31" s="8">
        <f t="shared" si="29"/>
        <v>9336.298929</v>
      </c>
      <c r="T31" s="8">
        <f t="shared" si="30"/>
        <v>123239.1459</v>
      </c>
      <c r="U31" s="1"/>
      <c r="V31" s="1"/>
      <c r="W31" s="1"/>
      <c r="X31" s="1"/>
      <c r="Y31" s="1"/>
    </row>
    <row r="32">
      <c r="A32" s="1"/>
      <c r="B32" s="6">
        <v>2016.0</v>
      </c>
      <c r="C32" s="7">
        <v>3.3905039E7</v>
      </c>
      <c r="D32" s="9"/>
      <c r="E32" s="9">
        <f t="shared" si="31"/>
        <v>29124428.5</v>
      </c>
      <c r="F32" s="9">
        <f t="shared" si="32"/>
        <v>4780610.499</v>
      </c>
      <c r="G32" s="6">
        <f t="shared" si="33"/>
        <v>465990.856</v>
      </c>
      <c r="H32" s="8">
        <f t="shared" si="34"/>
        <v>2155207.709</v>
      </c>
      <c r="I32" s="8">
        <f t="shared" si="35"/>
        <v>50518.50811</v>
      </c>
      <c r="J32" s="8">
        <f t="shared" si="36"/>
        <v>63104.05859</v>
      </c>
      <c r="K32" s="1"/>
      <c r="L32" s="6">
        <v>2018.0</v>
      </c>
      <c r="M32" s="6">
        <f t="shared" si="25"/>
        <v>570686.7348</v>
      </c>
      <c r="N32" s="6"/>
      <c r="O32" s="6">
        <f t="shared" si="26"/>
        <v>937869.2652</v>
      </c>
      <c r="P32" s="7">
        <v>1508556.0</v>
      </c>
      <c r="Q32" s="6">
        <f t="shared" si="27"/>
        <v>9130.987757</v>
      </c>
      <c r="R32" s="8">
        <f t="shared" si="28"/>
        <v>38881.82406</v>
      </c>
      <c r="S32" s="8">
        <f t="shared" si="29"/>
        <v>9378.692652</v>
      </c>
      <c r="T32" s="8">
        <f t="shared" si="30"/>
        <v>123798.743</v>
      </c>
      <c r="U32" s="1"/>
      <c r="V32" s="1"/>
      <c r="W32" s="1"/>
      <c r="X32" s="1"/>
      <c r="Y32" s="1"/>
    </row>
    <row r="33">
      <c r="A33" s="1"/>
      <c r="B33" s="6">
        <v>2017.0</v>
      </c>
      <c r="C33" s="7">
        <v>3.4438756E7</v>
      </c>
      <c r="D33" s="9"/>
      <c r="E33" s="9">
        <f t="shared" si="31"/>
        <v>29582891.4</v>
      </c>
      <c r="F33" s="9">
        <f t="shared" si="32"/>
        <v>4855864.596</v>
      </c>
      <c r="G33" s="6">
        <f t="shared" si="33"/>
        <v>473326.2625</v>
      </c>
      <c r="H33" s="8">
        <f t="shared" si="34"/>
        <v>2189133.964</v>
      </c>
      <c r="I33" s="8">
        <f t="shared" si="35"/>
        <v>51313.74644</v>
      </c>
      <c r="J33" s="8">
        <f t="shared" si="36"/>
        <v>64097.41267</v>
      </c>
      <c r="K33" s="1"/>
      <c r="L33" s="6">
        <v>2019.0</v>
      </c>
      <c r="M33" s="6">
        <f t="shared" si="25"/>
        <v>573225.8844</v>
      </c>
      <c r="N33" s="6"/>
      <c r="O33" s="6">
        <f t="shared" si="26"/>
        <v>942042.1156</v>
      </c>
      <c r="P33" s="7">
        <v>1515268.0</v>
      </c>
      <c r="Q33" s="6">
        <f t="shared" si="27"/>
        <v>9171.61415</v>
      </c>
      <c r="R33" s="8">
        <f t="shared" si="28"/>
        <v>39054.82049</v>
      </c>
      <c r="S33" s="8">
        <f t="shared" si="29"/>
        <v>9420.421156</v>
      </c>
      <c r="T33" s="8">
        <f t="shared" si="30"/>
        <v>124349.5593</v>
      </c>
      <c r="U33" s="1"/>
      <c r="V33" s="1"/>
      <c r="W33" s="1"/>
      <c r="X33" s="1"/>
      <c r="Y33" s="1"/>
    </row>
    <row r="34">
      <c r="A34" s="1"/>
      <c r="B34" s="6">
        <v>2018.0</v>
      </c>
      <c r="C34" s="7">
        <v>3.4970032E7</v>
      </c>
      <c r="D34" s="9"/>
      <c r="E34" s="9">
        <f t="shared" si="31"/>
        <v>30039257.49</v>
      </c>
      <c r="F34" s="9">
        <f t="shared" si="32"/>
        <v>4930774.512</v>
      </c>
      <c r="G34" s="6">
        <f t="shared" si="33"/>
        <v>480628.1198</v>
      </c>
      <c r="H34" s="8">
        <f t="shared" si="34"/>
        <v>2222905.054</v>
      </c>
      <c r="I34" s="8">
        <f t="shared" si="35"/>
        <v>52105.34768</v>
      </c>
      <c r="J34" s="8">
        <f t="shared" si="36"/>
        <v>65086.22356</v>
      </c>
      <c r="K34" s="1"/>
      <c r="L34" s="6">
        <v>2020.0</v>
      </c>
      <c r="M34" s="6">
        <f t="shared" si="25"/>
        <v>575725.3125</v>
      </c>
      <c r="N34" s="6"/>
      <c r="O34" s="6">
        <f t="shared" si="26"/>
        <v>946149.6875</v>
      </c>
      <c r="P34" s="7">
        <v>1521875.0</v>
      </c>
      <c r="Q34" s="6">
        <f t="shared" si="27"/>
        <v>9211.605</v>
      </c>
      <c r="R34" s="8">
        <f t="shared" si="28"/>
        <v>39225.11063</v>
      </c>
      <c r="S34" s="8">
        <f t="shared" si="29"/>
        <v>9461.496875</v>
      </c>
      <c r="T34" s="8">
        <f t="shared" si="30"/>
        <v>124891.7588</v>
      </c>
      <c r="U34" s="1"/>
      <c r="V34" s="1"/>
      <c r="W34" s="1"/>
      <c r="X34" s="1"/>
      <c r="Y34" s="1"/>
    </row>
    <row r="35">
      <c r="A35" s="1"/>
      <c r="B35" s="6">
        <v>2019.0</v>
      </c>
      <c r="C35" s="7">
        <v>3.5498714E7</v>
      </c>
      <c r="D35" s="9"/>
      <c r="E35" s="9">
        <f t="shared" si="31"/>
        <v>30493395.33</v>
      </c>
      <c r="F35" s="9">
        <f t="shared" si="32"/>
        <v>5005318.674</v>
      </c>
      <c r="G35" s="6">
        <f t="shared" si="33"/>
        <v>487894.3252</v>
      </c>
      <c r="H35" s="8">
        <f t="shared" si="34"/>
        <v>2256511.254</v>
      </c>
      <c r="I35" s="8">
        <f t="shared" si="35"/>
        <v>52893.08386</v>
      </c>
      <c r="J35" s="8">
        <f t="shared" si="36"/>
        <v>66070.2065</v>
      </c>
      <c r="K35" s="1"/>
      <c r="L35" s="10">
        <v>2021.0</v>
      </c>
      <c r="M35" s="6">
        <f t="shared" si="25"/>
        <v>578185.3974</v>
      </c>
      <c r="N35" s="6"/>
      <c r="O35" s="6">
        <f t="shared" si="26"/>
        <v>950192.6026</v>
      </c>
      <c r="P35" s="11">
        <v>1528378.0</v>
      </c>
      <c r="Q35" s="10">
        <f t="shared" si="27"/>
        <v>9250.966358</v>
      </c>
      <c r="R35" s="8">
        <f t="shared" si="28"/>
        <v>39392.72025</v>
      </c>
      <c r="S35" s="8">
        <f t="shared" si="29"/>
        <v>9501.926026</v>
      </c>
      <c r="T35" s="8">
        <f t="shared" si="30"/>
        <v>125425.4235</v>
      </c>
      <c r="U35" s="1"/>
      <c r="V35" s="1"/>
      <c r="W35" s="1"/>
      <c r="X35" s="1"/>
      <c r="Y35" s="1"/>
    </row>
    <row r="36">
      <c r="A36" s="1"/>
      <c r="B36" s="6">
        <v>2020.0</v>
      </c>
      <c r="C36" s="7">
        <v>3.6024656E7</v>
      </c>
      <c r="D36" s="9"/>
      <c r="E36" s="9">
        <f t="shared" si="31"/>
        <v>30945179.5</v>
      </c>
      <c r="F36" s="9">
        <f t="shared" si="32"/>
        <v>5079476.496</v>
      </c>
      <c r="G36" s="6">
        <f t="shared" si="33"/>
        <v>495122.8721</v>
      </c>
      <c r="H36" s="8">
        <f t="shared" si="34"/>
        <v>2289943.283</v>
      </c>
      <c r="I36" s="8">
        <f t="shared" si="35"/>
        <v>53676.73744</v>
      </c>
      <c r="J36" s="8">
        <f t="shared" si="36"/>
        <v>67049.08975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0">
        <v>2021.0</v>
      </c>
      <c r="C37" s="11">
        <v>3.6547715E7</v>
      </c>
      <c r="D37" s="12"/>
      <c r="E37" s="9">
        <f t="shared" si="31"/>
        <v>31394487.19</v>
      </c>
      <c r="F37" s="9">
        <f t="shared" si="32"/>
        <v>5153227.815</v>
      </c>
      <c r="G37" s="10">
        <f t="shared" si="33"/>
        <v>502311.795</v>
      </c>
      <c r="H37" s="8">
        <f t="shared" si="34"/>
        <v>2323192.052</v>
      </c>
      <c r="I37" s="8">
        <f t="shared" si="35"/>
        <v>54456.09535</v>
      </c>
      <c r="J37" s="8">
        <f t="shared" si="36"/>
        <v>68022.60716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2"/>
      <c r="E41" s="2"/>
      <c r="F41" s="2"/>
      <c r="G41" s="1"/>
      <c r="H41" s="1"/>
      <c r="I41" s="1"/>
      <c r="J41" s="1"/>
      <c r="K41" s="1"/>
      <c r="L41" s="1"/>
      <c r="M41" s="18" t="s">
        <v>3</v>
      </c>
      <c r="N41" s="18"/>
      <c r="O41" s="18" t="s">
        <v>4</v>
      </c>
      <c r="P41" s="3" t="s">
        <v>17</v>
      </c>
      <c r="Q41" s="4" t="s">
        <v>5</v>
      </c>
      <c r="R41" s="1" t="s">
        <v>18</v>
      </c>
      <c r="S41" s="1" t="s">
        <v>19</v>
      </c>
      <c r="T41" s="1" t="s">
        <v>20</v>
      </c>
      <c r="U41" s="1" t="s">
        <v>21</v>
      </c>
      <c r="V41" s="1"/>
      <c r="W41" s="1"/>
      <c r="X41" s="1"/>
      <c r="Y41" s="1"/>
    </row>
    <row r="42">
      <c r="A42" s="1"/>
      <c r="B42" s="3" t="s">
        <v>22</v>
      </c>
      <c r="C42" s="4" t="s">
        <v>10</v>
      </c>
      <c r="D42" s="5"/>
      <c r="E42" s="5" t="s">
        <v>11</v>
      </c>
      <c r="F42" s="5" t="s">
        <v>12</v>
      </c>
      <c r="G42" s="3" t="s">
        <v>6</v>
      </c>
      <c r="H42" s="1" t="s">
        <v>7</v>
      </c>
      <c r="I42" s="1" t="s">
        <v>8</v>
      </c>
      <c r="J42" s="1" t="s">
        <v>9</v>
      </c>
      <c r="K42" s="1"/>
      <c r="L42" s="1"/>
      <c r="M42" s="1">
        <f t="shared" ref="M42:M48" si="37">65.12*Q42/100</f>
        <v>17542863.04</v>
      </c>
      <c r="N42" s="1"/>
      <c r="O42" s="1">
        <f t="shared" ref="O42:O48" si="38">34.88*Q42/100</f>
        <v>9396422.957</v>
      </c>
      <c r="P42" s="6">
        <v>2015.0</v>
      </c>
      <c r="Q42" s="7">
        <v>2.6939286E7</v>
      </c>
      <c r="R42" s="8">
        <f t="shared" ref="R42:R48" si="39">Q42*65.12*1.6/10000</f>
        <v>280685.8087</v>
      </c>
      <c r="S42" s="8">
        <f t="shared" ref="S42:S48" si="40">7.4*65.12*Q42/10000</f>
        <v>1298171.865</v>
      </c>
      <c r="T42" s="8">
        <f t="shared" ref="T42:T48" si="41">1*34.88*Q42/10000</f>
        <v>93964.22957</v>
      </c>
      <c r="U42" s="8">
        <f t="shared" ref="U42:U48" si="42">13.2*34.88*Q42/10000</f>
        <v>1240327.83</v>
      </c>
      <c r="V42" s="1"/>
      <c r="W42" s="1"/>
      <c r="X42" s="1"/>
      <c r="Y42" s="1"/>
    </row>
    <row r="43">
      <c r="A43" s="1"/>
      <c r="B43" s="6">
        <v>2015.0</v>
      </c>
      <c r="C43" s="7">
        <v>6.4919427E7</v>
      </c>
      <c r="D43" s="9"/>
      <c r="E43" s="9">
        <f t="shared" ref="E43:E49" si="43">57.4*C43/100</f>
        <v>37263751.1</v>
      </c>
      <c r="F43" s="9">
        <f t="shared" ref="F43:F49" si="44">42.6*C43/100</f>
        <v>27655675.9</v>
      </c>
      <c r="G43" s="6">
        <f t="shared" ref="G43:G49" si="45">C43*1.6*57.4/10000</f>
        <v>596220.0176</v>
      </c>
      <c r="H43" s="8">
        <f t="shared" ref="H43:H49" si="46">C43*7.4*57.4/10000</f>
        <v>2757517.581</v>
      </c>
      <c r="I43" s="8">
        <f t="shared" ref="I43:I49" si="47">C43*42.6*1/10000</f>
        <v>276556.759</v>
      </c>
      <c r="J43" s="8">
        <f t="shared" ref="J43:J49" si="48">C43*13.2*42.6/10000</f>
        <v>3650549.219</v>
      </c>
      <c r="K43" s="1"/>
      <c r="L43" s="1"/>
      <c r="M43" s="1">
        <f t="shared" si="37"/>
        <v>17798039.02</v>
      </c>
      <c r="N43" s="1"/>
      <c r="O43" s="1">
        <f t="shared" si="38"/>
        <v>9533101.981</v>
      </c>
      <c r="P43" s="6">
        <v>2016.0</v>
      </c>
      <c r="Q43" s="7">
        <v>2.7331141E7</v>
      </c>
      <c r="R43" s="8">
        <f t="shared" si="39"/>
        <v>284768.6243</v>
      </c>
      <c r="S43" s="8">
        <f t="shared" si="40"/>
        <v>1317054.887</v>
      </c>
      <c r="T43" s="8">
        <f t="shared" si="41"/>
        <v>95331.01981</v>
      </c>
      <c r="U43" s="8">
        <f t="shared" si="42"/>
        <v>1258369.461</v>
      </c>
      <c r="V43" s="1"/>
      <c r="W43" s="1"/>
      <c r="X43" s="1"/>
      <c r="Y43" s="1"/>
    </row>
    <row r="44">
      <c r="A44" s="1"/>
      <c r="B44" s="6">
        <v>2016.0</v>
      </c>
      <c r="C44" s="7">
        <v>6.6032362E7</v>
      </c>
      <c r="D44" s="9"/>
      <c r="E44" s="9">
        <f t="shared" si="43"/>
        <v>37902575.79</v>
      </c>
      <c r="F44" s="9">
        <f t="shared" si="44"/>
        <v>28129786.21</v>
      </c>
      <c r="G44" s="6">
        <f t="shared" si="45"/>
        <v>606441.2126</v>
      </c>
      <c r="H44" s="8">
        <f t="shared" si="46"/>
        <v>2804790.608</v>
      </c>
      <c r="I44" s="8">
        <f t="shared" si="47"/>
        <v>281297.8621</v>
      </c>
      <c r="J44" s="8">
        <f t="shared" si="48"/>
        <v>3713131.78</v>
      </c>
      <c r="K44" s="1"/>
      <c r="L44" s="1"/>
      <c r="M44" s="1">
        <f t="shared" si="37"/>
        <v>18051748.49</v>
      </c>
      <c r="N44" s="1"/>
      <c r="O44" s="1">
        <f t="shared" si="38"/>
        <v>9668995.507</v>
      </c>
      <c r="P44" s="6">
        <v>2017.0</v>
      </c>
      <c r="Q44" s="7">
        <v>2.7720744E7</v>
      </c>
      <c r="R44" s="8">
        <f t="shared" si="39"/>
        <v>288827.9759</v>
      </c>
      <c r="S44" s="8">
        <f t="shared" si="40"/>
        <v>1335829.388</v>
      </c>
      <c r="T44" s="8">
        <f t="shared" si="41"/>
        <v>96689.95507</v>
      </c>
      <c r="U44" s="8">
        <f t="shared" si="42"/>
        <v>1276307.407</v>
      </c>
      <c r="V44" s="1"/>
      <c r="W44" s="1"/>
      <c r="X44" s="1"/>
      <c r="Y44" s="1"/>
    </row>
    <row r="45">
      <c r="A45" s="1"/>
      <c r="B45" s="6">
        <v>2017.0</v>
      </c>
      <c r="C45" s="7">
        <v>6.7141736E7</v>
      </c>
      <c r="D45" s="9"/>
      <c r="E45" s="9">
        <f t="shared" si="43"/>
        <v>38539356.46</v>
      </c>
      <c r="F45" s="9">
        <f t="shared" si="44"/>
        <v>28602379.54</v>
      </c>
      <c r="G45" s="6">
        <f t="shared" si="45"/>
        <v>616629.7034</v>
      </c>
      <c r="H45" s="8">
        <f t="shared" si="46"/>
        <v>2851912.378</v>
      </c>
      <c r="I45" s="8">
        <f t="shared" si="47"/>
        <v>286023.7954</v>
      </c>
      <c r="J45" s="8">
        <f t="shared" si="48"/>
        <v>3775514.099</v>
      </c>
      <c r="K45" s="1"/>
      <c r="L45" s="1"/>
      <c r="M45" s="1">
        <f t="shared" si="37"/>
        <v>18303928.95</v>
      </c>
      <c r="N45" s="1"/>
      <c r="O45" s="1">
        <f t="shared" si="38"/>
        <v>9804070.051</v>
      </c>
      <c r="P45" s="6">
        <v>2018.0</v>
      </c>
      <c r="Q45" s="7">
        <v>2.8107999E7</v>
      </c>
      <c r="R45" s="8">
        <f t="shared" si="39"/>
        <v>292862.8632</v>
      </c>
      <c r="S45" s="8">
        <f t="shared" si="40"/>
        <v>1354490.742</v>
      </c>
      <c r="T45" s="8">
        <f t="shared" si="41"/>
        <v>98040.70051</v>
      </c>
      <c r="U45" s="8">
        <f t="shared" si="42"/>
        <v>1294137.247</v>
      </c>
      <c r="V45" s="1"/>
      <c r="W45" s="1"/>
      <c r="X45" s="1"/>
      <c r="Y45" s="1"/>
    </row>
    <row r="46">
      <c r="A46" s="1"/>
      <c r="B46" s="6">
        <v>2018.0</v>
      </c>
      <c r="C46" s="7">
        <v>6.8247188E7</v>
      </c>
      <c r="D46" s="9"/>
      <c r="E46" s="9">
        <f t="shared" si="43"/>
        <v>39173885.91</v>
      </c>
      <c r="F46" s="9">
        <f t="shared" si="44"/>
        <v>29073302.09</v>
      </c>
      <c r="G46" s="6">
        <f t="shared" si="45"/>
        <v>626782.1746</v>
      </c>
      <c r="H46" s="8">
        <f t="shared" si="46"/>
        <v>2898867.557</v>
      </c>
      <c r="I46" s="8">
        <f t="shared" si="47"/>
        <v>290733.0209</v>
      </c>
      <c r="J46" s="8">
        <f t="shared" si="48"/>
        <v>3837675.876</v>
      </c>
      <c r="K46" s="1"/>
      <c r="L46" s="1"/>
      <c r="M46" s="1">
        <f t="shared" si="37"/>
        <v>18554517.87</v>
      </c>
      <c r="N46" s="1"/>
      <c r="O46" s="1">
        <f t="shared" si="38"/>
        <v>9938292.128</v>
      </c>
      <c r="P46" s="6">
        <v>2019.0</v>
      </c>
      <c r="Q46" s="7">
        <v>2.849281E7</v>
      </c>
      <c r="R46" s="8">
        <f t="shared" si="39"/>
        <v>296872.286</v>
      </c>
      <c r="S46" s="8">
        <f t="shared" si="40"/>
        <v>1373034.323</v>
      </c>
      <c r="T46" s="8">
        <f t="shared" si="41"/>
        <v>99382.92128</v>
      </c>
      <c r="U46" s="8">
        <f t="shared" si="42"/>
        <v>1311854.561</v>
      </c>
      <c r="V46" s="1"/>
      <c r="W46" s="1"/>
      <c r="X46" s="1"/>
      <c r="Y46" s="1"/>
    </row>
    <row r="47">
      <c r="A47" s="1"/>
      <c r="B47" s="6">
        <v>2019.0</v>
      </c>
      <c r="C47" s="7">
        <v>6.9348367E7</v>
      </c>
      <c r="D47" s="9"/>
      <c r="E47" s="9">
        <f t="shared" si="43"/>
        <v>39805962.66</v>
      </c>
      <c r="F47" s="9">
        <f t="shared" si="44"/>
        <v>29542404.34</v>
      </c>
      <c r="G47" s="6">
        <f t="shared" si="45"/>
        <v>636895.4025</v>
      </c>
      <c r="H47" s="8">
        <f t="shared" si="46"/>
        <v>2945641.237</v>
      </c>
      <c r="I47" s="8">
        <f t="shared" si="47"/>
        <v>295424.0434</v>
      </c>
      <c r="J47" s="8">
        <f t="shared" si="48"/>
        <v>3899597.373</v>
      </c>
      <c r="K47" s="1"/>
      <c r="L47" s="1"/>
      <c r="M47" s="1">
        <f t="shared" si="37"/>
        <v>18803456.65</v>
      </c>
      <c r="N47" s="1"/>
      <c r="O47" s="1">
        <f t="shared" si="38"/>
        <v>10071630.35</v>
      </c>
      <c r="P47" s="6">
        <v>2020.0</v>
      </c>
      <c r="Q47" s="7">
        <v>2.8875087E7</v>
      </c>
      <c r="R47" s="8">
        <f t="shared" si="39"/>
        <v>300855.3065</v>
      </c>
      <c r="S47" s="8">
        <f t="shared" si="40"/>
        <v>1391455.792</v>
      </c>
      <c r="T47" s="8">
        <f t="shared" si="41"/>
        <v>100716.3035</v>
      </c>
      <c r="U47" s="8">
        <f t="shared" si="42"/>
        <v>1329455.206</v>
      </c>
      <c r="V47" s="1"/>
      <c r="W47" s="1"/>
      <c r="X47" s="1"/>
      <c r="Y47" s="1"/>
    </row>
    <row r="48">
      <c r="A48" s="1"/>
      <c r="B48" s="6">
        <v>2020.0</v>
      </c>
      <c r="C48" s="7">
        <v>7.0444935E7</v>
      </c>
      <c r="D48" s="9"/>
      <c r="E48" s="9">
        <f t="shared" si="43"/>
        <v>40435392.69</v>
      </c>
      <c r="F48" s="9">
        <f t="shared" si="44"/>
        <v>30009542.31</v>
      </c>
      <c r="G48" s="6">
        <f t="shared" si="45"/>
        <v>646966.283</v>
      </c>
      <c r="H48" s="8">
        <f t="shared" si="46"/>
        <v>2992219.059</v>
      </c>
      <c r="I48" s="8">
        <f t="shared" si="47"/>
        <v>300095.4231</v>
      </c>
      <c r="J48" s="8">
        <f t="shared" si="48"/>
        <v>3961259.585</v>
      </c>
      <c r="K48" s="1"/>
      <c r="L48" s="1"/>
      <c r="M48" s="1">
        <f t="shared" si="37"/>
        <v>19050689.94</v>
      </c>
      <c r="N48" s="1"/>
      <c r="O48" s="1">
        <f t="shared" si="38"/>
        <v>10204055.06</v>
      </c>
      <c r="P48" s="10">
        <v>2021.0</v>
      </c>
      <c r="Q48" s="11">
        <v>2.9254745E7</v>
      </c>
      <c r="R48" s="8">
        <f t="shared" si="39"/>
        <v>304811.0391</v>
      </c>
      <c r="S48" s="8">
        <f t="shared" si="40"/>
        <v>1409751.056</v>
      </c>
      <c r="T48" s="8">
        <f t="shared" si="41"/>
        <v>102040.5506</v>
      </c>
      <c r="U48" s="8">
        <f t="shared" si="42"/>
        <v>1346935.267</v>
      </c>
      <c r="V48" s="1"/>
      <c r="W48" s="1"/>
      <c r="X48" s="1"/>
      <c r="Y48" s="1"/>
    </row>
    <row r="49">
      <c r="A49" s="1"/>
      <c r="B49" s="10">
        <v>2021.0</v>
      </c>
      <c r="C49" s="11">
        <v>7.1536564E7</v>
      </c>
      <c r="D49" s="12"/>
      <c r="E49" s="9">
        <f t="shared" si="43"/>
        <v>41061987.74</v>
      </c>
      <c r="F49" s="13">
        <f t="shared" si="44"/>
        <v>30474576.26</v>
      </c>
      <c r="G49" s="10">
        <f t="shared" si="45"/>
        <v>656991.8038</v>
      </c>
      <c r="H49" s="8">
        <f t="shared" si="46"/>
        <v>3038587.092</v>
      </c>
      <c r="I49" s="8">
        <f t="shared" si="47"/>
        <v>304745.7626</v>
      </c>
      <c r="J49" s="8">
        <f t="shared" si="48"/>
        <v>4022644.067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3" t="s">
        <v>23</v>
      </c>
      <c r="C52" s="4" t="s">
        <v>10</v>
      </c>
      <c r="D52" s="5"/>
      <c r="E52" s="5" t="s">
        <v>11</v>
      </c>
      <c r="F52" s="5" t="s">
        <v>12</v>
      </c>
      <c r="G52" s="3" t="s">
        <v>6</v>
      </c>
      <c r="H52" s="1" t="s">
        <v>7</v>
      </c>
      <c r="I52" s="1" t="s">
        <v>8</v>
      </c>
      <c r="J52" s="1" t="s">
        <v>9</v>
      </c>
      <c r="K52" s="1"/>
      <c r="L52" s="3" t="s">
        <v>24</v>
      </c>
      <c r="M52" s="4" t="s">
        <v>10</v>
      </c>
      <c r="N52" s="5"/>
      <c r="O52" s="5" t="s">
        <v>11</v>
      </c>
      <c r="P52" s="5" t="s">
        <v>12</v>
      </c>
      <c r="Q52" s="3" t="s">
        <v>6</v>
      </c>
      <c r="R52" s="1" t="s">
        <v>7</v>
      </c>
      <c r="S52" s="1" t="s">
        <v>8</v>
      </c>
      <c r="T52" s="1" t="s">
        <v>9</v>
      </c>
      <c r="U52" s="1"/>
      <c r="V52" s="1"/>
      <c r="W52" s="1"/>
      <c r="X52" s="1"/>
      <c r="Y52" s="1"/>
    </row>
    <row r="53">
      <c r="A53" s="1"/>
      <c r="B53" s="6">
        <v>2015.0</v>
      </c>
      <c r="C53" s="7">
        <v>7155760.0</v>
      </c>
      <c r="D53" s="19"/>
      <c r="E53" s="19">
        <f t="shared" ref="E53:E59" si="49">89.97*C53/100</f>
        <v>6438037.272</v>
      </c>
      <c r="F53" s="19">
        <f t="shared" ref="F53:F59" si="50">10.03*C53/100</f>
        <v>717722.728</v>
      </c>
      <c r="G53" s="8">
        <f t="shared" ref="G53:G59" si="51">89.97*1.6*C53/10000</f>
        <v>103008.5964</v>
      </c>
      <c r="H53" s="6">
        <f t="shared" ref="H53:H59" si="52">7.4*C53*89.97/10000</f>
        <v>476414.7581</v>
      </c>
      <c r="I53" s="8">
        <f t="shared" ref="I53:I59" si="53">10.03*C53*1/10000</f>
        <v>7177.22728</v>
      </c>
      <c r="J53" s="8">
        <f t="shared" ref="J53:J59" si="54">10.03*C53*13.2/10000</f>
        <v>94739.4001</v>
      </c>
      <c r="K53" s="1"/>
      <c r="L53" s="6">
        <v>2015.0</v>
      </c>
      <c r="M53" s="20">
        <f t="shared" ref="M53:M59" si="55">75.95*P53/100</f>
        <v>27435401.03</v>
      </c>
      <c r="N53" s="6"/>
      <c r="O53" s="6">
        <f t="shared" ref="O53:O59" si="56">24.05*P53/100</f>
        <v>8687575.969</v>
      </c>
      <c r="P53" s="7">
        <v>3.6122977E7</v>
      </c>
      <c r="Q53" s="8">
        <f t="shared" ref="Q53:Q59" si="57">75.95*1.6*P53/10000</f>
        <v>438966.4165</v>
      </c>
      <c r="R53" s="8">
        <f t="shared" ref="R53:R59" si="58">P53*75.95*7.4/10000</f>
        <v>2030219.676</v>
      </c>
      <c r="S53" s="8">
        <f t="shared" ref="S53:S59" si="59">24.05*1*P53/10000</f>
        <v>86875.75969</v>
      </c>
      <c r="T53" s="8">
        <f t="shared" ref="T53:T59" si="60">24.75*13.2*P53/10000</f>
        <v>1180137.659</v>
      </c>
      <c r="U53" s="1"/>
      <c r="V53" s="1"/>
      <c r="W53" s="1"/>
      <c r="X53" s="1"/>
      <c r="Y53" s="1"/>
    </row>
    <row r="54">
      <c r="A54" s="1"/>
      <c r="B54" s="6">
        <v>2016.0</v>
      </c>
      <c r="C54" s="7">
        <v>7226762.0</v>
      </c>
      <c r="D54" s="19"/>
      <c r="E54" s="19">
        <f t="shared" si="49"/>
        <v>6501917.771</v>
      </c>
      <c r="F54" s="19">
        <f t="shared" si="50"/>
        <v>724844.2286</v>
      </c>
      <c r="G54" s="8">
        <f t="shared" si="51"/>
        <v>104030.6843</v>
      </c>
      <c r="H54" s="6">
        <f t="shared" si="52"/>
        <v>481141.9151</v>
      </c>
      <c r="I54" s="8">
        <f t="shared" si="53"/>
        <v>7248.442286</v>
      </c>
      <c r="J54" s="8">
        <f t="shared" si="54"/>
        <v>95679.43818</v>
      </c>
      <c r="K54" s="1"/>
      <c r="L54" s="6">
        <v>2016.0</v>
      </c>
      <c r="M54" s="20">
        <f t="shared" si="55"/>
        <v>28034007.79</v>
      </c>
      <c r="N54" s="6"/>
      <c r="O54" s="6">
        <f t="shared" si="56"/>
        <v>8877128.208</v>
      </c>
      <c r="P54" s="7">
        <v>3.6911136E7</v>
      </c>
      <c r="Q54" s="8">
        <f t="shared" si="57"/>
        <v>448544.1247</v>
      </c>
      <c r="R54" s="8">
        <f t="shared" si="58"/>
        <v>2074516.577</v>
      </c>
      <c r="S54" s="8">
        <f t="shared" si="59"/>
        <v>88771.28208</v>
      </c>
      <c r="T54" s="8">
        <f t="shared" si="60"/>
        <v>1205886.813</v>
      </c>
      <c r="U54" s="1"/>
      <c r="V54" s="1"/>
      <c r="W54" s="1"/>
      <c r="X54" s="1"/>
      <c r="Y54" s="1"/>
    </row>
    <row r="55">
      <c r="A55" s="1"/>
      <c r="B55" s="6">
        <v>2017.0</v>
      </c>
      <c r="C55" s="7">
        <v>7297034.0</v>
      </c>
      <c r="D55" s="19"/>
      <c r="E55" s="19">
        <f t="shared" si="49"/>
        <v>6565141.49</v>
      </c>
      <c r="F55" s="19">
        <f t="shared" si="50"/>
        <v>731892.5102</v>
      </c>
      <c r="G55" s="8">
        <f t="shared" si="51"/>
        <v>105042.2638</v>
      </c>
      <c r="H55" s="6">
        <f t="shared" si="52"/>
        <v>485820.4702</v>
      </c>
      <c r="I55" s="8">
        <f t="shared" si="53"/>
        <v>7318.925102</v>
      </c>
      <c r="J55" s="8">
        <f t="shared" si="54"/>
        <v>96609.81135</v>
      </c>
      <c r="K55" s="1"/>
      <c r="L55" s="6">
        <v>2017.0</v>
      </c>
      <c r="M55" s="20">
        <f t="shared" si="55"/>
        <v>28633442.41</v>
      </c>
      <c r="N55" s="6"/>
      <c r="O55" s="6">
        <f t="shared" si="56"/>
        <v>9066942.593</v>
      </c>
      <c r="P55" s="7">
        <v>3.7700385E7</v>
      </c>
      <c r="Q55" s="8">
        <f t="shared" si="57"/>
        <v>458135.0785</v>
      </c>
      <c r="R55" s="8">
        <f t="shared" si="58"/>
        <v>2118874.738</v>
      </c>
      <c r="S55" s="8">
        <f t="shared" si="59"/>
        <v>90669.42593</v>
      </c>
      <c r="T55" s="8">
        <f t="shared" si="60"/>
        <v>1231671.578</v>
      </c>
      <c r="U55" s="1"/>
      <c r="V55" s="1"/>
      <c r="W55" s="1"/>
      <c r="X55" s="1"/>
      <c r="Y55" s="1"/>
    </row>
    <row r="56">
      <c r="A56" s="1"/>
      <c r="B56" s="6">
        <v>2018.0</v>
      </c>
      <c r="C56" s="7">
        <v>7366571.0</v>
      </c>
      <c r="D56" s="19"/>
      <c r="E56" s="19">
        <f t="shared" si="49"/>
        <v>6627703.929</v>
      </c>
      <c r="F56" s="19">
        <f t="shared" si="50"/>
        <v>738867.0713</v>
      </c>
      <c r="G56" s="8">
        <f t="shared" si="51"/>
        <v>106043.2629</v>
      </c>
      <c r="H56" s="6">
        <f t="shared" si="52"/>
        <v>490450.0907</v>
      </c>
      <c r="I56" s="8">
        <f t="shared" si="53"/>
        <v>7388.670713</v>
      </c>
      <c r="J56" s="8">
        <f t="shared" si="54"/>
        <v>97530.45341</v>
      </c>
      <c r="K56" s="1"/>
      <c r="L56" s="6">
        <v>2018.0</v>
      </c>
      <c r="M56" s="20">
        <f t="shared" si="55"/>
        <v>29233448.93</v>
      </c>
      <c r="N56" s="6"/>
      <c r="O56" s="6">
        <f t="shared" si="56"/>
        <v>9256938.074</v>
      </c>
      <c r="P56" s="7">
        <v>3.8490387E7</v>
      </c>
      <c r="Q56" s="8">
        <f t="shared" si="57"/>
        <v>467735.1828</v>
      </c>
      <c r="R56" s="8">
        <f t="shared" si="58"/>
        <v>2163275.221</v>
      </c>
      <c r="S56" s="8">
        <f t="shared" si="59"/>
        <v>92569.38074</v>
      </c>
      <c r="T56" s="8">
        <f t="shared" si="60"/>
        <v>1257480.943</v>
      </c>
      <c r="U56" s="1"/>
      <c r="V56" s="1"/>
      <c r="W56" s="1"/>
      <c r="X56" s="1"/>
      <c r="Y56" s="1"/>
    </row>
    <row r="57">
      <c r="A57" s="1"/>
      <c r="B57" s="6">
        <v>2019.0</v>
      </c>
      <c r="C57" s="7">
        <v>7435366.0</v>
      </c>
      <c r="D57" s="19"/>
      <c r="E57" s="19">
        <f t="shared" si="49"/>
        <v>6689598.79</v>
      </c>
      <c r="F57" s="19">
        <f t="shared" si="50"/>
        <v>745767.2098</v>
      </c>
      <c r="G57" s="8">
        <f t="shared" si="51"/>
        <v>107033.5806</v>
      </c>
      <c r="H57" s="6">
        <f t="shared" si="52"/>
        <v>495030.3105</v>
      </c>
      <c r="I57" s="8">
        <f t="shared" si="53"/>
        <v>7457.672098</v>
      </c>
      <c r="J57" s="8">
        <f t="shared" si="54"/>
        <v>98441.27169</v>
      </c>
      <c r="K57" s="1"/>
      <c r="L57" s="6">
        <v>2019.0</v>
      </c>
      <c r="M57" s="20">
        <f t="shared" si="55"/>
        <v>29833776.71</v>
      </c>
      <c r="N57" s="6"/>
      <c r="O57" s="6">
        <f t="shared" si="56"/>
        <v>9447035.286</v>
      </c>
      <c r="P57" s="7">
        <v>3.9280812E7</v>
      </c>
      <c r="Q57" s="8">
        <f t="shared" si="57"/>
        <v>477340.4274</v>
      </c>
      <c r="R57" s="8">
        <f t="shared" si="58"/>
        <v>2207699.477</v>
      </c>
      <c r="S57" s="8">
        <f t="shared" si="59"/>
        <v>94470.35286</v>
      </c>
      <c r="T57" s="8">
        <f t="shared" si="60"/>
        <v>1283304.128</v>
      </c>
      <c r="U57" s="1"/>
      <c r="V57" s="1"/>
      <c r="W57" s="1"/>
      <c r="X57" s="1"/>
      <c r="Y57" s="1"/>
    </row>
    <row r="58">
      <c r="A58" s="1"/>
      <c r="B58" s="6">
        <v>2020.0</v>
      </c>
      <c r="C58" s="7">
        <v>7503415.0</v>
      </c>
      <c r="D58" s="19"/>
      <c r="E58" s="19">
        <f t="shared" si="49"/>
        <v>6750822.476</v>
      </c>
      <c r="F58" s="19">
        <f t="shared" si="50"/>
        <v>752592.5245</v>
      </c>
      <c r="G58" s="8">
        <f t="shared" si="51"/>
        <v>108013.1596</v>
      </c>
      <c r="H58" s="6">
        <f t="shared" si="52"/>
        <v>499560.8632</v>
      </c>
      <c r="I58" s="8">
        <f t="shared" si="53"/>
        <v>7525.925245</v>
      </c>
      <c r="J58" s="8">
        <f t="shared" si="54"/>
        <v>99342.21323</v>
      </c>
      <c r="K58" s="1"/>
      <c r="L58" s="6">
        <v>2020.0</v>
      </c>
      <c r="M58" s="20">
        <f t="shared" si="55"/>
        <v>30434179.69</v>
      </c>
      <c r="N58" s="6"/>
      <c r="O58" s="6">
        <f t="shared" si="56"/>
        <v>9637156.308</v>
      </c>
      <c r="P58" s="7">
        <v>4.0071336E7</v>
      </c>
      <c r="Q58" s="8">
        <f t="shared" si="57"/>
        <v>486946.8751</v>
      </c>
      <c r="R58" s="8">
        <f t="shared" si="58"/>
        <v>2252129.297</v>
      </c>
      <c r="S58" s="8">
        <f t="shared" si="59"/>
        <v>96371.56308</v>
      </c>
      <c r="T58" s="8">
        <f t="shared" si="60"/>
        <v>1309130.547</v>
      </c>
      <c r="U58" s="1"/>
      <c r="V58" s="1"/>
      <c r="W58" s="1"/>
      <c r="X58" s="1"/>
      <c r="Y58" s="1"/>
    </row>
    <row r="59">
      <c r="A59" s="1"/>
      <c r="B59" s="10">
        <v>2021.0</v>
      </c>
      <c r="C59" s="11">
        <v>7570713.0</v>
      </c>
      <c r="D59" s="19"/>
      <c r="E59" s="19">
        <f t="shared" si="49"/>
        <v>6811370.486</v>
      </c>
      <c r="F59" s="19">
        <f t="shared" si="50"/>
        <v>759342.5139</v>
      </c>
      <c r="G59" s="8">
        <f t="shared" si="51"/>
        <v>108981.9278</v>
      </c>
      <c r="H59" s="10">
        <f t="shared" si="52"/>
        <v>504041.416</v>
      </c>
      <c r="I59" s="8">
        <f t="shared" si="53"/>
        <v>7593.425139</v>
      </c>
      <c r="J59" s="8">
        <f t="shared" si="54"/>
        <v>100233.2118</v>
      </c>
      <c r="K59" s="1"/>
      <c r="L59" s="10">
        <v>2021.0</v>
      </c>
      <c r="M59" s="20">
        <f t="shared" si="55"/>
        <v>31034416.34</v>
      </c>
      <c r="N59" s="6"/>
      <c r="O59" s="6">
        <f t="shared" si="56"/>
        <v>9827224.661</v>
      </c>
      <c r="P59" s="11">
        <v>4.0861641E7</v>
      </c>
      <c r="Q59" s="8">
        <f t="shared" si="57"/>
        <v>496550.6614</v>
      </c>
      <c r="R59" s="8">
        <f t="shared" si="58"/>
        <v>2296546.809</v>
      </c>
      <c r="S59" s="8">
        <f t="shared" si="59"/>
        <v>98272.24661</v>
      </c>
      <c r="T59" s="8">
        <f t="shared" si="60"/>
        <v>1334949.811</v>
      </c>
      <c r="U59" s="1"/>
      <c r="V59" s="1"/>
      <c r="W59" s="1"/>
      <c r="X59" s="1"/>
      <c r="Y59" s="1"/>
    </row>
    <row r="60">
      <c r="A60" s="1"/>
      <c r="B60" s="1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 t="s">
        <v>25</v>
      </c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8" t="s">
        <v>26</v>
      </c>
      <c r="W62" s="1"/>
      <c r="X62" s="1"/>
      <c r="Y62" s="1"/>
    </row>
    <row r="63">
      <c r="A63" s="1"/>
      <c r="B63" s="3"/>
      <c r="C63" s="4" t="s">
        <v>10</v>
      </c>
      <c r="D63" s="5"/>
      <c r="E63" s="5" t="s">
        <v>11</v>
      </c>
      <c r="F63" s="5" t="s">
        <v>12</v>
      </c>
      <c r="G63" s="3" t="s">
        <v>6</v>
      </c>
      <c r="H63" s="1" t="s">
        <v>7</v>
      </c>
      <c r="I63" s="1" t="s">
        <v>8</v>
      </c>
      <c r="J63" s="1" t="s">
        <v>9</v>
      </c>
      <c r="K63" s="1"/>
      <c r="L63" s="3" t="s">
        <v>27</v>
      </c>
      <c r="M63" s="4" t="s">
        <v>10</v>
      </c>
      <c r="N63" s="5"/>
      <c r="O63" s="5" t="s">
        <v>11</v>
      </c>
      <c r="P63" s="5" t="s">
        <v>12</v>
      </c>
      <c r="Q63" s="3" t="s">
        <v>6</v>
      </c>
      <c r="R63" s="1" t="s">
        <v>7</v>
      </c>
      <c r="S63" s="1" t="s">
        <v>8</v>
      </c>
      <c r="T63" s="1" t="s">
        <v>9</v>
      </c>
      <c r="U63" s="1"/>
      <c r="V63" s="21" t="s">
        <v>28</v>
      </c>
      <c r="W63" s="22" t="s">
        <v>29</v>
      </c>
      <c r="X63" s="22" t="s">
        <v>30</v>
      </c>
      <c r="Y63" s="22" t="s">
        <v>31</v>
      </c>
    </row>
    <row r="64">
      <c r="A64" s="1"/>
      <c r="B64" s="6">
        <v>2015.0</v>
      </c>
      <c r="C64" s="7">
        <v>6.4921845E7</v>
      </c>
      <c r="D64" s="9"/>
      <c r="E64" s="9">
        <f t="shared" ref="E64:E70" si="61">61.33*C64/100</f>
        <v>39816567.54</v>
      </c>
      <c r="F64" s="9">
        <f t="shared" ref="F64:F70" si="62">38.67*C64/100</f>
        <v>25105277.46</v>
      </c>
      <c r="G64" s="6">
        <f t="shared" ref="G64:G70" si="63">61.33*1.6*C64/10000</f>
        <v>637065.0806</v>
      </c>
      <c r="H64" s="8">
        <f t="shared" ref="H64:H70" si="64">61.3*7.4*C64/10000</f>
        <v>2944984.733</v>
      </c>
      <c r="I64" s="8">
        <f t="shared" ref="I64:I70" si="65">38.67*1*C64/10000</f>
        <v>251052.7746</v>
      </c>
      <c r="J64" s="8">
        <f t="shared" ref="J64:J70" si="66">38.67*13.2*C64/10000</f>
        <v>3313896.625</v>
      </c>
      <c r="K64" s="1"/>
      <c r="L64" s="6">
        <v>2015.0</v>
      </c>
      <c r="M64" s="20">
        <f t="shared" ref="M64:M70" si="67">52.3*P64/100</f>
        <v>17778944.63</v>
      </c>
      <c r="N64" s="20"/>
      <c r="O64" s="20">
        <f t="shared" ref="O64:O70" si="68">47.7*P64/100</f>
        <v>16215213.37</v>
      </c>
      <c r="P64" s="7">
        <v>3.3994158E7</v>
      </c>
      <c r="Q64" s="6">
        <f t="shared" ref="Q64:Q70" si="69">52.3*1.6*P64/10000</f>
        <v>284463.1141</v>
      </c>
      <c r="R64" s="8">
        <f t="shared" ref="R64:R70" si="70">52.3*7.4*P64/10000</f>
        <v>1315641.903</v>
      </c>
      <c r="S64" s="8">
        <f t="shared" ref="S64:S70" si="71">47.7*1*P64/10000</f>
        <v>162152.1337</v>
      </c>
      <c r="T64" s="8">
        <f t="shared" ref="T64:T70" si="72">47.7*13.2*P64/10000</f>
        <v>2140408.164</v>
      </c>
      <c r="U64" s="1"/>
      <c r="V64" s="23">
        <v>1034600.445</v>
      </c>
      <c r="W64" s="24">
        <v>4785027.0596568</v>
      </c>
      <c r="X64" s="24">
        <v>533778.661668</v>
      </c>
      <c r="Y64" s="24">
        <v>7045878.3340176</v>
      </c>
      <c r="Z64" s="25">
        <v>1.18040394E8</v>
      </c>
      <c r="AA64" s="26">
        <f t="shared" ref="AA64:AA70" si="73">54.78*Z64/100</f>
        <v>64662527.83</v>
      </c>
      <c r="AB64" s="26">
        <f t="shared" ref="AB64:AB70" si="74">45.22*Z64/100</f>
        <v>53377866.17</v>
      </c>
    </row>
    <row r="65">
      <c r="A65" s="1"/>
      <c r="B65" s="6">
        <v>2016.0</v>
      </c>
      <c r="C65" s="7">
        <v>6.5866188E7</v>
      </c>
      <c r="D65" s="9"/>
      <c r="E65" s="9">
        <f t="shared" si="61"/>
        <v>40395733.1</v>
      </c>
      <c r="F65" s="9">
        <f t="shared" si="62"/>
        <v>25470454.9</v>
      </c>
      <c r="G65" s="6">
        <f t="shared" si="63"/>
        <v>646331.7296</v>
      </c>
      <c r="H65" s="8">
        <f t="shared" si="64"/>
        <v>2987822.02</v>
      </c>
      <c r="I65" s="8">
        <f t="shared" si="65"/>
        <v>254704.549</v>
      </c>
      <c r="J65" s="8">
        <f t="shared" si="66"/>
        <v>3362100.047</v>
      </c>
      <c r="K65" s="1"/>
      <c r="L65" s="6">
        <v>2016.0</v>
      </c>
      <c r="M65" s="20">
        <f t="shared" si="67"/>
        <v>17852833.03</v>
      </c>
      <c r="N65" s="20"/>
      <c r="O65" s="20">
        <f t="shared" si="68"/>
        <v>16282602.97</v>
      </c>
      <c r="P65" s="7">
        <v>3.4135436E7</v>
      </c>
      <c r="Q65" s="6">
        <f t="shared" si="69"/>
        <v>285645.3284</v>
      </c>
      <c r="R65" s="8">
        <f t="shared" si="70"/>
        <v>1321109.644</v>
      </c>
      <c r="S65" s="8">
        <f t="shared" si="71"/>
        <v>162826.0297</v>
      </c>
      <c r="T65" s="8">
        <f t="shared" si="72"/>
        <v>2149303.592</v>
      </c>
      <c r="U65" s="1"/>
      <c r="V65" s="23">
        <v>1046768.7574080002</v>
      </c>
      <c r="W65" s="24">
        <v>4841305.503012001</v>
      </c>
      <c r="X65" s="24">
        <v>540056.62662</v>
      </c>
      <c r="Y65" s="24">
        <v>7128747.471384</v>
      </c>
      <c r="Z65" s="25">
        <v>1.1942871E8</v>
      </c>
      <c r="AA65" s="26">
        <f t="shared" si="73"/>
        <v>65423047.34</v>
      </c>
      <c r="AB65" s="26">
        <f t="shared" si="74"/>
        <v>54005662.66</v>
      </c>
    </row>
    <row r="66">
      <c r="A66" s="1"/>
      <c r="B66" s="6">
        <v>2017.0</v>
      </c>
      <c r="C66" s="7">
        <v>6.6805106E7</v>
      </c>
      <c r="D66" s="9"/>
      <c r="E66" s="9">
        <f t="shared" si="61"/>
        <v>40971571.51</v>
      </c>
      <c r="F66" s="9">
        <f t="shared" si="62"/>
        <v>25833534.49</v>
      </c>
      <c r="G66" s="6">
        <f t="shared" si="63"/>
        <v>655545.1442</v>
      </c>
      <c r="H66" s="8">
        <f t="shared" si="64"/>
        <v>3030413.218</v>
      </c>
      <c r="I66" s="8">
        <f t="shared" si="65"/>
        <v>258335.3449</v>
      </c>
      <c r="J66" s="8">
        <f t="shared" si="66"/>
        <v>3410026.553</v>
      </c>
      <c r="K66" s="1"/>
      <c r="L66" s="6">
        <v>2017.0</v>
      </c>
      <c r="M66" s="20">
        <f t="shared" si="67"/>
        <v>17925544.67</v>
      </c>
      <c r="N66" s="20"/>
      <c r="O66" s="20">
        <f t="shared" si="68"/>
        <v>16348919.33</v>
      </c>
      <c r="P66" s="7">
        <v>3.4274464E7</v>
      </c>
      <c r="Q66" s="6">
        <f t="shared" si="69"/>
        <v>286808.7148</v>
      </c>
      <c r="R66" s="8">
        <f t="shared" si="70"/>
        <v>1326490.306</v>
      </c>
      <c r="S66" s="8">
        <f t="shared" si="71"/>
        <v>163489.1933</v>
      </c>
      <c r="T66" s="8">
        <f t="shared" si="72"/>
        <v>2158057.351</v>
      </c>
      <c r="U66" s="1"/>
      <c r="V66" s="23">
        <v>1058833.9516128001</v>
      </c>
      <c r="W66" s="24">
        <v>4897107.026209201</v>
      </c>
      <c r="X66" s="24">
        <v>546281.390242</v>
      </c>
      <c r="Y66" s="24">
        <v>7210914.3511944</v>
      </c>
      <c r="Z66" s="25">
        <v>1.20805261E8</v>
      </c>
      <c r="AA66" s="26">
        <f t="shared" si="73"/>
        <v>66177121.98</v>
      </c>
      <c r="AB66" s="26">
        <f t="shared" si="74"/>
        <v>54628139.02</v>
      </c>
    </row>
    <row r="67">
      <c r="A67" s="1"/>
      <c r="B67" s="6">
        <v>2018.0</v>
      </c>
      <c r="C67" s="7">
        <v>6.7738363E7</v>
      </c>
      <c r="D67" s="9"/>
      <c r="E67" s="9">
        <f t="shared" si="61"/>
        <v>41543938.03</v>
      </c>
      <c r="F67" s="9">
        <f t="shared" si="62"/>
        <v>26194424.97</v>
      </c>
      <c r="G67" s="6">
        <f t="shared" si="63"/>
        <v>664703.0084</v>
      </c>
      <c r="H67" s="8">
        <f t="shared" si="64"/>
        <v>3072747.622</v>
      </c>
      <c r="I67" s="8">
        <f t="shared" si="65"/>
        <v>261944.2497</v>
      </c>
      <c r="J67" s="8">
        <f t="shared" si="66"/>
        <v>3457664.096</v>
      </c>
      <c r="K67" s="1"/>
      <c r="L67" s="6">
        <v>2018.0</v>
      </c>
      <c r="M67" s="20">
        <f t="shared" si="67"/>
        <v>17997092.64</v>
      </c>
      <c r="N67" s="20"/>
      <c r="O67" s="20">
        <f t="shared" si="68"/>
        <v>16414174.36</v>
      </c>
      <c r="P67" s="7">
        <v>3.4411267E7</v>
      </c>
      <c r="Q67" s="6">
        <f t="shared" si="69"/>
        <v>287953.4823</v>
      </c>
      <c r="R67" s="8">
        <f t="shared" si="70"/>
        <v>1331784.855</v>
      </c>
      <c r="S67" s="8">
        <f t="shared" si="71"/>
        <v>164141.7436</v>
      </c>
      <c r="T67" s="8">
        <f t="shared" si="72"/>
        <v>2166671.015</v>
      </c>
      <c r="U67" s="1"/>
      <c r="V67" s="23">
        <v>1070794.1259840003</v>
      </c>
      <c r="W67" s="24">
        <v>4952422.832676001</v>
      </c>
      <c r="X67" s="24">
        <v>552451.9712599999</v>
      </c>
      <c r="Y67" s="24">
        <v>7292366.020631999</v>
      </c>
      <c r="Z67" s="25">
        <v>1.2216983E8</v>
      </c>
      <c r="AA67" s="26">
        <f t="shared" si="73"/>
        <v>66924632.87</v>
      </c>
      <c r="AB67" s="26">
        <f t="shared" si="74"/>
        <v>55245197.13</v>
      </c>
    </row>
    <row r="68">
      <c r="A68" s="1"/>
      <c r="B68" s="6">
        <v>2019.0</v>
      </c>
      <c r="C68" s="7">
        <v>6.8665731E7</v>
      </c>
      <c r="D68" s="9"/>
      <c r="E68" s="9">
        <f t="shared" si="61"/>
        <v>42112692.82</v>
      </c>
      <c r="F68" s="9">
        <f t="shared" si="62"/>
        <v>26553038.18</v>
      </c>
      <c r="G68" s="6">
        <f t="shared" si="63"/>
        <v>673803.0852</v>
      </c>
      <c r="H68" s="8">
        <f t="shared" si="64"/>
        <v>3114814.89</v>
      </c>
      <c r="I68" s="8">
        <f t="shared" si="65"/>
        <v>265530.3818</v>
      </c>
      <c r="J68" s="8">
        <f t="shared" si="66"/>
        <v>3505001.039</v>
      </c>
      <c r="K68" s="1"/>
      <c r="L68" s="6">
        <v>2019.0</v>
      </c>
      <c r="M68" s="20">
        <f t="shared" si="67"/>
        <v>18067488.96</v>
      </c>
      <c r="N68" s="20"/>
      <c r="O68" s="20">
        <f t="shared" si="68"/>
        <v>16478379.04</v>
      </c>
      <c r="P68" s="7">
        <v>3.4545868E7</v>
      </c>
      <c r="Q68" s="6">
        <f t="shared" si="69"/>
        <v>289079.8234</v>
      </c>
      <c r="R68" s="8">
        <f t="shared" si="70"/>
        <v>1336994.183</v>
      </c>
      <c r="S68" s="8">
        <f t="shared" si="71"/>
        <v>164783.7904</v>
      </c>
      <c r="T68" s="8">
        <f t="shared" si="72"/>
        <v>2175146.033</v>
      </c>
      <c r="U68" s="1"/>
      <c r="V68" s="23">
        <v>1082647.5012672</v>
      </c>
      <c r="W68" s="24">
        <v>5007244.6933608</v>
      </c>
      <c r="X68" s="24">
        <v>558567.451708</v>
      </c>
      <c r="Y68" s="24">
        <v>7373090.362545599</v>
      </c>
      <c r="Z68" s="25">
        <v>1.23522214E8</v>
      </c>
      <c r="AA68" s="26">
        <f t="shared" si="73"/>
        <v>67665468.83</v>
      </c>
      <c r="AB68" s="26">
        <f t="shared" si="74"/>
        <v>55856745.17</v>
      </c>
    </row>
    <row r="69">
      <c r="A69" s="1"/>
      <c r="B69" s="6">
        <v>2020.0</v>
      </c>
      <c r="C69" s="7">
        <v>6.9586993E7</v>
      </c>
      <c r="D69" s="9"/>
      <c r="E69" s="9">
        <f t="shared" si="61"/>
        <v>42677702.81</v>
      </c>
      <c r="F69" s="9">
        <f t="shared" si="62"/>
        <v>26909290.19</v>
      </c>
      <c r="G69" s="6">
        <f t="shared" si="63"/>
        <v>682843.2449</v>
      </c>
      <c r="H69" s="8">
        <f t="shared" si="64"/>
        <v>3156605.176</v>
      </c>
      <c r="I69" s="8">
        <f t="shared" si="65"/>
        <v>269092.9019</v>
      </c>
      <c r="J69" s="8">
        <f t="shared" si="66"/>
        <v>3552026.305</v>
      </c>
      <c r="K69" s="1"/>
      <c r="L69" s="6">
        <v>2020.0</v>
      </c>
      <c r="M69" s="20">
        <f t="shared" si="67"/>
        <v>18136747.76</v>
      </c>
      <c r="N69" s="20"/>
      <c r="O69" s="20">
        <f t="shared" si="68"/>
        <v>16541546.24</v>
      </c>
      <c r="P69" s="7">
        <v>3.4678294E7</v>
      </c>
      <c r="Q69" s="6">
        <f t="shared" si="69"/>
        <v>290187.9642</v>
      </c>
      <c r="R69" s="8">
        <f t="shared" si="70"/>
        <v>1342119.334</v>
      </c>
      <c r="S69" s="8">
        <f t="shared" si="71"/>
        <v>165415.4624</v>
      </c>
      <c r="T69" s="8">
        <f t="shared" si="72"/>
        <v>2183484.103</v>
      </c>
      <c r="U69" s="1"/>
      <c r="V69" s="23">
        <v>1094392.3858560002</v>
      </c>
      <c r="W69" s="24">
        <v>5061564.784584001</v>
      </c>
      <c r="X69" s="24">
        <v>564626.95884</v>
      </c>
      <c r="Y69" s="24">
        <v>7453075.856687999</v>
      </c>
      <c r="Z69" s="25">
        <v>1.2486222E8</v>
      </c>
      <c r="AA69" s="26">
        <f t="shared" si="73"/>
        <v>68399524.12</v>
      </c>
      <c r="AB69" s="26">
        <f t="shared" si="74"/>
        <v>56462695.88</v>
      </c>
    </row>
    <row r="70">
      <c r="A70" s="1"/>
      <c r="B70" s="10">
        <v>2021.0</v>
      </c>
      <c r="C70" s="11">
        <v>7.0501944E7</v>
      </c>
      <c r="D70" s="12"/>
      <c r="E70" s="9">
        <f t="shared" si="61"/>
        <v>43238842.26</v>
      </c>
      <c r="F70" s="9">
        <f t="shared" si="62"/>
        <v>27263101.74</v>
      </c>
      <c r="G70" s="10">
        <f t="shared" si="63"/>
        <v>691821.4761</v>
      </c>
      <c r="H70" s="8">
        <f t="shared" si="64"/>
        <v>3198109.184</v>
      </c>
      <c r="I70" s="8">
        <f t="shared" si="65"/>
        <v>272631.0174</v>
      </c>
      <c r="J70" s="8">
        <f t="shared" si="66"/>
        <v>3598729.43</v>
      </c>
      <c r="K70" s="1"/>
      <c r="L70" s="10">
        <v>2021.0</v>
      </c>
      <c r="M70" s="20">
        <f t="shared" si="67"/>
        <v>18204881.06</v>
      </c>
      <c r="N70" s="20"/>
      <c r="O70" s="20">
        <f t="shared" si="68"/>
        <v>16603686.94</v>
      </c>
      <c r="P70" s="11">
        <v>3.4808568E7</v>
      </c>
      <c r="Q70" s="10">
        <f t="shared" si="69"/>
        <v>291278.097</v>
      </c>
      <c r="R70" s="8">
        <f t="shared" si="70"/>
        <v>1347161.199</v>
      </c>
      <c r="S70" s="8">
        <f t="shared" si="71"/>
        <v>166036.8694</v>
      </c>
      <c r="T70" s="8">
        <f t="shared" si="72"/>
        <v>2191686.676</v>
      </c>
      <c r="U70" s="1"/>
      <c r="V70" s="23">
        <v>1106027.2459104003</v>
      </c>
      <c r="W70" s="24">
        <v>5115376.0123356</v>
      </c>
      <c r="X70" s="24">
        <v>570629.701306</v>
      </c>
      <c r="Y70" s="24">
        <v>7532312.057239198</v>
      </c>
      <c r="Z70" s="25">
        <v>1.26189673E8</v>
      </c>
      <c r="AA70" s="26">
        <f t="shared" si="73"/>
        <v>69126702.87</v>
      </c>
      <c r="AB70" s="26">
        <f t="shared" si="74"/>
        <v>57062970.13</v>
      </c>
    </row>
    <row r="71">
      <c r="A71" s="1"/>
      <c r="B71" s="27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23"/>
      <c r="W71" s="24"/>
      <c r="X71" s="24"/>
      <c r="Y71" s="24"/>
      <c r="AA71" s="26"/>
    </row>
    <row r="72">
      <c r="A72" s="1"/>
      <c r="B72" s="1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2"/>
      <c r="E74" s="2"/>
      <c r="F74" s="2"/>
      <c r="G74" s="1"/>
      <c r="H74" s="1"/>
      <c r="I74" s="1"/>
      <c r="J74" s="1"/>
      <c r="K74" s="1"/>
      <c r="L74" s="1" t="s">
        <v>32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3" t="s">
        <v>33</v>
      </c>
      <c r="C75" s="4" t="s">
        <v>10</v>
      </c>
      <c r="D75" s="5"/>
      <c r="E75" s="5" t="s">
        <v>11</v>
      </c>
      <c r="F75" s="5" t="s">
        <v>12</v>
      </c>
      <c r="G75" s="3" t="s">
        <v>6</v>
      </c>
      <c r="H75" s="1" t="s">
        <v>7</v>
      </c>
      <c r="I75" s="1" t="s">
        <v>8</v>
      </c>
      <c r="J75" s="1" t="s">
        <v>9</v>
      </c>
      <c r="K75" s="1"/>
      <c r="L75" s="3"/>
      <c r="M75" s="4" t="s">
        <v>10</v>
      </c>
      <c r="N75" s="5"/>
      <c r="O75" s="5" t="s">
        <v>11</v>
      </c>
      <c r="P75" s="5" t="s">
        <v>12</v>
      </c>
      <c r="Q75" s="3" t="s">
        <v>6</v>
      </c>
      <c r="R75" s="1" t="s">
        <v>7</v>
      </c>
      <c r="S75" s="1" t="s">
        <v>8</v>
      </c>
      <c r="T75" s="1" t="s">
        <v>9</v>
      </c>
      <c r="U75" s="1"/>
      <c r="V75" s="1"/>
      <c r="W75" s="1"/>
      <c r="X75" s="25"/>
      <c r="Y75" s="25"/>
    </row>
    <row r="76">
      <c r="A76" s="1"/>
      <c r="B76" s="6">
        <v>2015.0</v>
      </c>
      <c r="C76" s="7">
        <v>7.8180854E7</v>
      </c>
      <c r="D76" s="9"/>
      <c r="E76" s="9">
        <f t="shared" ref="E76:E82" si="75">72.37*C76/100</f>
        <v>56579484.04</v>
      </c>
      <c r="F76" s="9">
        <f t="shared" ref="F76:F82" si="76">27.63*C76/100</f>
        <v>21601369.96</v>
      </c>
      <c r="G76" s="28">
        <f t="shared" ref="G76:G82" si="77">72.37*1.6*C76/10000</f>
        <v>905271.7446</v>
      </c>
      <c r="H76" s="8">
        <f t="shared" ref="H76:H82" si="78">72.37*C76*7.4/10000</f>
        <v>4186881.819</v>
      </c>
      <c r="I76" s="8">
        <f t="shared" ref="I76:I82" si="79">27.63*1*C76/10000</f>
        <v>216013.6996</v>
      </c>
      <c r="J76" s="8">
        <f t="shared" ref="J76:J82" si="80">27.63*13.2*C76/10000</f>
        <v>2851380.835</v>
      </c>
      <c r="K76" s="1"/>
      <c r="L76" s="6">
        <v>2015.0</v>
      </c>
      <c r="M76" s="6">
        <f t="shared" ref="M76:M82" si="81">70.79*P76/100</f>
        <v>2204283.089</v>
      </c>
      <c r="N76" s="6"/>
      <c r="O76" s="6">
        <f t="shared" ref="O76:O82" si="82">29.21*P76/100</f>
        <v>909550.9114</v>
      </c>
      <c r="P76" s="7">
        <v>3113834.0</v>
      </c>
      <c r="Q76" s="28">
        <f t="shared" ref="Q76:Q82" si="83">70.79*1.6*P76/10000</f>
        <v>35268.52942</v>
      </c>
      <c r="R76" s="8">
        <f t="shared" ref="R76:R82" si="84">70.76*7.4*P76/10000</f>
        <v>163047.8214</v>
      </c>
      <c r="S76" s="8">
        <f t="shared" ref="S76:S82" si="85">29.21*1*P76/10000</f>
        <v>9095.509114</v>
      </c>
      <c r="T76" s="8">
        <f t="shared" ref="T76:T82" si="86">29.27*13.2*P76/10000</f>
        <v>120307.336</v>
      </c>
      <c r="U76" s="1"/>
      <c r="V76" s="1"/>
      <c r="W76" s="1"/>
      <c r="X76" s="29"/>
      <c r="Y76" s="25"/>
      <c r="Z76" s="29"/>
    </row>
    <row r="77">
      <c r="A77" s="1"/>
      <c r="B77" s="6">
        <v>2016.0</v>
      </c>
      <c r="C77" s="7">
        <v>7.956256E7</v>
      </c>
      <c r="D77" s="9"/>
      <c r="E77" s="9">
        <f t="shared" si="75"/>
        <v>57579424.67</v>
      </c>
      <c r="F77" s="9">
        <f t="shared" si="76"/>
        <v>21983135.33</v>
      </c>
      <c r="G77" s="28">
        <f t="shared" si="77"/>
        <v>921270.7948</v>
      </c>
      <c r="H77" s="8">
        <f t="shared" si="78"/>
        <v>4260877.426</v>
      </c>
      <c r="I77" s="8">
        <f t="shared" si="79"/>
        <v>219831.3533</v>
      </c>
      <c r="J77" s="8">
        <f t="shared" si="80"/>
        <v>2901773.863</v>
      </c>
      <c r="K77" s="1"/>
      <c r="L77" s="6">
        <v>2016.0</v>
      </c>
      <c r="M77" s="6">
        <f t="shared" si="81"/>
        <v>2250087.05</v>
      </c>
      <c r="N77" s="6"/>
      <c r="O77" s="6">
        <f t="shared" si="82"/>
        <v>928450.9498</v>
      </c>
      <c r="P77" s="7">
        <v>3178538.0</v>
      </c>
      <c r="Q77" s="28">
        <f t="shared" si="83"/>
        <v>36001.3928</v>
      </c>
      <c r="R77" s="8">
        <f t="shared" si="84"/>
        <v>166435.8782</v>
      </c>
      <c r="S77" s="8">
        <f t="shared" si="85"/>
        <v>9284.509498</v>
      </c>
      <c r="T77" s="8">
        <f t="shared" si="86"/>
        <v>122807.2656</v>
      </c>
      <c r="U77" s="1"/>
      <c r="V77" s="1"/>
      <c r="W77" s="1"/>
      <c r="X77" s="29"/>
      <c r="Y77" s="25"/>
      <c r="Z77" s="29"/>
    </row>
    <row r="78">
      <c r="A78" s="1"/>
      <c r="B78" s="6">
        <v>2017.0</v>
      </c>
      <c r="C78" s="7">
        <v>8.0940564E7</v>
      </c>
      <c r="D78" s="9"/>
      <c r="E78" s="9">
        <f t="shared" si="75"/>
        <v>58576686.17</v>
      </c>
      <c r="F78" s="9">
        <f t="shared" si="76"/>
        <v>22363877.83</v>
      </c>
      <c r="G78" s="28">
        <f t="shared" si="77"/>
        <v>937226.9787</v>
      </c>
      <c r="H78" s="8">
        <f t="shared" si="78"/>
        <v>4334674.776</v>
      </c>
      <c r="I78" s="8">
        <f t="shared" si="79"/>
        <v>223638.7783</v>
      </c>
      <c r="J78" s="8">
        <f t="shared" si="80"/>
        <v>2952031.874</v>
      </c>
      <c r="K78" s="1"/>
      <c r="L78" s="6">
        <v>2017.0</v>
      </c>
      <c r="M78" s="6">
        <f t="shared" si="81"/>
        <v>2295908.709</v>
      </c>
      <c r="N78" s="6"/>
      <c r="O78" s="6">
        <f t="shared" si="82"/>
        <v>947358.2907</v>
      </c>
      <c r="P78" s="7">
        <v>3243267.0</v>
      </c>
      <c r="Q78" s="28">
        <f t="shared" si="83"/>
        <v>36734.53935</v>
      </c>
      <c r="R78" s="8">
        <f t="shared" si="84"/>
        <v>169825.244</v>
      </c>
      <c r="S78" s="8">
        <f t="shared" si="85"/>
        <v>9473.582907</v>
      </c>
      <c r="T78" s="8">
        <f t="shared" si="86"/>
        <v>125308.1611</v>
      </c>
      <c r="U78" s="1"/>
      <c r="V78" s="1"/>
      <c r="W78" s="1"/>
      <c r="X78" s="29"/>
      <c r="Y78" s="25"/>
      <c r="Z78" s="29"/>
    </row>
    <row r="79">
      <c r="A79" s="1"/>
      <c r="B79" s="6">
        <v>2018.0</v>
      </c>
      <c r="C79" s="7">
        <v>8.2314396E7</v>
      </c>
      <c r="D79" s="9"/>
      <c r="E79" s="9">
        <f t="shared" si="75"/>
        <v>59570928.39</v>
      </c>
      <c r="F79" s="9">
        <f t="shared" si="76"/>
        <v>22743467.61</v>
      </c>
      <c r="G79" s="28">
        <f t="shared" si="77"/>
        <v>953134.8542</v>
      </c>
      <c r="H79" s="8">
        <f t="shared" si="78"/>
        <v>4408248.701</v>
      </c>
      <c r="I79" s="8">
        <f t="shared" si="79"/>
        <v>227434.6761</v>
      </c>
      <c r="J79" s="8">
        <f t="shared" si="80"/>
        <v>3002137.725</v>
      </c>
      <c r="K79" s="1"/>
      <c r="L79" s="6">
        <v>2018.0</v>
      </c>
      <c r="M79" s="6">
        <f t="shared" si="81"/>
        <v>2341727.537</v>
      </c>
      <c r="N79" s="6"/>
      <c r="O79" s="6">
        <f t="shared" si="82"/>
        <v>966264.4632</v>
      </c>
      <c r="P79" s="7">
        <v>3307992.0</v>
      </c>
      <c r="Q79" s="28">
        <f t="shared" si="83"/>
        <v>37467.64059</v>
      </c>
      <c r="R79" s="8">
        <f t="shared" si="84"/>
        <v>173214.4003</v>
      </c>
      <c r="S79" s="8">
        <f t="shared" si="85"/>
        <v>9662.644632</v>
      </c>
      <c r="T79" s="8">
        <f t="shared" si="86"/>
        <v>127808.9021</v>
      </c>
      <c r="U79" s="1"/>
      <c r="V79" s="1"/>
      <c r="W79" s="1"/>
      <c r="X79" s="29"/>
      <c r="Y79" s="25"/>
      <c r="Z79" s="29"/>
    </row>
    <row r="80">
      <c r="A80" s="1"/>
      <c r="B80" s="6">
        <v>2019.0</v>
      </c>
      <c r="C80" s="7">
        <v>8.3683604E7</v>
      </c>
      <c r="D80" s="9"/>
      <c r="E80" s="9">
        <f t="shared" si="75"/>
        <v>60561824.21</v>
      </c>
      <c r="F80" s="9">
        <f t="shared" si="76"/>
        <v>23121779.79</v>
      </c>
      <c r="G80" s="28">
        <f t="shared" si="77"/>
        <v>968989.1874</v>
      </c>
      <c r="H80" s="8">
        <f t="shared" si="78"/>
        <v>4481574.992</v>
      </c>
      <c r="I80" s="8">
        <f t="shared" si="79"/>
        <v>231217.7979</v>
      </c>
      <c r="J80" s="8">
        <f t="shared" si="80"/>
        <v>3052074.932</v>
      </c>
      <c r="K80" s="1"/>
      <c r="L80" s="6">
        <v>2019.0</v>
      </c>
      <c r="M80" s="6">
        <f t="shared" si="81"/>
        <v>2387526.543</v>
      </c>
      <c r="N80" s="6"/>
      <c r="O80" s="6">
        <f t="shared" si="82"/>
        <v>985162.4569</v>
      </c>
      <c r="P80" s="7">
        <v>3372689.0</v>
      </c>
      <c r="Q80" s="28">
        <f t="shared" si="83"/>
        <v>38200.42469</v>
      </c>
      <c r="R80" s="8">
        <f t="shared" si="84"/>
        <v>176602.0905</v>
      </c>
      <c r="S80" s="8">
        <f t="shared" si="85"/>
        <v>9851.624569</v>
      </c>
      <c r="T80" s="8">
        <f t="shared" si="86"/>
        <v>130308.5613</v>
      </c>
      <c r="U80" s="1"/>
      <c r="V80" s="1"/>
      <c r="W80" s="1"/>
      <c r="X80" s="29"/>
      <c r="Y80" s="25"/>
      <c r="Z80" s="29"/>
    </row>
    <row r="81">
      <c r="A81" s="1"/>
      <c r="B81" s="6">
        <v>2020.0</v>
      </c>
      <c r="C81" s="7">
        <v>8.5047748E7</v>
      </c>
      <c r="D81" s="9"/>
      <c r="E81" s="9">
        <f t="shared" si="75"/>
        <v>61549055.23</v>
      </c>
      <c r="F81" s="9">
        <f t="shared" si="76"/>
        <v>23498692.77</v>
      </c>
      <c r="G81" s="28">
        <f t="shared" si="77"/>
        <v>984784.8836</v>
      </c>
      <c r="H81" s="8">
        <f t="shared" si="78"/>
        <v>4554630.087</v>
      </c>
      <c r="I81" s="8">
        <f t="shared" si="79"/>
        <v>234986.9277</v>
      </c>
      <c r="J81" s="8">
        <f t="shared" si="80"/>
        <v>3101827.446</v>
      </c>
      <c r="K81" s="1"/>
      <c r="L81" s="6">
        <v>2020.0</v>
      </c>
      <c r="M81" s="6">
        <f t="shared" si="81"/>
        <v>2433287.323</v>
      </c>
      <c r="N81" s="6"/>
      <c r="O81" s="6">
        <f t="shared" si="82"/>
        <v>1004044.677</v>
      </c>
      <c r="P81" s="7">
        <v>3437332.0</v>
      </c>
      <c r="Q81" s="28">
        <f t="shared" si="83"/>
        <v>38932.59716</v>
      </c>
      <c r="R81" s="8">
        <f t="shared" si="84"/>
        <v>179986.9531</v>
      </c>
      <c r="S81" s="8">
        <f t="shared" si="85"/>
        <v>10040.44677</v>
      </c>
      <c r="T81" s="8">
        <f t="shared" si="86"/>
        <v>132806.1341</v>
      </c>
      <c r="U81" s="1"/>
      <c r="V81" s="1"/>
      <c r="W81" s="1"/>
      <c r="X81" s="29"/>
      <c r="Y81" s="25"/>
    </row>
    <row r="82">
      <c r="A82" s="1"/>
      <c r="B82" s="10">
        <v>2021.0</v>
      </c>
      <c r="C82" s="11">
        <v>8.6406401E7</v>
      </c>
      <c r="D82" s="12"/>
      <c r="E82" s="9">
        <f t="shared" si="75"/>
        <v>62532312.4</v>
      </c>
      <c r="F82" s="9">
        <f t="shared" si="76"/>
        <v>23874088.6</v>
      </c>
      <c r="G82" s="30">
        <f t="shared" si="77"/>
        <v>1000516.998</v>
      </c>
      <c r="H82" s="8">
        <f t="shared" si="78"/>
        <v>4627391.118</v>
      </c>
      <c r="I82" s="8">
        <f t="shared" si="79"/>
        <v>238740.886</v>
      </c>
      <c r="J82" s="8">
        <f t="shared" si="80"/>
        <v>3151379.695</v>
      </c>
      <c r="K82" s="1"/>
      <c r="L82" s="10">
        <v>2021.0</v>
      </c>
      <c r="M82" s="6">
        <f t="shared" si="81"/>
        <v>2478992.886</v>
      </c>
      <c r="N82" s="6"/>
      <c r="O82" s="6">
        <f t="shared" si="82"/>
        <v>1022904.114</v>
      </c>
      <c r="P82" s="11">
        <v>3501897.0</v>
      </c>
      <c r="Q82" s="30">
        <f t="shared" si="83"/>
        <v>39663.88618</v>
      </c>
      <c r="R82" s="8">
        <f t="shared" si="84"/>
        <v>183367.7315</v>
      </c>
      <c r="S82" s="8">
        <f t="shared" si="85"/>
        <v>10229.04114</v>
      </c>
      <c r="T82" s="8">
        <f t="shared" si="86"/>
        <v>135300.6933</v>
      </c>
      <c r="U82" s="1"/>
      <c r="V82" s="1"/>
      <c r="W82" s="1"/>
      <c r="X82" s="1"/>
      <c r="Y82" s="1"/>
    </row>
    <row r="83">
      <c r="A83" s="1"/>
      <c r="B83" s="1"/>
      <c r="C83" s="1"/>
      <c r="D83" s="2"/>
      <c r="E83" s="2"/>
      <c r="F83" s="2"/>
      <c r="G83" s="1"/>
      <c r="H83" s="1"/>
      <c r="I83" s="1"/>
      <c r="J83" s="1"/>
      <c r="K83" s="1"/>
      <c r="L83" s="27"/>
      <c r="M83" s="27"/>
      <c r="N83" s="27"/>
      <c r="O83" s="27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3" t="s">
        <v>34</v>
      </c>
      <c r="C85" s="4" t="s">
        <v>10</v>
      </c>
      <c r="D85" s="5"/>
      <c r="E85" s="5" t="s">
        <v>11</v>
      </c>
      <c r="F85" s="5" t="s">
        <v>12</v>
      </c>
      <c r="G85" s="3" t="s">
        <v>6</v>
      </c>
      <c r="H85" s="1" t="s">
        <v>7</v>
      </c>
      <c r="I85" s="1" t="s">
        <v>8</v>
      </c>
      <c r="J85" s="1" t="s">
        <v>9</v>
      </c>
      <c r="K85" s="1"/>
      <c r="L85" s="1" t="s">
        <v>35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6">
        <v>2015.0</v>
      </c>
      <c r="C86" s="7">
        <v>3318820.0</v>
      </c>
      <c r="D86" s="9"/>
      <c r="E86" s="9">
        <f t="shared" ref="E86:E92" si="87">79.93*C86/100</f>
        <v>2652732.826</v>
      </c>
      <c r="F86" s="9">
        <f t="shared" ref="F86:F92" si="88">20.07*C86/100</f>
        <v>666087.174</v>
      </c>
      <c r="G86" s="31">
        <f t="shared" ref="G86:G92" si="89">79.93*1.6*C86/10000</f>
        <v>42443.72522</v>
      </c>
      <c r="H86" s="32">
        <f t="shared" ref="H86:H92" si="90">79.96*C86*7.4/10000</f>
        <v>196375.9069</v>
      </c>
      <c r="I86" s="32">
        <f t="shared" ref="I86:I92" si="91">20.07*1*C86/10000</f>
        <v>6660.87174</v>
      </c>
      <c r="J86" s="32">
        <f t="shared" ref="J86:J92" si="92">20.07*13.2*C86/10000</f>
        <v>87923.50697</v>
      </c>
      <c r="K86" s="1"/>
      <c r="L86" s="3"/>
      <c r="M86" s="4" t="s">
        <v>10</v>
      </c>
      <c r="N86" s="5"/>
      <c r="O86" s="5" t="s">
        <v>11</v>
      </c>
      <c r="P86" s="5" t="s">
        <v>12</v>
      </c>
      <c r="Q86" s="3" t="s">
        <v>6</v>
      </c>
      <c r="R86" s="1" t="s">
        <v>7</v>
      </c>
      <c r="S86" s="1" t="s">
        <v>8</v>
      </c>
      <c r="T86" s="1" t="s">
        <v>9</v>
      </c>
      <c r="U86" s="1"/>
      <c r="V86" s="1"/>
      <c r="W86" s="1"/>
      <c r="X86" s="1"/>
      <c r="Y86" s="1"/>
    </row>
    <row r="87">
      <c r="A87" s="1"/>
      <c r="B87" s="6">
        <v>2016.0</v>
      </c>
      <c r="C87" s="7">
        <v>3408474.0</v>
      </c>
      <c r="D87" s="9"/>
      <c r="E87" s="9">
        <f t="shared" si="87"/>
        <v>2724393.268</v>
      </c>
      <c r="F87" s="9">
        <f t="shared" si="88"/>
        <v>684080.7318</v>
      </c>
      <c r="G87" s="31">
        <f t="shared" si="89"/>
        <v>43590.29229</v>
      </c>
      <c r="H87" s="32">
        <f t="shared" si="90"/>
        <v>201680.77</v>
      </c>
      <c r="I87" s="32">
        <f t="shared" si="91"/>
        <v>6840.807318</v>
      </c>
      <c r="J87" s="32">
        <f t="shared" si="92"/>
        <v>90298.6566</v>
      </c>
      <c r="K87" s="1"/>
      <c r="L87" s="6">
        <v>2015.0</v>
      </c>
      <c r="M87" s="6">
        <f t="shared" ref="M87:M93" si="93">47.89*P87/100</f>
        <v>570482.4415</v>
      </c>
      <c r="N87" s="6"/>
      <c r="O87" s="6">
        <f t="shared" ref="O87:O93" si="94">52.11*P87/100</f>
        <v>620752.5585</v>
      </c>
      <c r="P87" s="7">
        <v>1191235.0</v>
      </c>
      <c r="Q87" s="6">
        <f t="shared" ref="Q87:Q93" si="95">47.89*P87*1.6/10000</f>
        <v>9127.719064</v>
      </c>
      <c r="R87" s="8">
        <f t="shared" ref="R87:R93" si="96">47.89*P87*7.4/10000</f>
        <v>42215.70067</v>
      </c>
      <c r="S87" s="8">
        <f t="shared" ref="S87:S93" si="97">52.11*1*P87/10000</f>
        <v>6207.525585</v>
      </c>
      <c r="T87" s="8">
        <f t="shared" ref="T87:T93" si="98">52.11*13.2*P87/10000</f>
        <v>81939.33772</v>
      </c>
      <c r="U87" s="1"/>
      <c r="V87" s="1"/>
      <c r="W87" s="1"/>
      <c r="X87" s="1"/>
      <c r="Y87" s="1"/>
    </row>
    <row r="88">
      <c r="A88" s="1"/>
      <c r="B88" s="6">
        <v>2017.0</v>
      </c>
      <c r="C88" s="7">
        <v>3498708.0</v>
      </c>
      <c r="D88" s="9"/>
      <c r="E88" s="9">
        <f t="shared" si="87"/>
        <v>2796517.304</v>
      </c>
      <c r="F88" s="9">
        <f t="shared" si="88"/>
        <v>702190.6956</v>
      </c>
      <c r="G88" s="31">
        <f t="shared" si="89"/>
        <v>44744.27687</v>
      </c>
      <c r="H88" s="32">
        <f t="shared" si="90"/>
        <v>207019.9518</v>
      </c>
      <c r="I88" s="32">
        <f t="shared" si="91"/>
        <v>7021.906956</v>
      </c>
      <c r="J88" s="32">
        <f t="shared" si="92"/>
        <v>92689.17182</v>
      </c>
      <c r="K88" s="1"/>
      <c r="L88" s="6">
        <v>2016.0</v>
      </c>
      <c r="M88" s="6">
        <f t="shared" si="93"/>
        <v>581744.2539</v>
      </c>
      <c r="N88" s="6"/>
      <c r="O88" s="6">
        <f t="shared" si="94"/>
        <v>633006.7461</v>
      </c>
      <c r="P88" s="7">
        <v>1214751.0</v>
      </c>
      <c r="Q88" s="6">
        <f t="shared" si="95"/>
        <v>9307.908062</v>
      </c>
      <c r="R88" s="8">
        <f t="shared" si="96"/>
        <v>43049.07479</v>
      </c>
      <c r="S88" s="8">
        <f t="shared" si="97"/>
        <v>6330.067461</v>
      </c>
      <c r="T88" s="8">
        <f t="shared" si="98"/>
        <v>83556.89049</v>
      </c>
      <c r="U88" s="1"/>
      <c r="V88" s="1"/>
      <c r="W88" s="1"/>
      <c r="X88" s="1"/>
      <c r="Y88" s="1"/>
    </row>
    <row r="89">
      <c r="A89" s="1"/>
      <c r="B89" s="6">
        <v>2018.0</v>
      </c>
      <c r="C89" s="7">
        <v>3589478.0</v>
      </c>
      <c r="D89" s="9"/>
      <c r="E89" s="9">
        <f t="shared" si="87"/>
        <v>2869069.765</v>
      </c>
      <c r="F89" s="9">
        <f t="shared" si="88"/>
        <v>720408.2346</v>
      </c>
      <c r="G89" s="31">
        <f t="shared" si="89"/>
        <v>45905.11625</v>
      </c>
      <c r="H89" s="32">
        <f t="shared" si="90"/>
        <v>212390.8491</v>
      </c>
      <c r="I89" s="32">
        <f t="shared" si="91"/>
        <v>7204.082346</v>
      </c>
      <c r="J89" s="32">
        <f t="shared" si="92"/>
        <v>95093.88697</v>
      </c>
      <c r="K89" s="1"/>
      <c r="L89" s="6">
        <v>2017.0</v>
      </c>
      <c r="M89" s="6">
        <f t="shared" si="93"/>
        <v>592998.4039</v>
      </c>
      <c r="N89" s="6"/>
      <c r="O89" s="6">
        <f t="shared" si="94"/>
        <v>645252.5961</v>
      </c>
      <c r="P89" s="7">
        <v>1238251.0</v>
      </c>
      <c r="Q89" s="6">
        <f t="shared" si="95"/>
        <v>9487.974462</v>
      </c>
      <c r="R89" s="8">
        <f t="shared" si="96"/>
        <v>43881.88189</v>
      </c>
      <c r="S89" s="8">
        <f t="shared" si="97"/>
        <v>6452.525961</v>
      </c>
      <c r="T89" s="8">
        <f t="shared" si="98"/>
        <v>85173.34269</v>
      </c>
      <c r="U89" s="1"/>
      <c r="V89" s="1"/>
      <c r="W89" s="1"/>
      <c r="X89" s="1"/>
      <c r="Y89" s="1"/>
    </row>
    <row r="90">
      <c r="A90" s="1"/>
      <c r="B90" s="6">
        <v>2019.0</v>
      </c>
      <c r="C90" s="7">
        <v>3680741.0</v>
      </c>
      <c r="D90" s="9"/>
      <c r="E90" s="9">
        <f t="shared" si="87"/>
        <v>2942016.281</v>
      </c>
      <c r="F90" s="9">
        <f t="shared" si="88"/>
        <v>738724.7187</v>
      </c>
      <c r="G90" s="31">
        <f t="shared" si="89"/>
        <v>47072.2605</v>
      </c>
      <c r="H90" s="32">
        <f t="shared" si="90"/>
        <v>217790.9173</v>
      </c>
      <c r="I90" s="32">
        <f t="shared" si="91"/>
        <v>7387.247187</v>
      </c>
      <c r="J90" s="32">
        <f t="shared" si="92"/>
        <v>97511.66287</v>
      </c>
      <c r="K90" s="1"/>
      <c r="L90" s="6">
        <v>2018.0</v>
      </c>
      <c r="M90" s="6">
        <f t="shared" si="93"/>
        <v>604241.5392</v>
      </c>
      <c r="N90" s="6"/>
      <c r="O90" s="6">
        <f t="shared" si="94"/>
        <v>657486.4608</v>
      </c>
      <c r="P90" s="7">
        <v>1261728.0</v>
      </c>
      <c r="Q90" s="6">
        <f t="shared" si="95"/>
        <v>9667.864627</v>
      </c>
      <c r="R90" s="8">
        <f t="shared" si="96"/>
        <v>44713.8739</v>
      </c>
      <c r="S90" s="8">
        <f t="shared" si="97"/>
        <v>6574.864608</v>
      </c>
      <c r="T90" s="8">
        <f t="shared" si="98"/>
        <v>86788.21283</v>
      </c>
      <c r="U90" s="1"/>
      <c r="V90" s="1"/>
      <c r="W90" s="1"/>
      <c r="X90" s="1"/>
      <c r="Y90" s="1"/>
    </row>
    <row r="91">
      <c r="A91" s="1"/>
      <c r="B91" s="6">
        <v>2020.0</v>
      </c>
      <c r="C91" s="7">
        <v>3772452.0</v>
      </c>
      <c r="D91" s="9"/>
      <c r="E91" s="9">
        <f t="shared" si="87"/>
        <v>3015320.884</v>
      </c>
      <c r="F91" s="9">
        <f t="shared" si="88"/>
        <v>757131.1164</v>
      </c>
      <c r="G91" s="31">
        <f t="shared" si="89"/>
        <v>48245.13414</v>
      </c>
      <c r="H91" s="32">
        <f t="shared" si="90"/>
        <v>223217.4938</v>
      </c>
      <c r="I91" s="32">
        <f t="shared" si="91"/>
        <v>7571.311164</v>
      </c>
      <c r="J91" s="32">
        <f t="shared" si="92"/>
        <v>99941.30736</v>
      </c>
      <c r="K91" s="1"/>
      <c r="L91" s="6">
        <v>2019.0</v>
      </c>
      <c r="M91" s="6">
        <f t="shared" si="93"/>
        <v>615467.913</v>
      </c>
      <c r="N91" s="6"/>
      <c r="O91" s="6">
        <f t="shared" si="94"/>
        <v>669702.087</v>
      </c>
      <c r="P91" s="7">
        <v>1285170.0</v>
      </c>
      <c r="Q91" s="6">
        <f t="shared" si="95"/>
        <v>9847.486608</v>
      </c>
      <c r="R91" s="8">
        <f t="shared" si="96"/>
        <v>45544.62556</v>
      </c>
      <c r="S91" s="8">
        <f t="shared" si="97"/>
        <v>6697.02087</v>
      </c>
      <c r="T91" s="8">
        <f t="shared" si="98"/>
        <v>88400.67548</v>
      </c>
      <c r="U91" s="1"/>
      <c r="V91" s="1"/>
      <c r="W91" s="1"/>
      <c r="X91" s="1"/>
      <c r="Y91" s="1"/>
    </row>
    <row r="92">
      <c r="A92" s="1"/>
      <c r="B92" s="10">
        <v>2021.0</v>
      </c>
      <c r="C92" s="11">
        <v>3864569.0</v>
      </c>
      <c r="D92" s="12"/>
      <c r="E92" s="9">
        <f t="shared" si="87"/>
        <v>3088950.002</v>
      </c>
      <c r="F92" s="9">
        <f t="shared" si="88"/>
        <v>775618.9983</v>
      </c>
      <c r="G92" s="33">
        <f t="shared" si="89"/>
        <v>49423.20003</v>
      </c>
      <c r="H92" s="32">
        <f t="shared" si="90"/>
        <v>228668.0936</v>
      </c>
      <c r="I92" s="32">
        <f t="shared" si="91"/>
        <v>7756.189983</v>
      </c>
      <c r="J92" s="32">
        <f t="shared" si="92"/>
        <v>102381.7078</v>
      </c>
      <c r="K92" s="1"/>
      <c r="L92" s="6">
        <v>2020.0</v>
      </c>
      <c r="M92" s="6">
        <f t="shared" si="93"/>
        <v>626674.6519</v>
      </c>
      <c r="N92" s="6"/>
      <c r="O92" s="6">
        <f t="shared" si="94"/>
        <v>681896.3481</v>
      </c>
      <c r="P92" s="7">
        <v>1308571.0</v>
      </c>
      <c r="Q92" s="6">
        <f t="shared" si="95"/>
        <v>10026.79443</v>
      </c>
      <c r="R92" s="8">
        <f t="shared" si="96"/>
        <v>46373.92424</v>
      </c>
      <c r="S92" s="8">
        <f t="shared" si="97"/>
        <v>6818.963481</v>
      </c>
      <c r="T92" s="8">
        <f t="shared" si="98"/>
        <v>90010.31795</v>
      </c>
      <c r="U92" s="1"/>
      <c r="V92" s="1"/>
      <c r="W92" s="1"/>
      <c r="X92" s="1"/>
      <c r="Y92" s="1"/>
    </row>
    <row r="93">
      <c r="A93" s="1"/>
      <c r="B93" s="1"/>
      <c r="C93" s="1"/>
      <c r="D93" s="2"/>
      <c r="E93" s="2"/>
      <c r="F93" s="2"/>
      <c r="G93" s="1"/>
      <c r="H93" s="1"/>
      <c r="I93" s="1"/>
      <c r="J93" s="1"/>
      <c r="K93" s="1"/>
      <c r="L93" s="10">
        <v>2021.0</v>
      </c>
      <c r="M93" s="6">
        <f t="shared" si="93"/>
        <v>637856.9669</v>
      </c>
      <c r="N93" s="6"/>
      <c r="O93" s="6">
        <f t="shared" si="94"/>
        <v>694064.0331</v>
      </c>
      <c r="P93" s="11">
        <v>1331921.0</v>
      </c>
      <c r="Q93" s="10">
        <f t="shared" si="95"/>
        <v>10205.71147</v>
      </c>
      <c r="R93" s="8">
        <f t="shared" si="96"/>
        <v>47201.41555</v>
      </c>
      <c r="S93" s="8">
        <f t="shared" si="97"/>
        <v>6940.640331</v>
      </c>
      <c r="T93" s="8">
        <f t="shared" si="98"/>
        <v>91616.45237</v>
      </c>
      <c r="U93" s="1"/>
      <c r="V93" s="1"/>
      <c r="W93" s="1"/>
      <c r="X93" s="1"/>
      <c r="Y93" s="1"/>
    </row>
    <row r="94">
      <c r="A94" s="1"/>
      <c r="B94" s="1"/>
      <c r="C94" s="1"/>
      <c r="D94" s="2"/>
      <c r="E94" s="2"/>
      <c r="F94" s="2"/>
      <c r="G94" s="1"/>
      <c r="H94" s="1"/>
      <c r="I94" s="1"/>
      <c r="J94" s="1"/>
      <c r="K94" s="1"/>
      <c r="L94" s="27"/>
      <c r="M94" s="27"/>
      <c r="N94" s="27"/>
      <c r="O94" s="27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3" t="s">
        <v>36</v>
      </c>
      <c r="C95" s="4" t="s">
        <v>10</v>
      </c>
      <c r="D95" s="5"/>
      <c r="E95" s="5" t="s">
        <v>11</v>
      </c>
      <c r="F95" s="5" t="s">
        <v>12</v>
      </c>
      <c r="G95" s="3" t="s">
        <v>6</v>
      </c>
      <c r="H95" s="1" t="s">
        <v>7</v>
      </c>
      <c r="I95" s="1" t="s">
        <v>8</v>
      </c>
      <c r="J95" s="1" t="s">
        <v>9</v>
      </c>
      <c r="K95" s="1"/>
      <c r="L95" s="3" t="s">
        <v>37</v>
      </c>
      <c r="M95" s="4" t="s">
        <v>10</v>
      </c>
      <c r="N95" s="5"/>
      <c r="O95" s="5" t="s">
        <v>11</v>
      </c>
      <c r="P95" s="5" t="s">
        <v>12</v>
      </c>
      <c r="Q95" s="3" t="s">
        <v>6</v>
      </c>
      <c r="R95" s="1" t="s">
        <v>7</v>
      </c>
      <c r="S95" s="1" t="s">
        <v>8</v>
      </c>
      <c r="T95" s="1" t="s">
        <v>9</v>
      </c>
      <c r="U95" s="1"/>
      <c r="V95" s="1"/>
      <c r="W95" s="1"/>
      <c r="X95" s="1"/>
      <c r="Y95" s="1"/>
    </row>
    <row r="96">
      <c r="A96" s="1"/>
      <c r="B96" s="6">
        <v>2015.0</v>
      </c>
      <c r="C96" s="7">
        <v>2022112.0</v>
      </c>
      <c r="D96" s="9"/>
      <c r="E96" s="9">
        <f t="shared" ref="E96:E102" si="99">71.14*C96/100</f>
        <v>1438530.477</v>
      </c>
      <c r="F96" s="9">
        <f t="shared" ref="F96:F102" si="100">28.86*C96/100</f>
        <v>583581.5232</v>
      </c>
      <c r="G96" s="31">
        <f t="shared" ref="G96:G102" si="101">71.14*C96*1.6/10000</f>
        <v>23016.48763</v>
      </c>
      <c r="H96" s="32">
        <f t="shared" ref="H96:H102" si="102">71.14*7.4*C96/10000</f>
        <v>106451.2553</v>
      </c>
      <c r="I96" s="32">
        <f t="shared" ref="I96:I102" si="103">28.86*1*C96/10000</f>
        <v>5835.815232</v>
      </c>
      <c r="J96" s="32">
        <f t="shared" ref="J96:J102" si="104">28.86*13.2*C96/10000</f>
        <v>77032.76106</v>
      </c>
      <c r="K96" s="1"/>
      <c r="L96" s="6">
        <v>2015.0</v>
      </c>
      <c r="M96" s="20">
        <f t="shared" ref="M96:M102" si="105">83.31*P96/100</f>
        <v>36900338.34</v>
      </c>
      <c r="N96" s="6"/>
      <c r="O96" s="6">
        <f t="shared" ref="O96:O102" si="106">16.69*P96/100</f>
        <v>7392469.655</v>
      </c>
      <c r="P96" s="7">
        <v>4.4292808E7</v>
      </c>
      <c r="Q96" s="6">
        <f t="shared" ref="Q96:Q102" si="107">83.31*1.6*P96/10000</f>
        <v>590405.4135</v>
      </c>
      <c r="R96" s="8">
        <f t="shared" ref="R96:R102" si="108">83.31*7.4*P96/10000</f>
        <v>2730625.038</v>
      </c>
      <c r="S96" s="8">
        <f t="shared" ref="S96:S102" si="109">16.69*P96/10000</f>
        <v>73924.69655</v>
      </c>
      <c r="T96" s="8">
        <f t="shared" ref="T96:T102" si="110">16.69*13.2*P96/10000</f>
        <v>975805.9945</v>
      </c>
      <c r="U96" s="1"/>
      <c r="V96" s="1"/>
      <c r="W96" s="1"/>
      <c r="X96" s="1"/>
      <c r="Y96" s="1"/>
    </row>
    <row r="97">
      <c r="A97" s="1"/>
      <c r="B97" s="6">
        <v>2016.0</v>
      </c>
      <c r="C97" s="7">
        <v>2032616.0</v>
      </c>
      <c r="D97" s="9"/>
      <c r="E97" s="9">
        <f t="shared" si="99"/>
        <v>1446003.022</v>
      </c>
      <c r="F97" s="9">
        <f t="shared" si="100"/>
        <v>586612.9776</v>
      </c>
      <c r="G97" s="31">
        <f t="shared" si="101"/>
        <v>23136.04836</v>
      </c>
      <c r="H97" s="32">
        <f t="shared" si="102"/>
        <v>107004.2237</v>
      </c>
      <c r="I97" s="32">
        <f t="shared" si="103"/>
        <v>5866.129776</v>
      </c>
      <c r="J97" s="32">
        <f t="shared" si="104"/>
        <v>77432.91304</v>
      </c>
      <c r="K97" s="1"/>
      <c r="L97" s="6">
        <v>2016.0</v>
      </c>
      <c r="M97" s="20">
        <f t="shared" si="105"/>
        <v>37374976.24</v>
      </c>
      <c r="N97" s="6"/>
      <c r="O97" s="6">
        <f t="shared" si="106"/>
        <v>7487556.758</v>
      </c>
      <c r="P97" s="7">
        <v>4.4862533E7</v>
      </c>
      <c r="Q97" s="6">
        <f t="shared" si="107"/>
        <v>597999.6199</v>
      </c>
      <c r="R97" s="8">
        <f t="shared" si="108"/>
        <v>2765748.242</v>
      </c>
      <c r="S97" s="8">
        <f t="shared" si="109"/>
        <v>74875.56758</v>
      </c>
      <c r="T97" s="8">
        <f t="shared" si="110"/>
        <v>988357.492</v>
      </c>
      <c r="U97" s="1"/>
      <c r="V97" s="1"/>
      <c r="W97" s="1"/>
      <c r="X97" s="1"/>
      <c r="Y97" s="1"/>
    </row>
    <row r="98">
      <c r="A98" s="1"/>
      <c r="B98" s="6">
        <v>2017.0</v>
      </c>
      <c r="C98" s="7">
        <v>2042964.0</v>
      </c>
      <c r="D98" s="9"/>
      <c r="E98" s="9">
        <f t="shared" si="99"/>
        <v>1453364.59</v>
      </c>
      <c r="F98" s="9">
        <f t="shared" si="100"/>
        <v>589599.4104</v>
      </c>
      <c r="G98" s="31">
        <f t="shared" si="101"/>
        <v>23253.83343</v>
      </c>
      <c r="H98" s="32">
        <f t="shared" si="102"/>
        <v>107548.9796</v>
      </c>
      <c r="I98" s="32">
        <f t="shared" si="103"/>
        <v>5895.994104</v>
      </c>
      <c r="J98" s="32">
        <f t="shared" si="104"/>
        <v>77827.12217</v>
      </c>
      <c r="K98" s="1"/>
      <c r="L98" s="6">
        <v>2017.0</v>
      </c>
      <c r="M98" s="20">
        <f t="shared" si="105"/>
        <v>37846104.29</v>
      </c>
      <c r="N98" s="6"/>
      <c r="O98" s="6">
        <f t="shared" si="106"/>
        <v>7581940.711</v>
      </c>
      <c r="P98" s="7">
        <v>4.5428045E7</v>
      </c>
      <c r="Q98" s="6">
        <f t="shared" si="107"/>
        <v>605537.6686</v>
      </c>
      <c r="R98" s="8">
        <f t="shared" si="108"/>
        <v>2800611.717</v>
      </c>
      <c r="S98" s="8">
        <f t="shared" si="109"/>
        <v>75819.40711</v>
      </c>
      <c r="T98" s="8">
        <f t="shared" si="110"/>
        <v>1000816.174</v>
      </c>
      <c r="U98" s="1"/>
      <c r="V98" s="1"/>
      <c r="W98" s="1"/>
      <c r="X98" s="1"/>
      <c r="Y98" s="1"/>
    </row>
    <row r="99">
      <c r="A99" s="1"/>
      <c r="B99" s="6">
        <v>2018.0</v>
      </c>
      <c r="C99" s="7">
        <v>2053157.0</v>
      </c>
      <c r="D99" s="9"/>
      <c r="E99" s="9">
        <f t="shared" si="99"/>
        <v>1460615.89</v>
      </c>
      <c r="F99" s="9">
        <f t="shared" si="100"/>
        <v>592541.1102</v>
      </c>
      <c r="G99" s="31">
        <f t="shared" si="101"/>
        <v>23369.85424</v>
      </c>
      <c r="H99" s="32">
        <f t="shared" si="102"/>
        <v>108085.5758</v>
      </c>
      <c r="I99" s="32">
        <f t="shared" si="103"/>
        <v>5925.411102</v>
      </c>
      <c r="J99" s="32">
        <f t="shared" si="104"/>
        <v>78215.42655</v>
      </c>
      <c r="K99" s="1"/>
      <c r="L99" s="6">
        <v>2018.0</v>
      </c>
      <c r="M99" s="20">
        <f t="shared" si="105"/>
        <v>38313629.18</v>
      </c>
      <c r="N99" s="6"/>
      <c r="O99" s="6">
        <f t="shared" si="106"/>
        <v>7675602.821</v>
      </c>
      <c r="P99" s="7">
        <v>4.5989232E7</v>
      </c>
      <c r="Q99" s="6">
        <f t="shared" si="107"/>
        <v>613018.0669</v>
      </c>
      <c r="R99" s="8">
        <f t="shared" si="108"/>
        <v>2835208.559</v>
      </c>
      <c r="S99" s="8">
        <f t="shared" si="109"/>
        <v>76756.02821</v>
      </c>
      <c r="T99" s="8">
        <f t="shared" si="110"/>
        <v>1013179.572</v>
      </c>
      <c r="U99" s="1"/>
      <c r="V99" s="1"/>
      <c r="W99" s="1"/>
      <c r="X99" s="1"/>
      <c r="Y99" s="1"/>
    </row>
    <row r="100">
      <c r="A100" s="1"/>
      <c r="B100" s="6">
        <v>2019.0</v>
      </c>
      <c r="C100" s="7">
        <v>2063196.0</v>
      </c>
      <c r="D100" s="9"/>
      <c r="E100" s="9">
        <f t="shared" si="99"/>
        <v>1467757.634</v>
      </c>
      <c r="F100" s="9">
        <f t="shared" si="100"/>
        <v>595438.3656</v>
      </c>
      <c r="G100" s="31">
        <f t="shared" si="101"/>
        <v>23484.12215</v>
      </c>
      <c r="H100" s="32">
        <f t="shared" si="102"/>
        <v>108614.0649</v>
      </c>
      <c r="I100" s="32">
        <f t="shared" si="103"/>
        <v>5954.383656</v>
      </c>
      <c r="J100" s="32">
        <f t="shared" si="104"/>
        <v>78597.86426</v>
      </c>
      <c r="K100" s="1"/>
      <c r="L100" s="6">
        <v>2019.0</v>
      </c>
      <c r="M100" s="20">
        <f t="shared" si="105"/>
        <v>38777464.27</v>
      </c>
      <c r="N100" s="6"/>
      <c r="O100" s="6">
        <f t="shared" si="106"/>
        <v>7768525.731</v>
      </c>
      <c r="P100" s="7">
        <v>4.654599E7</v>
      </c>
      <c r="Q100" s="6">
        <f t="shared" si="107"/>
        <v>620439.4283</v>
      </c>
      <c r="R100" s="8">
        <f t="shared" si="108"/>
        <v>2869532.356</v>
      </c>
      <c r="S100" s="8">
        <f t="shared" si="109"/>
        <v>77685.25731</v>
      </c>
      <c r="T100" s="8">
        <f t="shared" si="110"/>
        <v>1025445.396</v>
      </c>
      <c r="U100" s="1"/>
      <c r="V100" s="1"/>
      <c r="W100" s="1"/>
      <c r="X100" s="1"/>
      <c r="Y100" s="1"/>
    </row>
    <row r="101">
      <c r="A101" s="1"/>
      <c r="B101" s="6">
        <v>2020.0</v>
      </c>
      <c r="C101" s="7">
        <v>2073082.0</v>
      </c>
      <c r="D101" s="9"/>
      <c r="E101" s="9">
        <f t="shared" si="99"/>
        <v>1474790.535</v>
      </c>
      <c r="F101" s="9">
        <f t="shared" si="100"/>
        <v>598291.4652</v>
      </c>
      <c r="G101" s="31">
        <f t="shared" si="101"/>
        <v>23596.64856</v>
      </c>
      <c r="H101" s="32">
        <f t="shared" si="102"/>
        <v>109134.4996</v>
      </c>
      <c r="I101" s="32">
        <f t="shared" si="103"/>
        <v>5982.914652</v>
      </c>
      <c r="J101" s="32">
        <f t="shared" si="104"/>
        <v>78974.47341</v>
      </c>
      <c r="K101" s="1"/>
      <c r="L101" s="6">
        <v>2020.0</v>
      </c>
      <c r="M101" s="20">
        <f t="shared" si="105"/>
        <v>39237525.42</v>
      </c>
      <c r="N101" s="6"/>
      <c r="O101" s="6">
        <f t="shared" si="106"/>
        <v>7860692.584</v>
      </c>
      <c r="P101" s="7">
        <v>4.7098218E7</v>
      </c>
      <c r="Q101" s="6">
        <f t="shared" si="107"/>
        <v>627800.4067</v>
      </c>
      <c r="R101" s="8">
        <f t="shared" si="108"/>
        <v>2903576.881</v>
      </c>
      <c r="S101" s="8">
        <f t="shared" si="109"/>
        <v>78606.92584</v>
      </c>
      <c r="T101" s="8">
        <f t="shared" si="110"/>
        <v>1037611.421</v>
      </c>
      <c r="U101" s="1"/>
      <c r="V101" s="1"/>
      <c r="W101" s="1"/>
      <c r="X101" s="1"/>
      <c r="Y101" s="1"/>
    </row>
    <row r="102">
      <c r="A102" s="1"/>
      <c r="B102" s="10">
        <v>2021.0</v>
      </c>
      <c r="C102" s="11">
        <v>2082817.0</v>
      </c>
      <c r="D102" s="13"/>
      <c r="E102" s="13">
        <f t="shared" si="99"/>
        <v>1481716.014</v>
      </c>
      <c r="F102" s="9">
        <f t="shared" si="100"/>
        <v>601100.9862</v>
      </c>
      <c r="G102" s="33">
        <f t="shared" si="101"/>
        <v>23707.45622</v>
      </c>
      <c r="H102" s="32">
        <f t="shared" si="102"/>
        <v>109646.985</v>
      </c>
      <c r="I102" s="32">
        <f t="shared" si="103"/>
        <v>6011.009862</v>
      </c>
      <c r="J102" s="32">
        <f t="shared" si="104"/>
        <v>79345.33018</v>
      </c>
      <c r="K102" s="1"/>
      <c r="L102" s="10">
        <v>2021.0</v>
      </c>
      <c r="M102" s="20">
        <f t="shared" si="105"/>
        <v>39693734.31</v>
      </c>
      <c r="N102" s="6"/>
      <c r="O102" s="6">
        <f t="shared" si="106"/>
        <v>7952087.692</v>
      </c>
      <c r="P102" s="11">
        <v>4.7645822E7</v>
      </c>
      <c r="Q102" s="10">
        <f t="shared" si="107"/>
        <v>635099.7489</v>
      </c>
      <c r="R102" s="8">
        <f t="shared" si="108"/>
        <v>2937336.339</v>
      </c>
      <c r="S102" s="8">
        <f t="shared" si="109"/>
        <v>79520.87692</v>
      </c>
      <c r="T102" s="8">
        <f t="shared" si="110"/>
        <v>1049675.575</v>
      </c>
      <c r="U102" s="1"/>
      <c r="V102" s="1"/>
      <c r="W102" s="1"/>
      <c r="X102" s="1"/>
      <c r="Y102" s="1"/>
    </row>
    <row r="103">
      <c r="A103" s="1"/>
      <c r="B103" s="1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4" t="s">
        <v>38</v>
      </c>
      <c r="C105" s="4" t="s">
        <v>10</v>
      </c>
      <c r="D105" s="5"/>
      <c r="E105" s="5" t="s">
        <v>11</v>
      </c>
      <c r="F105" s="5" t="s">
        <v>12</v>
      </c>
      <c r="G105" s="3" t="s">
        <v>6</v>
      </c>
      <c r="H105" s="1" t="s">
        <v>7</v>
      </c>
      <c r="I105" s="1" t="s">
        <v>8</v>
      </c>
      <c r="J105" s="1" t="s">
        <v>9</v>
      </c>
      <c r="K105" s="1"/>
      <c r="L105" s="3" t="s">
        <v>39</v>
      </c>
      <c r="M105" s="4" t="s">
        <v>10</v>
      </c>
      <c r="N105" s="5"/>
      <c r="O105" s="5" t="s">
        <v>11</v>
      </c>
      <c r="P105" s="5" t="s">
        <v>12</v>
      </c>
      <c r="Q105" s="3" t="s">
        <v>6</v>
      </c>
      <c r="R105" s="1" t="s">
        <v>7</v>
      </c>
      <c r="S105" s="1" t="s">
        <v>8</v>
      </c>
      <c r="T105" s="1" t="s">
        <v>9</v>
      </c>
      <c r="U105" s="1"/>
      <c r="V105" s="1"/>
      <c r="W105" s="1"/>
      <c r="X105" s="1"/>
      <c r="Y105" s="1"/>
    </row>
    <row r="106">
      <c r="A106" s="1"/>
      <c r="B106" s="6">
        <v>2015.0</v>
      </c>
      <c r="C106" s="7">
        <v>2.897641E7</v>
      </c>
      <c r="D106" s="9"/>
      <c r="E106" s="9">
        <f t="shared" ref="E106:E112" si="111">62.52*C106/100</f>
        <v>18116051.53</v>
      </c>
      <c r="F106" s="9">
        <f t="shared" ref="F106:F112" si="112">37.48*C106/100</f>
        <v>10860358.47</v>
      </c>
      <c r="G106" s="6">
        <f t="shared" ref="G106:G112" si="113">65.52*1.6*C106/10000</f>
        <v>303765.5013</v>
      </c>
      <c r="H106" s="8">
        <f t="shared" ref="H106:H112" si="114">65.52*7.4*C106/10000</f>
        <v>1404915.444</v>
      </c>
      <c r="I106" s="8">
        <f t="shared" ref="I106:I112" si="115">37.48*1*C106/10000</f>
        <v>108603.5847</v>
      </c>
      <c r="J106" s="8">
        <f t="shared" ref="J106:J112" si="116">37.48*13.2*C106/10000</f>
        <v>1433567.318</v>
      </c>
      <c r="K106" s="1"/>
      <c r="L106" s="6">
        <v>2015.0</v>
      </c>
      <c r="M106" s="20">
        <f t="shared" ref="M106:M112" si="117">75.13*P106/100</f>
        <v>55198911.06</v>
      </c>
      <c r="N106" s="20"/>
      <c r="O106" s="20">
        <f t="shared" ref="O106:O112" si="118">24.87*P106/100</f>
        <v>18272286.94</v>
      </c>
      <c r="P106" s="7">
        <v>7.3471198E7</v>
      </c>
      <c r="Q106" s="6">
        <f t="shared" ref="Q106:Q112" si="119">75.13*1.6*P106/10000</f>
        <v>883182.5769</v>
      </c>
      <c r="R106" s="8">
        <f t="shared" ref="R106:R112" si="120">75.13*7.4*P106/10000</f>
        <v>4084719.418</v>
      </c>
      <c r="S106" s="8">
        <f t="shared" ref="S106:S112" si="121">24.87*1*P106/10000</f>
        <v>182722.8694</v>
      </c>
      <c r="T106" s="8">
        <f t="shared" ref="T106:T112" si="122">24.87*13.2*P106/10000</f>
        <v>2411941.876</v>
      </c>
      <c r="U106" s="1"/>
      <c r="V106" s="1"/>
      <c r="W106" s="1"/>
      <c r="X106" s="1"/>
      <c r="Y106" s="1"/>
    </row>
    <row r="107">
      <c r="A107" s="1"/>
      <c r="B107" s="6">
        <v>2016.0</v>
      </c>
      <c r="C107" s="7">
        <v>2.9277472E7</v>
      </c>
      <c r="D107" s="9"/>
      <c r="E107" s="9">
        <f t="shared" si="111"/>
        <v>18304275.49</v>
      </c>
      <c r="F107" s="9">
        <f t="shared" si="112"/>
        <v>10973196.51</v>
      </c>
      <c r="G107" s="6">
        <f t="shared" si="113"/>
        <v>306921.5945</v>
      </c>
      <c r="H107" s="8">
        <f t="shared" si="114"/>
        <v>1419512.374</v>
      </c>
      <c r="I107" s="8">
        <f t="shared" si="115"/>
        <v>109731.9651</v>
      </c>
      <c r="J107" s="8">
        <f t="shared" si="116"/>
        <v>1448461.939</v>
      </c>
      <c r="K107" s="1"/>
      <c r="L107" s="6">
        <v>2016.0</v>
      </c>
      <c r="M107" s="20">
        <f t="shared" si="117"/>
        <v>56116528.59</v>
      </c>
      <c r="N107" s="20"/>
      <c r="O107" s="20">
        <f t="shared" si="118"/>
        <v>18576042.41</v>
      </c>
      <c r="P107" s="7">
        <v>7.4692571E7</v>
      </c>
      <c r="Q107" s="6">
        <f t="shared" si="119"/>
        <v>897864.4575</v>
      </c>
      <c r="R107" s="8">
        <f t="shared" si="120"/>
        <v>4152623.116</v>
      </c>
      <c r="S107" s="8">
        <f t="shared" si="121"/>
        <v>185760.4241</v>
      </c>
      <c r="T107" s="8">
        <f t="shared" si="122"/>
        <v>2452037.598</v>
      </c>
      <c r="U107" s="1"/>
      <c r="V107" s="1"/>
      <c r="W107" s="1"/>
      <c r="X107" s="1"/>
      <c r="Y107" s="1"/>
    </row>
    <row r="108">
      <c r="A108" s="1"/>
      <c r="B108" s="6">
        <v>2017.0</v>
      </c>
      <c r="C108" s="7">
        <v>2.9575578E7</v>
      </c>
      <c r="D108" s="9"/>
      <c r="E108" s="9">
        <f t="shared" si="111"/>
        <v>18490651.37</v>
      </c>
      <c r="F108" s="9">
        <f t="shared" si="112"/>
        <v>11084926.63</v>
      </c>
      <c r="G108" s="6">
        <f t="shared" si="113"/>
        <v>310046.6993</v>
      </c>
      <c r="H108" s="8">
        <f t="shared" si="114"/>
        <v>1433965.984</v>
      </c>
      <c r="I108" s="8">
        <f t="shared" si="115"/>
        <v>110849.2663</v>
      </c>
      <c r="J108" s="8">
        <f t="shared" si="116"/>
        <v>1463210.316</v>
      </c>
      <c r="K108" s="1"/>
      <c r="L108" s="6">
        <v>2017.0</v>
      </c>
      <c r="M108" s="20">
        <f t="shared" si="117"/>
        <v>57030742.74</v>
      </c>
      <c r="N108" s="20"/>
      <c r="O108" s="20">
        <f t="shared" si="118"/>
        <v>18878671.26</v>
      </c>
      <c r="P108" s="7">
        <v>7.5909414E7</v>
      </c>
      <c r="Q108" s="6">
        <f t="shared" si="119"/>
        <v>912491.8838</v>
      </c>
      <c r="R108" s="8">
        <f t="shared" si="120"/>
        <v>4220274.963</v>
      </c>
      <c r="S108" s="8">
        <f t="shared" si="121"/>
        <v>188786.7126</v>
      </c>
      <c r="T108" s="8">
        <f t="shared" si="122"/>
        <v>2491984.607</v>
      </c>
      <c r="U108" s="1"/>
      <c r="V108" s="1"/>
      <c r="W108" s="1"/>
      <c r="X108" s="1"/>
      <c r="Y108" s="1"/>
    </row>
    <row r="109">
      <c r="A109" s="1"/>
      <c r="B109" s="6">
        <v>2018.0</v>
      </c>
      <c r="C109" s="7">
        <v>2.9870697E7</v>
      </c>
      <c r="D109" s="9"/>
      <c r="E109" s="9">
        <f t="shared" si="111"/>
        <v>18675159.76</v>
      </c>
      <c r="F109" s="9">
        <f t="shared" si="112"/>
        <v>11195537.24</v>
      </c>
      <c r="G109" s="6">
        <f t="shared" si="113"/>
        <v>313140.4908</v>
      </c>
      <c r="H109" s="8">
        <f t="shared" si="114"/>
        <v>1448274.77</v>
      </c>
      <c r="I109" s="8">
        <f t="shared" si="115"/>
        <v>111955.3724</v>
      </c>
      <c r="J109" s="8">
        <f t="shared" si="116"/>
        <v>1477810.915</v>
      </c>
      <c r="K109" s="1"/>
      <c r="L109" s="6">
        <v>2018.0</v>
      </c>
      <c r="M109" s="20">
        <f t="shared" si="117"/>
        <v>57941268.75</v>
      </c>
      <c r="N109" s="20"/>
      <c r="O109" s="20">
        <f t="shared" si="118"/>
        <v>19180079.25</v>
      </c>
      <c r="P109" s="7">
        <v>7.7121348E7</v>
      </c>
      <c r="Q109" s="6">
        <f t="shared" si="119"/>
        <v>927060.3</v>
      </c>
      <c r="R109" s="8">
        <f t="shared" si="120"/>
        <v>4287653.888</v>
      </c>
      <c r="S109" s="8">
        <f t="shared" si="121"/>
        <v>191800.7925</v>
      </c>
      <c r="T109" s="8">
        <f t="shared" si="122"/>
        <v>2531770.461</v>
      </c>
      <c r="U109" s="1"/>
      <c r="V109" s="1"/>
      <c r="W109" s="1"/>
      <c r="X109" s="1"/>
      <c r="Y109" s="1"/>
    </row>
    <row r="110">
      <c r="A110" s="1"/>
      <c r="B110" s="6">
        <v>2019.0</v>
      </c>
      <c r="C110" s="7">
        <v>3.0162799E7</v>
      </c>
      <c r="D110" s="9"/>
      <c r="E110" s="9">
        <f t="shared" si="111"/>
        <v>18857781.93</v>
      </c>
      <c r="F110" s="9">
        <f t="shared" si="112"/>
        <v>11305017.07</v>
      </c>
      <c r="G110" s="6">
        <f t="shared" si="113"/>
        <v>316202.6545</v>
      </c>
      <c r="H110" s="8">
        <f t="shared" si="114"/>
        <v>1462437.277</v>
      </c>
      <c r="I110" s="8">
        <f t="shared" si="115"/>
        <v>113050.1707</v>
      </c>
      <c r="J110" s="8">
        <f t="shared" si="116"/>
        <v>1492262.253</v>
      </c>
      <c r="K110" s="1"/>
      <c r="L110" s="6">
        <v>2019.0</v>
      </c>
      <c r="M110" s="20">
        <f t="shared" si="117"/>
        <v>58847830.16</v>
      </c>
      <c r="N110" s="20"/>
      <c r="O110" s="20">
        <f t="shared" si="118"/>
        <v>19480174.84</v>
      </c>
      <c r="P110" s="7">
        <v>7.8328005E7</v>
      </c>
      <c r="Q110" s="6">
        <f t="shared" si="119"/>
        <v>941565.2825</v>
      </c>
      <c r="R110" s="8">
        <f t="shared" si="120"/>
        <v>4354739.432</v>
      </c>
      <c r="S110" s="8">
        <f t="shared" si="121"/>
        <v>194801.7484</v>
      </c>
      <c r="T110" s="8">
        <f t="shared" si="122"/>
        <v>2571383.079</v>
      </c>
      <c r="U110" s="1"/>
      <c r="V110" s="1"/>
      <c r="W110" s="1"/>
      <c r="X110" s="1"/>
      <c r="Y110" s="1"/>
    </row>
    <row r="111">
      <c r="A111" s="1"/>
      <c r="B111" s="6">
        <v>2020.0</v>
      </c>
      <c r="C111" s="7">
        <v>3.0451858E7</v>
      </c>
      <c r="D111" s="9"/>
      <c r="E111" s="9">
        <f t="shared" si="111"/>
        <v>19038501.62</v>
      </c>
      <c r="F111" s="9">
        <f t="shared" si="112"/>
        <v>11413356.38</v>
      </c>
      <c r="G111" s="6">
        <f t="shared" si="113"/>
        <v>319232.9178</v>
      </c>
      <c r="H111" s="8">
        <f t="shared" si="114"/>
        <v>1476452.245</v>
      </c>
      <c r="I111" s="8">
        <f t="shared" si="115"/>
        <v>114133.5638</v>
      </c>
      <c r="J111" s="8">
        <f t="shared" si="116"/>
        <v>1506563.042</v>
      </c>
      <c r="K111" s="1"/>
      <c r="L111" s="6">
        <v>2020.0</v>
      </c>
      <c r="M111" s="20">
        <f t="shared" si="117"/>
        <v>59750160.99</v>
      </c>
      <c r="N111" s="20"/>
      <c r="O111" s="20">
        <f t="shared" si="118"/>
        <v>19778870.01</v>
      </c>
      <c r="P111" s="7">
        <v>7.9529031E7</v>
      </c>
      <c r="Q111" s="6">
        <f t="shared" si="119"/>
        <v>956002.5758</v>
      </c>
      <c r="R111" s="8">
        <f t="shared" si="120"/>
        <v>4421511.913</v>
      </c>
      <c r="S111" s="8">
        <f t="shared" si="121"/>
        <v>197788.7001</v>
      </c>
      <c r="T111" s="8">
        <f t="shared" si="122"/>
        <v>2610810.841</v>
      </c>
      <c r="U111" s="1"/>
      <c r="V111" s="1"/>
      <c r="W111" s="1"/>
      <c r="X111" s="1"/>
      <c r="Y111" s="1"/>
    </row>
    <row r="112">
      <c r="A112" s="1"/>
      <c r="B112" s="10">
        <v>2021.0</v>
      </c>
      <c r="C112" s="11">
        <v>3.0737851E7</v>
      </c>
      <c r="D112" s="12"/>
      <c r="E112" s="9">
        <f t="shared" si="111"/>
        <v>19217304.45</v>
      </c>
      <c r="F112" s="9">
        <f t="shared" si="112"/>
        <v>11520546.55</v>
      </c>
      <c r="G112" s="10">
        <f t="shared" si="113"/>
        <v>322231.0396</v>
      </c>
      <c r="H112" s="8">
        <f t="shared" si="114"/>
        <v>1490318.558</v>
      </c>
      <c r="I112" s="8">
        <f t="shared" si="115"/>
        <v>115205.4655</v>
      </c>
      <c r="J112" s="8">
        <f t="shared" si="116"/>
        <v>1520712.145</v>
      </c>
      <c r="K112" s="1"/>
      <c r="L112" s="10">
        <v>2021.0</v>
      </c>
      <c r="M112" s="20">
        <f t="shared" si="117"/>
        <v>60648004.31</v>
      </c>
      <c r="N112" s="20"/>
      <c r="O112" s="20">
        <f t="shared" si="118"/>
        <v>20076079.69</v>
      </c>
      <c r="P112" s="11">
        <v>8.0724084E7</v>
      </c>
      <c r="Q112" s="10">
        <f t="shared" si="119"/>
        <v>970368.0689</v>
      </c>
      <c r="R112" s="8">
        <f t="shared" si="120"/>
        <v>4487952.319</v>
      </c>
      <c r="S112" s="8">
        <f t="shared" si="121"/>
        <v>200760.7969</v>
      </c>
      <c r="T112" s="8">
        <f t="shared" si="122"/>
        <v>2650042.519</v>
      </c>
      <c r="U112" s="1"/>
      <c r="V112" s="1"/>
      <c r="W112" s="1"/>
      <c r="X112" s="1"/>
      <c r="Y112" s="1"/>
    </row>
    <row r="113">
      <c r="A113" s="1"/>
      <c r="B113" s="1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3" t="s">
        <v>40</v>
      </c>
      <c r="C115" s="4" t="s">
        <v>10</v>
      </c>
      <c r="D115" s="5"/>
      <c r="E115" s="5" t="s">
        <v>11</v>
      </c>
      <c r="F115" s="5" t="s">
        <v>12</v>
      </c>
      <c r="G115" s="3" t="s">
        <v>6</v>
      </c>
      <c r="H115" s="1" t="s">
        <v>7</v>
      </c>
      <c r="I115" s="1" t="s">
        <v>8</v>
      </c>
      <c r="J115" s="1" t="s">
        <v>9</v>
      </c>
      <c r="K115" s="1"/>
      <c r="L115" s="3" t="s">
        <v>41</v>
      </c>
      <c r="M115" s="4" t="s">
        <v>10</v>
      </c>
      <c r="N115" s="5"/>
      <c r="O115" s="5" t="s">
        <v>11</v>
      </c>
      <c r="P115" s="5" t="s">
        <v>12</v>
      </c>
      <c r="Q115" s="3" t="s">
        <v>6</v>
      </c>
      <c r="R115" s="1" t="s">
        <v>7</v>
      </c>
      <c r="S115" s="1" t="s">
        <v>8</v>
      </c>
      <c r="T115" s="1" t="s">
        <v>9</v>
      </c>
      <c r="U115" s="1"/>
      <c r="V115" s="1"/>
      <c r="W115" s="1"/>
      <c r="X115" s="1"/>
      <c r="Y115" s="1"/>
    </row>
    <row r="116">
      <c r="A116" s="1"/>
      <c r="B116" s="6">
        <v>2015.0</v>
      </c>
      <c r="C116" s="7">
        <v>632216.0</v>
      </c>
      <c r="D116" s="9"/>
      <c r="E116" s="9">
        <f t="shared" ref="E116:E122" si="123">74.85*C116/100</f>
        <v>473213.676</v>
      </c>
      <c r="F116" s="9">
        <f t="shared" ref="F116:F122" si="124">25.15*C116/100</f>
        <v>159002.324</v>
      </c>
      <c r="G116" s="6">
        <f t="shared" ref="G116:G122" si="125">74.85*1.6*C116/10000</f>
        <v>7571.418816</v>
      </c>
      <c r="H116" s="8">
        <f t="shared" ref="H116:H122" si="126">74.85*7.4*C116/10000</f>
        <v>35017.81202</v>
      </c>
      <c r="I116" s="8">
        <f t="shared" ref="I116:I122" si="127">25.15*C116/10000</f>
        <v>1590.02324</v>
      </c>
      <c r="J116" s="8">
        <f t="shared" ref="J116:J122" si="128">25.15*C116*13.2/10000</f>
        <v>20988.30677</v>
      </c>
      <c r="K116" s="1"/>
      <c r="L116" s="6">
        <v>2015.0</v>
      </c>
      <c r="M116" s="20">
        <f t="shared" ref="M116:M122" si="129">51.6*P116/100</f>
        <v>39901362.55</v>
      </c>
      <c r="N116" s="20"/>
      <c r="O116" s="20">
        <f t="shared" ref="O116:O122" si="130">48.4*P116/100</f>
        <v>37426859.45</v>
      </c>
      <c r="P116" s="7">
        <v>7.7328222E7</v>
      </c>
      <c r="Q116" s="6">
        <f t="shared" ref="Q116:Q122" si="131">51.6*1.6*P116/10000</f>
        <v>638421.8008</v>
      </c>
      <c r="R116" s="8">
        <f t="shared" ref="R116:R122" si="132">51.6*7.4*P116/10000</f>
        <v>2952700.829</v>
      </c>
      <c r="S116" s="8">
        <f t="shared" ref="S116:S122" si="133">48.4*1*P116/10000</f>
        <v>374268.5945</v>
      </c>
      <c r="T116" s="8">
        <f t="shared" ref="T116:T122" si="134">48.4*13.2*P116/10000</f>
        <v>4940345.447</v>
      </c>
      <c r="U116" s="1"/>
      <c r="V116" s="1"/>
      <c r="W116" s="1"/>
      <c r="X116" s="1"/>
      <c r="Y116" s="1"/>
    </row>
    <row r="117">
      <c r="A117" s="1"/>
      <c r="B117" s="6">
        <v>2016.0</v>
      </c>
      <c r="C117" s="7">
        <v>637471.0</v>
      </c>
      <c r="D117" s="9"/>
      <c r="E117" s="9">
        <f t="shared" si="123"/>
        <v>477147.0435</v>
      </c>
      <c r="F117" s="9">
        <f t="shared" si="124"/>
        <v>160323.9565</v>
      </c>
      <c r="G117" s="6">
        <f t="shared" si="125"/>
        <v>7634.352696</v>
      </c>
      <c r="H117" s="8">
        <f t="shared" si="126"/>
        <v>35308.88122</v>
      </c>
      <c r="I117" s="8">
        <f t="shared" si="127"/>
        <v>1603.239565</v>
      </c>
      <c r="J117" s="8">
        <f t="shared" si="128"/>
        <v>21162.76226</v>
      </c>
      <c r="K117" s="1"/>
      <c r="L117" s="6">
        <v>2016.0</v>
      </c>
      <c r="M117" s="20">
        <f t="shared" si="129"/>
        <v>40564675.91</v>
      </c>
      <c r="N117" s="20"/>
      <c r="O117" s="20">
        <f t="shared" si="130"/>
        <v>38049037.09</v>
      </c>
      <c r="P117" s="7">
        <v>7.8613713E7</v>
      </c>
      <c r="Q117" s="6">
        <f t="shared" si="131"/>
        <v>649034.8145</v>
      </c>
      <c r="R117" s="8">
        <f t="shared" si="132"/>
        <v>3001786.017</v>
      </c>
      <c r="S117" s="8">
        <f t="shared" si="133"/>
        <v>380490.3709</v>
      </c>
      <c r="T117" s="8">
        <f t="shared" si="134"/>
        <v>5022472.896</v>
      </c>
      <c r="U117" s="1"/>
      <c r="V117" s="1"/>
      <c r="W117" s="1"/>
      <c r="X117" s="1"/>
      <c r="Y117" s="1"/>
    </row>
    <row r="118">
      <c r="A118" s="1"/>
      <c r="B118" s="6">
        <v>2017.0</v>
      </c>
      <c r="C118" s="7">
        <v>642664.0</v>
      </c>
      <c r="D118" s="9"/>
      <c r="E118" s="9">
        <f t="shared" si="123"/>
        <v>481034.004</v>
      </c>
      <c r="F118" s="9">
        <f t="shared" si="124"/>
        <v>161629.996</v>
      </c>
      <c r="G118" s="6">
        <f t="shared" si="125"/>
        <v>7696.544064</v>
      </c>
      <c r="H118" s="8">
        <f t="shared" si="126"/>
        <v>35596.5163</v>
      </c>
      <c r="I118" s="8">
        <f t="shared" si="127"/>
        <v>1616.29996</v>
      </c>
      <c r="J118" s="8">
        <f t="shared" si="128"/>
        <v>21335.15947</v>
      </c>
      <c r="K118" s="1"/>
      <c r="L118" s="6">
        <v>2017.0</v>
      </c>
      <c r="M118" s="20">
        <f t="shared" si="129"/>
        <v>41225529.49</v>
      </c>
      <c r="N118" s="20"/>
      <c r="O118" s="20">
        <f t="shared" si="130"/>
        <v>38668907.51</v>
      </c>
      <c r="P118" s="7">
        <v>7.9894437E7</v>
      </c>
      <c r="Q118" s="6">
        <f t="shared" si="131"/>
        <v>659608.4719</v>
      </c>
      <c r="R118" s="8">
        <f t="shared" si="132"/>
        <v>3050689.182</v>
      </c>
      <c r="S118" s="8">
        <f t="shared" si="133"/>
        <v>386689.0751</v>
      </c>
      <c r="T118" s="8">
        <f t="shared" si="134"/>
        <v>5104295.791</v>
      </c>
      <c r="U118" s="1"/>
      <c r="V118" s="1"/>
      <c r="W118" s="1"/>
      <c r="X118" s="1"/>
      <c r="Y118" s="1"/>
    </row>
    <row r="119">
      <c r="A119" s="1"/>
      <c r="B119" s="6">
        <v>2018.0</v>
      </c>
      <c r="C119" s="7">
        <v>647794.0</v>
      </c>
      <c r="D119" s="9"/>
      <c r="E119" s="9">
        <f t="shared" si="123"/>
        <v>484873.809</v>
      </c>
      <c r="F119" s="9">
        <f t="shared" si="124"/>
        <v>162920.191</v>
      </c>
      <c r="G119" s="6">
        <f t="shared" si="125"/>
        <v>7757.980944</v>
      </c>
      <c r="H119" s="8">
        <f t="shared" si="126"/>
        <v>35880.66187</v>
      </c>
      <c r="I119" s="8">
        <f t="shared" si="127"/>
        <v>1629.20191</v>
      </c>
      <c r="J119" s="8">
        <f t="shared" si="128"/>
        <v>21505.46521</v>
      </c>
      <c r="K119" s="1"/>
      <c r="L119" s="6">
        <v>2018.0</v>
      </c>
      <c r="M119" s="20">
        <f t="shared" si="129"/>
        <v>41883716.9</v>
      </c>
      <c r="N119" s="20"/>
      <c r="O119" s="20">
        <f t="shared" si="130"/>
        <v>39286277.1</v>
      </c>
      <c r="P119" s="7">
        <v>8.1169994E7</v>
      </c>
      <c r="Q119" s="6">
        <f t="shared" si="131"/>
        <v>670139.4705</v>
      </c>
      <c r="R119" s="8">
        <f t="shared" si="132"/>
        <v>3099395.051</v>
      </c>
      <c r="S119" s="8">
        <f t="shared" si="133"/>
        <v>392862.771</v>
      </c>
      <c r="T119" s="8">
        <f t="shared" si="134"/>
        <v>5185788.577</v>
      </c>
      <c r="U119" s="1"/>
      <c r="V119" s="1"/>
      <c r="W119" s="1"/>
      <c r="X119" s="1"/>
      <c r="Y119" s="1"/>
    </row>
    <row r="120">
      <c r="A120" s="1"/>
      <c r="B120" s="6">
        <v>2019.0</v>
      </c>
      <c r="C120" s="7">
        <v>652862.0</v>
      </c>
      <c r="D120" s="9"/>
      <c r="E120" s="9">
        <f t="shared" si="123"/>
        <v>488667.207</v>
      </c>
      <c r="F120" s="9">
        <f t="shared" si="124"/>
        <v>164194.793</v>
      </c>
      <c r="G120" s="6">
        <f t="shared" si="125"/>
        <v>7818.675312</v>
      </c>
      <c r="H120" s="8">
        <f t="shared" si="126"/>
        <v>36161.37332</v>
      </c>
      <c r="I120" s="8">
        <f t="shared" si="127"/>
        <v>1641.94793</v>
      </c>
      <c r="J120" s="8">
        <f t="shared" si="128"/>
        <v>21673.71268</v>
      </c>
      <c r="K120" s="1"/>
      <c r="L120" s="6">
        <v>2019.0</v>
      </c>
      <c r="M120" s="20">
        <f t="shared" si="129"/>
        <v>42539038.45</v>
      </c>
      <c r="N120" s="20"/>
      <c r="O120" s="20">
        <f t="shared" si="130"/>
        <v>39900958.55</v>
      </c>
      <c r="P120" s="7">
        <v>8.2439997E7</v>
      </c>
      <c r="Q120" s="6">
        <f t="shared" si="131"/>
        <v>680624.6152</v>
      </c>
      <c r="R120" s="8">
        <f t="shared" si="132"/>
        <v>3147888.845</v>
      </c>
      <c r="S120" s="8">
        <f t="shared" si="133"/>
        <v>399009.5855</v>
      </c>
      <c r="T120" s="8">
        <f t="shared" si="134"/>
        <v>5266926.528</v>
      </c>
      <c r="U120" s="1"/>
      <c r="V120" s="1"/>
      <c r="W120" s="1"/>
      <c r="X120" s="1"/>
      <c r="Y120" s="1"/>
    </row>
    <row r="121">
      <c r="A121" s="1"/>
      <c r="B121" s="6">
        <v>2020.0</v>
      </c>
      <c r="C121" s="7">
        <v>657867.0</v>
      </c>
      <c r="D121" s="9"/>
      <c r="E121" s="9">
        <f t="shared" si="123"/>
        <v>492413.4495</v>
      </c>
      <c r="F121" s="9">
        <f t="shared" si="124"/>
        <v>165453.5505</v>
      </c>
      <c r="G121" s="6">
        <f t="shared" si="125"/>
        <v>7878.615192</v>
      </c>
      <c r="H121" s="8">
        <f t="shared" si="126"/>
        <v>36438.59526</v>
      </c>
      <c r="I121" s="8">
        <f t="shared" si="127"/>
        <v>1654.535505</v>
      </c>
      <c r="J121" s="8">
        <f t="shared" si="128"/>
        <v>21839.86867</v>
      </c>
      <c r="K121" s="1"/>
      <c r="L121" s="6">
        <v>2020.0</v>
      </c>
      <c r="M121" s="20">
        <f t="shared" si="129"/>
        <v>43191302.18</v>
      </c>
      <c r="N121" s="20"/>
      <c r="O121" s="20">
        <f t="shared" si="130"/>
        <v>40512771.82</v>
      </c>
      <c r="P121" s="7">
        <v>8.3704074E7</v>
      </c>
      <c r="Q121" s="6">
        <f t="shared" si="131"/>
        <v>691060.8349</v>
      </c>
      <c r="R121" s="8">
        <f t="shared" si="132"/>
        <v>3196156.362</v>
      </c>
      <c r="S121" s="8">
        <f t="shared" si="133"/>
        <v>405127.7182</v>
      </c>
      <c r="T121" s="8">
        <f t="shared" si="134"/>
        <v>5347685.88</v>
      </c>
      <c r="U121" s="1"/>
      <c r="V121" s="1"/>
      <c r="W121" s="1"/>
      <c r="X121" s="1"/>
      <c r="Y121" s="1"/>
    </row>
    <row r="122">
      <c r="A122" s="1"/>
      <c r="B122" s="10">
        <v>2021.0</v>
      </c>
      <c r="C122" s="11">
        <v>662810.0</v>
      </c>
      <c r="D122" s="12"/>
      <c r="E122" s="9">
        <f t="shared" si="123"/>
        <v>496113.285</v>
      </c>
      <c r="F122" s="9">
        <f t="shared" si="124"/>
        <v>166696.715</v>
      </c>
      <c r="G122" s="10">
        <f t="shared" si="125"/>
        <v>7937.81256</v>
      </c>
      <c r="H122" s="8">
        <f t="shared" si="126"/>
        <v>36712.38309</v>
      </c>
      <c r="I122" s="8">
        <f t="shared" si="127"/>
        <v>1666.96715</v>
      </c>
      <c r="J122" s="8">
        <f t="shared" si="128"/>
        <v>22003.96638</v>
      </c>
      <c r="K122" s="1"/>
      <c r="L122" s="10">
        <v>2021.0</v>
      </c>
      <c r="M122" s="20">
        <f t="shared" si="129"/>
        <v>43840321.31</v>
      </c>
      <c r="N122" s="20"/>
      <c r="O122" s="20">
        <f t="shared" si="130"/>
        <v>41121541.69</v>
      </c>
      <c r="P122" s="11">
        <v>8.4961863E7</v>
      </c>
      <c r="Q122" s="10">
        <f t="shared" si="131"/>
        <v>701445.1409</v>
      </c>
      <c r="R122" s="8">
        <f t="shared" si="132"/>
        <v>3244183.777</v>
      </c>
      <c r="S122" s="8">
        <f t="shared" si="133"/>
        <v>411215.4169</v>
      </c>
      <c r="T122" s="8">
        <f t="shared" si="134"/>
        <v>5428043.503</v>
      </c>
      <c r="U122" s="1"/>
      <c r="V122" s="1"/>
      <c r="W122" s="1"/>
      <c r="X122" s="1"/>
      <c r="Y122" s="1"/>
    </row>
    <row r="123">
      <c r="A123" s="1"/>
      <c r="B123" s="1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 t="s">
        <v>0</v>
      </c>
      <c r="C125" s="1"/>
      <c r="D125" s="2"/>
      <c r="E125" s="2"/>
      <c r="F125" s="2"/>
      <c r="G125" s="1" t="s">
        <v>1</v>
      </c>
      <c r="H125" s="1"/>
      <c r="I125" s="1"/>
      <c r="J125" s="1"/>
      <c r="K125" s="1"/>
      <c r="L125" s="1" t="s">
        <v>42</v>
      </c>
      <c r="M125" s="1"/>
      <c r="N125" s="1"/>
      <c r="O125" s="1"/>
      <c r="P125" s="1"/>
      <c r="Q125" s="1" t="s">
        <v>1</v>
      </c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3"/>
      <c r="C126" s="4" t="s">
        <v>10</v>
      </c>
      <c r="D126" s="5" t="s">
        <v>11</v>
      </c>
      <c r="E126" s="5" t="s">
        <v>12</v>
      </c>
      <c r="F126" s="34"/>
      <c r="G126" s="3" t="s">
        <v>6</v>
      </c>
      <c r="H126" s="1" t="s">
        <v>7</v>
      </c>
      <c r="I126" s="1" t="s">
        <v>8</v>
      </c>
      <c r="J126" s="1" t="s">
        <v>9</v>
      </c>
      <c r="K126" s="1"/>
      <c r="L126" s="3"/>
      <c r="M126" s="4" t="s">
        <v>43</v>
      </c>
      <c r="N126" s="4" t="s">
        <v>11</v>
      </c>
      <c r="O126" s="4" t="s">
        <v>12</v>
      </c>
      <c r="P126" s="4" t="s">
        <v>44</v>
      </c>
      <c r="Q126" s="3" t="s">
        <v>6</v>
      </c>
      <c r="R126" s="1" t="s">
        <v>7</v>
      </c>
      <c r="S126" s="1" t="s">
        <v>8</v>
      </c>
      <c r="T126" s="1" t="s">
        <v>9</v>
      </c>
      <c r="U126" s="1"/>
      <c r="V126" s="1"/>
      <c r="W126" s="1"/>
      <c r="X126" s="1"/>
      <c r="Y126" s="1"/>
    </row>
    <row r="127">
      <c r="A127" s="1"/>
      <c r="B127" s="6">
        <v>2015.0</v>
      </c>
      <c r="C127" s="7">
        <v>8.7840571E7</v>
      </c>
      <c r="D127" s="9">
        <f t="shared" ref="D127:D133" si="135">58*C127/100</f>
        <v>50947531.18</v>
      </c>
      <c r="E127" s="9">
        <f t="shared" ref="E127:E133" si="136">66.64*D127/100</f>
        <v>33951434.78</v>
      </c>
      <c r="F127" s="9">
        <f t="shared" ref="F127:F133" si="137">33.36*D127/100</f>
        <v>16996096.4</v>
      </c>
      <c r="G127" s="6">
        <f t="shared" ref="G127:G133" si="138">C127*1.6*66.4*58/1000000</f>
        <v>541266.5713</v>
      </c>
      <c r="H127" s="8">
        <f t="shared" ref="H127:H133" si="139">C127*7.4*66.4*58/1000000</f>
        <v>2503357.892</v>
      </c>
      <c r="I127" s="8">
        <f t="shared" ref="I127:I133" si="140">C127*33.36*1*58/1000000</f>
        <v>169960.964</v>
      </c>
      <c r="J127" s="8">
        <f t="shared" ref="J127:J133" si="141">C127*33.36*13.2*58/1000000</f>
        <v>2243484.725</v>
      </c>
      <c r="K127" s="1"/>
      <c r="L127" s="6">
        <v>2015.0</v>
      </c>
      <c r="M127" s="20">
        <f t="shared" ref="M127:M133" si="142">42*P127/100</f>
        <v>36893039.82</v>
      </c>
      <c r="N127" s="20">
        <f t="shared" ref="N127:N133" si="143">66.64*M127/100</f>
        <v>24585521.74</v>
      </c>
      <c r="O127" s="20">
        <f t="shared" ref="O127:O133" si="144">33.36*M127/100</f>
        <v>12307518.08</v>
      </c>
      <c r="P127" s="7">
        <v>8.7840571E7</v>
      </c>
      <c r="Q127" s="6">
        <f t="shared" ref="Q127:Q133" si="145">P127*1.6*66.4*42/1000000</f>
        <v>391951.655</v>
      </c>
      <c r="R127" s="8">
        <f t="shared" ref="R127:R133" si="146">P127*7.4*66.4*42/1000000</f>
        <v>1812776.405</v>
      </c>
      <c r="S127" s="8">
        <f t="shared" ref="S127:S133" si="147">P127*33.36*1*42/1000000</f>
        <v>123075.1808</v>
      </c>
      <c r="T127" s="8">
        <f t="shared" ref="T127:T133" si="148">P127*33.36*13.2*42/1000000</f>
        <v>1624592.387</v>
      </c>
      <c r="U127" s="1"/>
      <c r="V127" s="1"/>
      <c r="W127" s="1"/>
      <c r="X127" s="1"/>
      <c r="Y127" s="1"/>
    </row>
    <row r="128">
      <c r="A128" s="1"/>
      <c r="B128" s="6">
        <v>2016.0</v>
      </c>
      <c r="C128" s="7">
        <v>8.8633668E7</v>
      </c>
      <c r="D128" s="9">
        <f t="shared" si="135"/>
        <v>51407527.44</v>
      </c>
      <c r="E128" s="9">
        <f t="shared" si="136"/>
        <v>34257976.29</v>
      </c>
      <c r="F128" s="9">
        <f t="shared" si="137"/>
        <v>17149551.15</v>
      </c>
      <c r="G128" s="6">
        <f t="shared" si="138"/>
        <v>546153.5715</v>
      </c>
      <c r="H128" s="8">
        <f t="shared" si="139"/>
        <v>2525960.268</v>
      </c>
      <c r="I128" s="8">
        <f t="shared" si="140"/>
        <v>171495.5115</v>
      </c>
      <c r="J128" s="8">
        <f t="shared" si="141"/>
        <v>2263740.752</v>
      </c>
      <c r="K128" s="1"/>
      <c r="L128" s="6">
        <v>2016.0</v>
      </c>
      <c r="M128" s="20">
        <f t="shared" si="142"/>
        <v>37226140.56</v>
      </c>
      <c r="N128" s="20">
        <f t="shared" si="143"/>
        <v>24807500.07</v>
      </c>
      <c r="O128" s="20">
        <f t="shared" si="144"/>
        <v>12418640.49</v>
      </c>
      <c r="P128" s="7">
        <v>8.8633668E7</v>
      </c>
      <c r="Q128" s="6">
        <f t="shared" si="145"/>
        <v>395490.5173</v>
      </c>
      <c r="R128" s="8">
        <f t="shared" si="146"/>
        <v>1829143.643</v>
      </c>
      <c r="S128" s="8">
        <f t="shared" si="147"/>
        <v>124186.4049</v>
      </c>
      <c r="T128" s="8">
        <f t="shared" si="148"/>
        <v>1639260.545</v>
      </c>
      <c r="U128" s="1"/>
      <c r="V128" s="1"/>
      <c r="W128" s="1"/>
      <c r="X128" s="1"/>
      <c r="Y128" s="1"/>
    </row>
    <row r="129">
      <c r="A129" s="1"/>
      <c r="B129" s="6">
        <v>2017.0</v>
      </c>
      <c r="C129" s="7">
        <v>8.941792E7</v>
      </c>
      <c r="D129" s="9">
        <f t="shared" si="135"/>
        <v>51862393.6</v>
      </c>
      <c r="E129" s="9">
        <f t="shared" si="136"/>
        <v>34561099.1</v>
      </c>
      <c r="F129" s="9">
        <f t="shared" si="137"/>
        <v>17301294.5</v>
      </c>
      <c r="G129" s="6">
        <f t="shared" si="138"/>
        <v>550986.0696</v>
      </c>
      <c r="H129" s="8">
        <f t="shared" si="139"/>
        <v>2548310.572</v>
      </c>
      <c r="I129" s="8">
        <f t="shared" si="140"/>
        <v>173012.945</v>
      </c>
      <c r="J129" s="8">
        <f t="shared" si="141"/>
        <v>2283770.875</v>
      </c>
      <c r="K129" s="1"/>
      <c r="L129" s="6">
        <v>2017.0</v>
      </c>
      <c r="M129" s="20">
        <f t="shared" si="142"/>
        <v>37555526.4</v>
      </c>
      <c r="N129" s="20">
        <f t="shared" si="143"/>
        <v>25027002.79</v>
      </c>
      <c r="O129" s="20">
        <f t="shared" si="144"/>
        <v>12528523.61</v>
      </c>
      <c r="P129" s="7">
        <v>8.941792E7</v>
      </c>
      <c r="Q129" s="6">
        <f t="shared" si="145"/>
        <v>398989.9125</v>
      </c>
      <c r="R129" s="8">
        <f t="shared" si="146"/>
        <v>1845328.345</v>
      </c>
      <c r="S129" s="8">
        <f t="shared" si="147"/>
        <v>125285.2361</v>
      </c>
      <c r="T129" s="8">
        <f t="shared" si="148"/>
        <v>1653765.116</v>
      </c>
      <c r="U129" s="1"/>
      <c r="V129" s="1"/>
      <c r="W129" s="1"/>
      <c r="X129" s="1"/>
      <c r="Y129" s="1"/>
    </row>
    <row r="130">
      <c r="A130" s="1"/>
      <c r="B130" s="6">
        <v>2018.0</v>
      </c>
      <c r="C130" s="7">
        <v>9.0193287E7</v>
      </c>
      <c r="D130" s="9">
        <f t="shared" si="135"/>
        <v>52312106.46</v>
      </c>
      <c r="E130" s="9">
        <f t="shared" si="136"/>
        <v>34860787.74</v>
      </c>
      <c r="F130" s="9">
        <f t="shared" si="137"/>
        <v>17451318.72</v>
      </c>
      <c r="G130" s="6">
        <f t="shared" si="138"/>
        <v>555763.819</v>
      </c>
      <c r="H130" s="8">
        <f t="shared" si="139"/>
        <v>2570407.663</v>
      </c>
      <c r="I130" s="8">
        <f t="shared" si="140"/>
        <v>174513.1872</v>
      </c>
      <c r="J130" s="8">
        <f t="shared" si="141"/>
        <v>2303574.07</v>
      </c>
      <c r="K130" s="1"/>
      <c r="L130" s="6">
        <v>2018.0</v>
      </c>
      <c r="M130" s="20">
        <f t="shared" si="142"/>
        <v>37881180.54</v>
      </c>
      <c r="N130" s="20">
        <f t="shared" si="143"/>
        <v>25244018.71</v>
      </c>
      <c r="O130" s="20">
        <f t="shared" si="144"/>
        <v>12637161.83</v>
      </c>
      <c r="P130" s="7">
        <v>9.0193287E7</v>
      </c>
      <c r="Q130" s="6">
        <f t="shared" si="145"/>
        <v>402449.6621</v>
      </c>
      <c r="R130" s="8">
        <f t="shared" si="146"/>
        <v>1861329.687</v>
      </c>
      <c r="S130" s="8">
        <f t="shared" si="147"/>
        <v>126371.6183</v>
      </c>
      <c r="T130" s="8">
        <f t="shared" si="148"/>
        <v>1668105.361</v>
      </c>
      <c r="U130" s="1"/>
      <c r="V130" s="1"/>
      <c r="W130" s="1"/>
      <c r="X130" s="1"/>
      <c r="Y130" s="1"/>
    </row>
    <row r="131">
      <c r="A131" s="1"/>
      <c r="B131" s="6">
        <v>2019.0</v>
      </c>
      <c r="C131" s="7">
        <v>9.0959737E7</v>
      </c>
      <c r="D131" s="9">
        <f t="shared" si="135"/>
        <v>52756647.46</v>
      </c>
      <c r="E131" s="9">
        <f t="shared" si="136"/>
        <v>35157029.87</v>
      </c>
      <c r="F131" s="9">
        <f t="shared" si="137"/>
        <v>17599617.59</v>
      </c>
      <c r="G131" s="6">
        <f t="shared" si="138"/>
        <v>560486.6226</v>
      </c>
      <c r="H131" s="8">
        <f t="shared" si="139"/>
        <v>2592250.63</v>
      </c>
      <c r="I131" s="8">
        <f t="shared" si="140"/>
        <v>175996.1759</v>
      </c>
      <c r="J131" s="8">
        <f t="shared" si="141"/>
        <v>2323149.522</v>
      </c>
      <c r="K131" s="1"/>
      <c r="L131" s="6">
        <v>2019.0</v>
      </c>
      <c r="M131" s="20">
        <f t="shared" si="142"/>
        <v>38203089.54</v>
      </c>
      <c r="N131" s="20">
        <f t="shared" si="143"/>
        <v>25458538.87</v>
      </c>
      <c r="O131" s="20">
        <f t="shared" si="144"/>
        <v>12744550.67</v>
      </c>
      <c r="P131" s="7">
        <v>9.0959737E7</v>
      </c>
      <c r="Q131" s="6">
        <f t="shared" si="145"/>
        <v>405869.6233</v>
      </c>
      <c r="R131" s="8">
        <f t="shared" si="146"/>
        <v>1877147.008</v>
      </c>
      <c r="S131" s="8">
        <f t="shared" si="147"/>
        <v>127445.5067</v>
      </c>
      <c r="T131" s="8">
        <f t="shared" si="148"/>
        <v>1682280.689</v>
      </c>
      <c r="U131" s="1"/>
      <c r="V131" s="1"/>
      <c r="W131" s="1"/>
      <c r="X131" s="1"/>
      <c r="Y131" s="1"/>
    </row>
    <row r="132">
      <c r="A132" s="1"/>
      <c r="B132" s="6">
        <v>2020.0</v>
      </c>
      <c r="C132" s="7">
        <v>9.171724E7</v>
      </c>
      <c r="D132" s="9">
        <f t="shared" si="135"/>
        <v>53195999.2</v>
      </c>
      <c r="E132" s="9">
        <f t="shared" si="136"/>
        <v>35449813.87</v>
      </c>
      <c r="F132" s="9">
        <f t="shared" si="137"/>
        <v>17746185.33</v>
      </c>
      <c r="G132" s="6">
        <f t="shared" si="138"/>
        <v>565154.2955</v>
      </c>
      <c r="H132" s="8">
        <f t="shared" si="139"/>
        <v>2613838.617</v>
      </c>
      <c r="I132" s="8">
        <f t="shared" si="140"/>
        <v>177461.8533</v>
      </c>
      <c r="J132" s="8">
        <f t="shared" si="141"/>
        <v>2342496.464</v>
      </c>
      <c r="K132" s="1"/>
      <c r="L132" s="6">
        <v>2020.0</v>
      </c>
      <c r="M132" s="20">
        <f t="shared" si="142"/>
        <v>38521240.8</v>
      </c>
      <c r="N132" s="20">
        <f t="shared" si="143"/>
        <v>25670554.87</v>
      </c>
      <c r="O132" s="20">
        <f t="shared" si="144"/>
        <v>12850685.93</v>
      </c>
      <c r="P132" s="7">
        <v>9.171724E7</v>
      </c>
      <c r="Q132" s="6">
        <f t="shared" si="145"/>
        <v>409249.6623</v>
      </c>
      <c r="R132" s="8">
        <f t="shared" si="146"/>
        <v>1892779.688</v>
      </c>
      <c r="S132" s="8">
        <f t="shared" si="147"/>
        <v>128506.8593</v>
      </c>
      <c r="T132" s="8">
        <f t="shared" si="148"/>
        <v>1696290.543</v>
      </c>
      <c r="U132" s="1"/>
      <c r="V132" s="1"/>
      <c r="W132" s="1"/>
      <c r="X132" s="1"/>
      <c r="Y132" s="1"/>
    </row>
    <row r="133">
      <c r="A133" s="1"/>
      <c r="B133" s="10">
        <v>2021.0</v>
      </c>
      <c r="C133" s="11">
        <v>9.2465775E7</v>
      </c>
      <c r="D133" s="9">
        <f t="shared" si="135"/>
        <v>53630149.5</v>
      </c>
      <c r="E133" s="9">
        <f t="shared" si="136"/>
        <v>35739131.63</v>
      </c>
      <c r="F133" s="9">
        <f t="shared" si="137"/>
        <v>17891017.87</v>
      </c>
      <c r="G133" s="10">
        <f t="shared" si="138"/>
        <v>569766.7083</v>
      </c>
      <c r="H133" s="8">
        <f t="shared" si="139"/>
        <v>2635171.026</v>
      </c>
      <c r="I133" s="8">
        <f t="shared" si="140"/>
        <v>178910.1787</v>
      </c>
      <c r="J133" s="8">
        <f t="shared" si="141"/>
        <v>2361614.359</v>
      </c>
      <c r="K133" s="1"/>
      <c r="L133" s="10">
        <v>2021.0</v>
      </c>
      <c r="M133" s="20">
        <f t="shared" si="142"/>
        <v>38835625.5</v>
      </c>
      <c r="N133" s="20">
        <f t="shared" si="143"/>
        <v>25880060.83</v>
      </c>
      <c r="O133" s="20">
        <f t="shared" si="144"/>
        <v>12955564.67</v>
      </c>
      <c r="P133" s="11">
        <v>9.2465775E7</v>
      </c>
      <c r="Q133" s="10">
        <f t="shared" si="145"/>
        <v>412589.6853</v>
      </c>
      <c r="R133" s="8">
        <f t="shared" si="146"/>
        <v>1908227.295</v>
      </c>
      <c r="S133" s="8">
        <f t="shared" si="147"/>
        <v>129555.6467</v>
      </c>
      <c r="T133" s="8">
        <f t="shared" si="148"/>
        <v>1710134.536</v>
      </c>
      <c r="U133" s="1"/>
      <c r="V133" s="1"/>
      <c r="W133" s="1"/>
      <c r="X133" s="1"/>
      <c r="Y133" s="1"/>
    </row>
    <row r="134">
      <c r="A134" s="1"/>
      <c r="B134" s="1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3" t="s">
        <v>45</v>
      </c>
      <c r="C136" s="4" t="s">
        <v>10</v>
      </c>
      <c r="D136" s="5" t="s">
        <v>11</v>
      </c>
      <c r="E136" s="5" t="s">
        <v>12</v>
      </c>
      <c r="F136" s="34"/>
      <c r="G136" s="3" t="s">
        <v>6</v>
      </c>
      <c r="H136" s="1" t="s">
        <v>7</v>
      </c>
      <c r="I136" s="1" t="s">
        <v>8</v>
      </c>
      <c r="J136" s="1" t="s">
        <v>9</v>
      </c>
      <c r="K136" s="1"/>
      <c r="L136" s="3" t="s">
        <v>46</v>
      </c>
      <c r="M136" s="4" t="s">
        <v>11</v>
      </c>
      <c r="N136" s="4" t="s">
        <v>12</v>
      </c>
      <c r="O136" s="3"/>
      <c r="P136" s="4" t="s">
        <v>10</v>
      </c>
      <c r="Q136" s="3" t="s">
        <v>6</v>
      </c>
      <c r="R136" s="1" t="s">
        <v>7</v>
      </c>
      <c r="S136" s="1" t="s">
        <v>8</v>
      </c>
      <c r="T136" s="1" t="s">
        <v>9</v>
      </c>
      <c r="U136" s="1"/>
      <c r="V136" s="1"/>
      <c r="W136" s="1"/>
      <c r="X136" s="1"/>
      <c r="Y136" s="1"/>
    </row>
    <row r="137">
      <c r="A137" s="1"/>
      <c r="B137" s="6">
        <v>2015.0</v>
      </c>
      <c r="C137" s="7">
        <v>3904023.0</v>
      </c>
      <c r="D137" s="9">
        <f t="shared" ref="D137:D143" si="149">73.83 *C137/100</f>
        <v>2882340.181</v>
      </c>
      <c r="E137" s="9">
        <f t="shared" ref="E137:E143" si="150">26.17*C137/100</f>
        <v>1021682.819</v>
      </c>
      <c r="F137" s="9"/>
      <c r="G137" s="6">
        <f t="shared" ref="G137:G143" si="151">73.83*1.6*C137/10000</f>
        <v>46117.44289</v>
      </c>
      <c r="H137" s="8">
        <f t="shared" ref="H137:H143" si="152">73.83*7.4*C137/10000</f>
        <v>213293.1734</v>
      </c>
      <c r="I137" s="8">
        <f t="shared" ref="I137:I143" si="153">26.17*1*C137/10000</f>
        <v>10216.82819</v>
      </c>
      <c r="J137" s="8">
        <f t="shared" ref="J137:J143" si="154">26.17*C137*13.2/10000</f>
        <v>134862.1321</v>
      </c>
      <c r="K137" s="1"/>
      <c r="L137" s="6">
        <v>2015.0</v>
      </c>
      <c r="M137" s="6">
        <f t="shared" ref="M137:M143" si="155">69.77*P137/100</f>
        <v>7542577.946</v>
      </c>
      <c r="N137" s="6">
        <f t="shared" ref="N137:N143" si="156">30.23*P137/100</f>
        <v>3268054.054</v>
      </c>
      <c r="O137" s="6"/>
      <c r="P137" s="7">
        <v>1.0810632E7</v>
      </c>
      <c r="Q137" s="6">
        <f t="shared" ref="Q137:Q143" si="157">69.77*P137*1.6/10000</f>
        <v>120681.2471</v>
      </c>
      <c r="R137" s="8">
        <f t="shared" ref="R137:R143" si="158">69.77*P137*7.4/10000</f>
        <v>558150.768</v>
      </c>
      <c r="S137" s="8">
        <f t="shared" ref="S137:S143" si="159">30.23*P137/10000</f>
        <v>32680.54054</v>
      </c>
      <c r="T137" s="8">
        <f t="shared" ref="T137:T143" si="160">30.23*13.2*P137/10000</f>
        <v>431383.1351</v>
      </c>
      <c r="U137" s="1"/>
      <c r="V137" s="1"/>
      <c r="W137" s="1"/>
      <c r="X137" s="1"/>
      <c r="Y137" s="1"/>
    </row>
    <row r="138">
      <c r="A138" s="1"/>
      <c r="B138" s="6">
        <v>2016.0</v>
      </c>
      <c r="C138" s="7">
        <v>3960811.0</v>
      </c>
      <c r="D138" s="9">
        <f t="shared" si="149"/>
        <v>2924266.761</v>
      </c>
      <c r="E138" s="9">
        <f t="shared" si="150"/>
        <v>1036544.239</v>
      </c>
      <c r="F138" s="9"/>
      <c r="G138" s="6">
        <f t="shared" si="151"/>
        <v>46788.26818</v>
      </c>
      <c r="H138" s="8">
        <f t="shared" si="152"/>
        <v>216395.7403</v>
      </c>
      <c r="I138" s="8">
        <f t="shared" si="153"/>
        <v>10365.44239</v>
      </c>
      <c r="J138" s="8">
        <f t="shared" si="154"/>
        <v>136823.8395</v>
      </c>
      <c r="K138" s="1"/>
      <c r="L138" s="6">
        <v>2016.0</v>
      </c>
      <c r="M138" s="6">
        <f t="shared" si="155"/>
        <v>7667965.102</v>
      </c>
      <c r="N138" s="6">
        <f t="shared" si="156"/>
        <v>3322381.898</v>
      </c>
      <c r="O138" s="6"/>
      <c r="P138" s="7">
        <v>1.0990347E7</v>
      </c>
      <c r="Q138" s="6">
        <f t="shared" si="157"/>
        <v>122687.4416</v>
      </c>
      <c r="R138" s="8">
        <f t="shared" si="158"/>
        <v>567429.4175</v>
      </c>
      <c r="S138" s="8">
        <f t="shared" si="159"/>
        <v>33223.81898</v>
      </c>
      <c r="T138" s="8">
        <f t="shared" si="160"/>
        <v>438554.4105</v>
      </c>
      <c r="U138" s="1"/>
      <c r="V138" s="1"/>
      <c r="W138" s="1"/>
      <c r="X138" s="1"/>
      <c r="Y138" s="1"/>
    </row>
    <row r="139">
      <c r="A139" s="1"/>
      <c r="B139" s="6">
        <v>2017.0</v>
      </c>
      <c r="C139" s="7">
        <v>4017272.0</v>
      </c>
      <c r="D139" s="9">
        <f t="shared" si="149"/>
        <v>2965951.918</v>
      </c>
      <c r="E139" s="9">
        <f t="shared" si="150"/>
        <v>1051320.082</v>
      </c>
      <c r="F139" s="9"/>
      <c r="G139" s="6">
        <f t="shared" si="151"/>
        <v>47455.23068</v>
      </c>
      <c r="H139" s="8">
        <f t="shared" si="152"/>
        <v>219480.4419</v>
      </c>
      <c r="I139" s="8">
        <f t="shared" si="153"/>
        <v>10513.20082</v>
      </c>
      <c r="J139" s="8">
        <f t="shared" si="154"/>
        <v>138774.2509</v>
      </c>
      <c r="K139" s="1"/>
      <c r="L139" s="6">
        <v>2017.0</v>
      </c>
      <c r="M139" s="6">
        <f t="shared" si="155"/>
        <v>7792886.194</v>
      </c>
      <c r="N139" s="6">
        <f t="shared" si="156"/>
        <v>3376507.806</v>
      </c>
      <c r="O139" s="6"/>
      <c r="P139" s="7">
        <v>1.1169394E7</v>
      </c>
      <c r="Q139" s="6">
        <f t="shared" si="157"/>
        <v>124686.1791</v>
      </c>
      <c r="R139" s="8">
        <f t="shared" si="158"/>
        <v>576673.5783</v>
      </c>
      <c r="S139" s="8">
        <f t="shared" si="159"/>
        <v>33765.07806</v>
      </c>
      <c r="T139" s="8">
        <f t="shared" si="160"/>
        <v>445699.0304</v>
      </c>
      <c r="U139" s="1"/>
      <c r="V139" s="1"/>
      <c r="W139" s="1"/>
      <c r="X139" s="1"/>
      <c r="Y139" s="1"/>
    </row>
    <row r="140">
      <c r="A140" s="1"/>
      <c r="B140" s="6">
        <v>2018.0</v>
      </c>
      <c r="C140" s="7">
        <v>4073392.0</v>
      </c>
      <c r="D140" s="9">
        <f t="shared" si="149"/>
        <v>3007385.314</v>
      </c>
      <c r="E140" s="9">
        <f t="shared" si="150"/>
        <v>1066006.686</v>
      </c>
      <c r="F140" s="9"/>
      <c r="G140" s="6">
        <f t="shared" si="151"/>
        <v>48118.16502</v>
      </c>
      <c r="H140" s="8">
        <f t="shared" si="152"/>
        <v>222546.5132</v>
      </c>
      <c r="I140" s="8">
        <f t="shared" si="153"/>
        <v>10660.06686</v>
      </c>
      <c r="J140" s="8">
        <f t="shared" si="154"/>
        <v>140712.8826</v>
      </c>
      <c r="K140" s="1"/>
      <c r="L140" s="6">
        <v>2018.0</v>
      </c>
      <c r="M140" s="6">
        <f t="shared" si="155"/>
        <v>7917303.546</v>
      </c>
      <c r="N140" s="6">
        <f t="shared" si="156"/>
        <v>3430415.454</v>
      </c>
      <c r="O140" s="6"/>
      <c r="P140" s="7">
        <v>1.1347719E7</v>
      </c>
      <c r="Q140" s="6">
        <f t="shared" si="157"/>
        <v>126676.8567</v>
      </c>
      <c r="R140" s="8">
        <f t="shared" si="158"/>
        <v>585880.4624</v>
      </c>
      <c r="S140" s="8">
        <f t="shared" si="159"/>
        <v>34304.15454</v>
      </c>
      <c r="T140" s="8">
        <f t="shared" si="160"/>
        <v>452814.8399</v>
      </c>
      <c r="U140" s="1"/>
      <c r="V140" s="1"/>
      <c r="W140" s="1"/>
      <c r="X140" s="1"/>
      <c r="Y140" s="1"/>
    </row>
    <row r="141">
      <c r="A141" s="1"/>
      <c r="B141" s="6">
        <v>2019.0</v>
      </c>
      <c r="C141" s="7">
        <v>4129159.0</v>
      </c>
      <c r="D141" s="9">
        <f t="shared" si="149"/>
        <v>3048558.09</v>
      </c>
      <c r="E141" s="9">
        <f t="shared" si="150"/>
        <v>1080600.91</v>
      </c>
      <c r="F141" s="9"/>
      <c r="G141" s="6">
        <f t="shared" si="151"/>
        <v>48776.92944</v>
      </c>
      <c r="H141" s="8">
        <f t="shared" si="152"/>
        <v>225593.2986</v>
      </c>
      <c r="I141" s="8">
        <f t="shared" si="153"/>
        <v>10806.0091</v>
      </c>
      <c r="J141" s="8">
        <f t="shared" si="154"/>
        <v>142639.3202</v>
      </c>
      <c r="K141" s="1"/>
      <c r="L141" s="6">
        <v>2019.0</v>
      </c>
      <c r="M141" s="6">
        <f t="shared" si="155"/>
        <v>8041179.484</v>
      </c>
      <c r="N141" s="6">
        <f t="shared" si="156"/>
        <v>3484088.516</v>
      </c>
      <c r="O141" s="6"/>
      <c r="P141" s="7">
        <v>1.1525268E7</v>
      </c>
      <c r="Q141" s="6">
        <f t="shared" si="157"/>
        <v>128658.8717</v>
      </c>
      <c r="R141" s="8">
        <f t="shared" si="158"/>
        <v>595047.2818</v>
      </c>
      <c r="S141" s="8">
        <f t="shared" si="159"/>
        <v>34840.88516</v>
      </c>
      <c r="T141" s="8">
        <f t="shared" si="160"/>
        <v>459899.6842</v>
      </c>
      <c r="U141" s="1"/>
      <c r="V141" s="1"/>
      <c r="W141" s="1"/>
      <c r="X141" s="1"/>
      <c r="Y141" s="1"/>
    </row>
    <row r="142">
      <c r="A142" s="1"/>
      <c r="B142" s="6">
        <v>2020.0</v>
      </c>
      <c r="C142" s="7">
        <v>4184558.0</v>
      </c>
      <c r="D142" s="9">
        <f t="shared" si="149"/>
        <v>3089459.171</v>
      </c>
      <c r="E142" s="9">
        <f t="shared" si="150"/>
        <v>1095098.829</v>
      </c>
      <c r="F142" s="9"/>
      <c r="G142" s="6">
        <f t="shared" si="151"/>
        <v>49431.34674</v>
      </c>
      <c r="H142" s="8">
        <f t="shared" si="152"/>
        <v>228619.9787</v>
      </c>
      <c r="I142" s="8">
        <f t="shared" si="153"/>
        <v>10950.98829</v>
      </c>
      <c r="J142" s="8">
        <f t="shared" si="154"/>
        <v>144553.0454</v>
      </c>
      <c r="K142" s="1"/>
      <c r="L142" s="6">
        <v>2020.0</v>
      </c>
      <c r="M142" s="6">
        <f t="shared" si="155"/>
        <v>8164477.725</v>
      </c>
      <c r="N142" s="6">
        <f t="shared" si="156"/>
        <v>3537511.275</v>
      </c>
      <c r="O142" s="6"/>
      <c r="P142" s="7">
        <v>1.1701989E7</v>
      </c>
      <c r="Q142" s="6">
        <f t="shared" si="157"/>
        <v>130631.6436</v>
      </c>
      <c r="R142" s="8">
        <f t="shared" si="158"/>
        <v>604171.3517</v>
      </c>
      <c r="S142" s="8">
        <f t="shared" si="159"/>
        <v>35375.11275</v>
      </c>
      <c r="T142" s="8">
        <f t="shared" si="160"/>
        <v>466951.4883</v>
      </c>
      <c r="U142" s="1"/>
      <c r="V142" s="1"/>
      <c r="W142" s="1"/>
      <c r="X142" s="1"/>
      <c r="Y142" s="1"/>
    </row>
    <row r="143">
      <c r="A143" s="1"/>
      <c r="B143" s="10">
        <v>2021.0</v>
      </c>
      <c r="C143" s="11">
        <v>4239578.0</v>
      </c>
      <c r="D143" s="9">
        <f t="shared" si="149"/>
        <v>3130080.437</v>
      </c>
      <c r="E143" s="9">
        <f t="shared" si="150"/>
        <v>1109497.563</v>
      </c>
      <c r="F143" s="13"/>
      <c r="G143" s="10">
        <f t="shared" si="151"/>
        <v>50081.287</v>
      </c>
      <c r="H143" s="8">
        <f t="shared" si="152"/>
        <v>231625.9524</v>
      </c>
      <c r="I143" s="8">
        <f t="shared" si="153"/>
        <v>11094.97563</v>
      </c>
      <c r="J143" s="8">
        <f t="shared" si="154"/>
        <v>146453.6783</v>
      </c>
      <c r="K143" s="1"/>
      <c r="L143" s="10">
        <v>2021.0</v>
      </c>
      <c r="M143" s="6">
        <f t="shared" si="155"/>
        <v>8287161.991</v>
      </c>
      <c r="N143" s="6">
        <f t="shared" si="156"/>
        <v>3590668.009</v>
      </c>
      <c r="O143" s="10"/>
      <c r="P143" s="11">
        <v>1.187783E7</v>
      </c>
      <c r="Q143" s="10">
        <f t="shared" si="157"/>
        <v>132594.5919</v>
      </c>
      <c r="R143" s="8">
        <f t="shared" si="158"/>
        <v>613249.9873</v>
      </c>
      <c r="S143" s="8">
        <f t="shared" si="159"/>
        <v>35906.68009</v>
      </c>
      <c r="T143" s="8">
        <f t="shared" si="160"/>
        <v>473968.1772</v>
      </c>
      <c r="U143" s="1"/>
      <c r="V143" s="1"/>
      <c r="W143" s="1"/>
      <c r="X143" s="1"/>
      <c r="Y143" s="1"/>
    </row>
    <row r="144">
      <c r="A144" s="1"/>
      <c r="B144" s="1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3" t="s">
        <v>47</v>
      </c>
      <c r="C146" s="4" t="s">
        <v>10</v>
      </c>
      <c r="D146" s="5" t="s">
        <v>11</v>
      </c>
      <c r="E146" s="5" t="s">
        <v>12</v>
      </c>
      <c r="F146" s="34"/>
      <c r="G146" s="3" t="s">
        <v>6</v>
      </c>
      <c r="H146" s="1" t="s">
        <v>7</v>
      </c>
      <c r="I146" s="1" t="s">
        <v>8</v>
      </c>
      <c r="J146" s="1" t="s">
        <v>9</v>
      </c>
      <c r="K146" s="1"/>
      <c r="L146" s="3" t="s">
        <v>48</v>
      </c>
      <c r="M146" s="4" t="s">
        <v>11</v>
      </c>
      <c r="N146" s="4" t="s">
        <v>12</v>
      </c>
      <c r="O146" s="3"/>
      <c r="P146" s="4" t="s">
        <v>10</v>
      </c>
      <c r="Q146" s="3" t="s">
        <v>6</v>
      </c>
      <c r="R146" s="1" t="s">
        <v>7</v>
      </c>
      <c r="S146" s="1" t="s">
        <v>8</v>
      </c>
      <c r="T146" s="1" t="s">
        <v>9</v>
      </c>
      <c r="U146" s="1"/>
      <c r="V146" s="1"/>
      <c r="W146" s="1"/>
      <c r="X146" s="1"/>
      <c r="Y146" s="1"/>
    </row>
    <row r="147">
      <c r="A147" s="1"/>
      <c r="B147" s="6">
        <v>2015.0</v>
      </c>
      <c r="C147" s="7">
        <v>2.14032922E8</v>
      </c>
      <c r="D147" s="9">
        <f t="shared" ref="D147:D153" si="161">77.73*C147/100</f>
        <v>166367790.3</v>
      </c>
      <c r="E147" s="9">
        <f t="shared" ref="E147:E153" si="162">22.27*C147/100</f>
        <v>47665131.73</v>
      </c>
      <c r="F147" s="9"/>
      <c r="G147" s="6">
        <f t="shared" ref="G147:G153" si="163">77.73*C147*1.6/10000</f>
        <v>2661884.644</v>
      </c>
      <c r="H147" s="8">
        <f t="shared" ref="H147:H153" si="164">77.76*7.4*C147/10000</f>
        <v>12315968.01</v>
      </c>
      <c r="I147" s="8">
        <f t="shared" ref="I147:I153" si="165">22.27*C147/10000</f>
        <v>476651.3173</v>
      </c>
      <c r="J147" s="8">
        <f t="shared" ref="J147:J153" si="166">22.27*13.2*C147/10000</f>
        <v>6291797.388</v>
      </c>
      <c r="K147" s="1"/>
      <c r="L147" s="6">
        <v>2015.0</v>
      </c>
      <c r="M147" s="20">
        <f t="shared" ref="M147:M153" si="167">68.13*P147/100</f>
        <v>65155646.55</v>
      </c>
      <c r="N147" s="20">
        <f t="shared" ref="N147:N153" si="168">31.87*P147/100</f>
        <v>30478650.45</v>
      </c>
      <c r="O147" s="6"/>
      <c r="P147" s="7">
        <v>9.5634297E7</v>
      </c>
      <c r="Q147" s="6">
        <f t="shared" ref="Q147:Q153" si="169">68.13*1.6*P147/10000</f>
        <v>1042490.345</v>
      </c>
      <c r="R147" s="8">
        <f t="shared" ref="R147:R153" si="170">68.13*7.4*P147/10000</f>
        <v>4821517.844</v>
      </c>
      <c r="S147" s="8">
        <f t="shared" ref="S147:S153" si="171">31.87*1*P147/10000</f>
        <v>304786.5045</v>
      </c>
      <c r="T147" s="8">
        <f t="shared" ref="T147:T153" si="172">31.87*13.2*P147/10000</f>
        <v>4023181.86</v>
      </c>
      <c r="U147" s="1"/>
      <c r="V147" s="1"/>
      <c r="W147" s="1"/>
      <c r="X147" s="1"/>
      <c r="Y147" s="1"/>
    </row>
    <row r="148">
      <c r="A148" s="1"/>
      <c r="B148" s="6">
        <v>2016.0</v>
      </c>
      <c r="C148" s="7">
        <v>2.17559836E8</v>
      </c>
      <c r="D148" s="9">
        <f t="shared" si="161"/>
        <v>169109260.5</v>
      </c>
      <c r="E148" s="9">
        <f t="shared" si="162"/>
        <v>48450575.48</v>
      </c>
      <c r="F148" s="9"/>
      <c r="G148" s="6">
        <f t="shared" si="163"/>
        <v>2705748.168</v>
      </c>
      <c r="H148" s="8">
        <f t="shared" si="164"/>
        <v>12518915.11</v>
      </c>
      <c r="I148" s="8">
        <f t="shared" si="165"/>
        <v>484505.7548</v>
      </c>
      <c r="J148" s="8">
        <f t="shared" si="166"/>
        <v>6395475.963</v>
      </c>
      <c r="K148" s="1"/>
      <c r="L148" s="6">
        <v>2016.0</v>
      </c>
      <c r="M148" s="20">
        <f t="shared" si="167"/>
        <v>65882025.44</v>
      </c>
      <c r="N148" s="20">
        <f t="shared" si="168"/>
        <v>30818437.56</v>
      </c>
      <c r="O148" s="6"/>
      <c r="P148" s="7">
        <v>9.6700463E7</v>
      </c>
      <c r="Q148" s="6">
        <f t="shared" si="169"/>
        <v>1054112.407</v>
      </c>
      <c r="R148" s="8">
        <f t="shared" si="170"/>
        <v>4875269.883</v>
      </c>
      <c r="S148" s="8">
        <f t="shared" si="171"/>
        <v>308184.3756</v>
      </c>
      <c r="T148" s="8">
        <f t="shared" si="172"/>
        <v>4068033.758</v>
      </c>
      <c r="U148" s="1"/>
      <c r="V148" s="1"/>
      <c r="W148" s="1"/>
      <c r="X148" s="1"/>
      <c r="Y148" s="1"/>
    </row>
    <row r="149">
      <c r="A149" s="1"/>
      <c r="B149" s="6">
        <v>2017.0</v>
      </c>
      <c r="C149" s="7">
        <v>2.21073168E8</v>
      </c>
      <c r="D149" s="9">
        <f t="shared" si="161"/>
        <v>171840173.5</v>
      </c>
      <c r="E149" s="9">
        <f t="shared" si="162"/>
        <v>49232994.51</v>
      </c>
      <c r="F149" s="9"/>
      <c r="G149" s="6">
        <f t="shared" si="163"/>
        <v>2749442.776</v>
      </c>
      <c r="H149" s="8">
        <f t="shared" si="164"/>
        <v>12721080.66</v>
      </c>
      <c r="I149" s="8">
        <f t="shared" si="165"/>
        <v>492329.9451</v>
      </c>
      <c r="J149" s="8">
        <f t="shared" si="166"/>
        <v>6498755.276</v>
      </c>
      <c r="K149" s="1"/>
      <c r="L149" s="6">
        <v>2017.0</v>
      </c>
      <c r="M149" s="20">
        <f t="shared" si="167"/>
        <v>66601812.08</v>
      </c>
      <c r="N149" s="20">
        <f t="shared" si="168"/>
        <v>31155140.92</v>
      </c>
      <c r="O149" s="6"/>
      <c r="P149" s="7">
        <v>9.7756953E7</v>
      </c>
      <c r="Q149" s="6">
        <f t="shared" si="169"/>
        <v>1065628.993</v>
      </c>
      <c r="R149" s="8">
        <f t="shared" si="170"/>
        <v>4928534.094</v>
      </c>
      <c r="S149" s="8">
        <f t="shared" si="171"/>
        <v>311551.4092</v>
      </c>
      <c r="T149" s="8">
        <f t="shared" si="172"/>
        <v>4112478.602</v>
      </c>
      <c r="U149" s="1"/>
      <c r="V149" s="1"/>
      <c r="W149" s="1"/>
      <c r="X149" s="1"/>
      <c r="Y149" s="1"/>
    </row>
    <row r="150">
      <c r="A150" s="1"/>
      <c r="B150" s="6">
        <v>2018.0</v>
      </c>
      <c r="C150" s="7">
        <v>2.24571834E8</v>
      </c>
      <c r="D150" s="9">
        <f t="shared" si="161"/>
        <v>174559686.6</v>
      </c>
      <c r="E150" s="9">
        <f t="shared" si="162"/>
        <v>50012147.43</v>
      </c>
      <c r="F150" s="9"/>
      <c r="G150" s="6">
        <f t="shared" si="163"/>
        <v>2792954.985</v>
      </c>
      <c r="H150" s="8">
        <f t="shared" si="164"/>
        <v>12922402.3</v>
      </c>
      <c r="I150" s="8">
        <f t="shared" si="165"/>
        <v>500121.4743</v>
      </c>
      <c r="J150" s="8">
        <f t="shared" si="166"/>
        <v>6601603.461</v>
      </c>
      <c r="K150" s="1"/>
      <c r="L150" s="6">
        <v>2018.0</v>
      </c>
      <c r="M150" s="20">
        <f t="shared" si="167"/>
        <v>67314909.71</v>
      </c>
      <c r="N150" s="20">
        <f t="shared" si="168"/>
        <v>31488715.29</v>
      </c>
      <c r="O150" s="6"/>
      <c r="P150" s="7">
        <v>9.8803625E7</v>
      </c>
      <c r="Q150" s="6">
        <f t="shared" si="169"/>
        <v>1077038.555</v>
      </c>
      <c r="R150" s="8">
        <f t="shared" si="170"/>
        <v>4981303.319</v>
      </c>
      <c r="S150" s="8">
        <f t="shared" si="171"/>
        <v>314887.1529</v>
      </c>
      <c r="T150" s="8">
        <f t="shared" si="172"/>
        <v>4156510.418</v>
      </c>
      <c r="U150" s="1"/>
      <c r="V150" s="1"/>
      <c r="W150" s="1"/>
      <c r="X150" s="1"/>
      <c r="Y150" s="1"/>
    </row>
    <row r="151">
      <c r="A151" s="1"/>
      <c r="B151" s="6">
        <v>2019.0</v>
      </c>
      <c r="C151" s="7">
        <v>2.28054788E8</v>
      </c>
      <c r="D151" s="9">
        <f t="shared" si="161"/>
        <v>177266986.7</v>
      </c>
      <c r="E151" s="9">
        <f t="shared" si="162"/>
        <v>50787801.29</v>
      </c>
      <c r="F151" s="9"/>
      <c r="G151" s="6">
        <f t="shared" si="163"/>
        <v>2836271.787</v>
      </c>
      <c r="H151" s="8">
        <f t="shared" si="164"/>
        <v>13122819.83</v>
      </c>
      <c r="I151" s="8">
        <f t="shared" si="165"/>
        <v>507878.0129</v>
      </c>
      <c r="J151" s="8">
        <f t="shared" si="166"/>
        <v>6703989.77</v>
      </c>
      <c r="K151" s="1"/>
      <c r="L151" s="6">
        <v>2019.0</v>
      </c>
      <c r="M151" s="20">
        <f t="shared" si="167"/>
        <v>68021227.73</v>
      </c>
      <c r="N151" s="20">
        <f t="shared" si="168"/>
        <v>31819118.27</v>
      </c>
      <c r="O151" s="6"/>
      <c r="P151" s="7">
        <v>9.9840346E7</v>
      </c>
      <c r="Q151" s="6">
        <f t="shared" si="169"/>
        <v>1088339.644</v>
      </c>
      <c r="R151" s="8">
        <f t="shared" si="170"/>
        <v>5033570.852</v>
      </c>
      <c r="S151" s="8">
        <f t="shared" si="171"/>
        <v>318191.1827</v>
      </c>
      <c r="T151" s="8">
        <f t="shared" si="172"/>
        <v>4200123.612</v>
      </c>
      <c r="U151" s="1"/>
      <c r="V151" s="1"/>
      <c r="W151" s="1"/>
      <c r="X151" s="1"/>
      <c r="Y151" s="1"/>
    </row>
    <row r="152">
      <c r="A152" s="1"/>
      <c r="B152" s="6">
        <v>2020.0</v>
      </c>
      <c r="C152" s="7">
        <v>2.31521022E8</v>
      </c>
      <c r="D152" s="9">
        <f t="shared" si="161"/>
        <v>179961290.4</v>
      </c>
      <c r="E152" s="9">
        <f t="shared" si="162"/>
        <v>51559731.6</v>
      </c>
      <c r="F152" s="9"/>
      <c r="G152" s="6">
        <f t="shared" si="163"/>
        <v>2879380.646</v>
      </c>
      <c r="H152" s="8">
        <f t="shared" si="164"/>
        <v>13322275.26</v>
      </c>
      <c r="I152" s="8">
        <f t="shared" si="165"/>
        <v>515597.316</v>
      </c>
      <c r="J152" s="8">
        <f t="shared" si="166"/>
        <v>6805884.571</v>
      </c>
      <c r="K152" s="1"/>
      <c r="L152" s="6">
        <v>2020.0</v>
      </c>
      <c r="M152" s="20">
        <f t="shared" si="167"/>
        <v>68720682.33</v>
      </c>
      <c r="N152" s="20">
        <f t="shared" si="168"/>
        <v>32146310.67</v>
      </c>
      <c r="O152" s="6"/>
      <c r="P152" s="7">
        <v>1.00866993E8</v>
      </c>
      <c r="Q152" s="6">
        <f t="shared" si="169"/>
        <v>1099530.917</v>
      </c>
      <c r="R152" s="8">
        <f t="shared" si="170"/>
        <v>5085330.492</v>
      </c>
      <c r="S152" s="8">
        <f t="shared" si="171"/>
        <v>321463.1067</v>
      </c>
      <c r="T152" s="8">
        <f t="shared" si="172"/>
        <v>4243313.008</v>
      </c>
      <c r="U152" s="1"/>
      <c r="V152" s="1"/>
      <c r="W152" s="1"/>
      <c r="X152" s="1"/>
      <c r="Y152" s="1"/>
    </row>
    <row r="153">
      <c r="A153" s="1"/>
      <c r="B153" s="10">
        <v>2021.0</v>
      </c>
      <c r="C153" s="11">
        <v>2.34969561E8</v>
      </c>
      <c r="D153" s="9">
        <f t="shared" si="161"/>
        <v>182641839.8</v>
      </c>
      <c r="E153" s="13">
        <f t="shared" si="162"/>
        <v>52327721.23</v>
      </c>
      <c r="F153" s="13"/>
      <c r="G153" s="10">
        <f t="shared" si="163"/>
        <v>2922269.436</v>
      </c>
      <c r="H153" s="8">
        <f t="shared" si="164"/>
        <v>13520712.47</v>
      </c>
      <c r="I153" s="8">
        <f t="shared" si="165"/>
        <v>523277.2123</v>
      </c>
      <c r="J153" s="8">
        <f t="shared" si="166"/>
        <v>6907259.203</v>
      </c>
      <c r="K153" s="1"/>
      <c r="L153" s="10">
        <v>2021.0</v>
      </c>
      <c r="M153" s="35">
        <f t="shared" si="167"/>
        <v>69413196.53</v>
      </c>
      <c r="N153" s="20">
        <f t="shared" si="168"/>
        <v>32470256.47</v>
      </c>
      <c r="O153" s="10"/>
      <c r="P153" s="11">
        <v>1.01883453E8</v>
      </c>
      <c r="Q153" s="10">
        <f t="shared" si="169"/>
        <v>1110611.144</v>
      </c>
      <c r="R153" s="8">
        <f t="shared" si="170"/>
        <v>5136576.543</v>
      </c>
      <c r="S153" s="8">
        <f t="shared" si="171"/>
        <v>324702.5647</v>
      </c>
      <c r="T153" s="8">
        <f t="shared" si="172"/>
        <v>4286073.854</v>
      </c>
      <c r="U153" s="1"/>
      <c r="V153" s="1"/>
      <c r="W153" s="1"/>
      <c r="X153" s="1"/>
      <c r="Y153" s="1"/>
    </row>
    <row r="154">
      <c r="A154" s="1"/>
      <c r="B154" s="1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3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3" t="s">
        <v>49</v>
      </c>
      <c r="C156" s="4" t="s">
        <v>10</v>
      </c>
      <c r="D156" s="5" t="s">
        <v>11</v>
      </c>
      <c r="E156" s="5" t="s">
        <v>12</v>
      </c>
      <c r="F156" s="34"/>
      <c r="G156" s="3" t="s">
        <v>6</v>
      </c>
      <c r="H156" s="1" t="s">
        <v>7</v>
      </c>
      <c r="I156" s="1" t="s">
        <v>8</v>
      </c>
      <c r="J156" s="1" t="s">
        <v>9</v>
      </c>
      <c r="K156" s="1"/>
      <c r="L156" s="1" t="s">
        <v>50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6">
        <v>2015.0</v>
      </c>
      <c r="C157" s="7">
        <v>388970.0</v>
      </c>
      <c r="D157" s="9">
        <f t="shared" ref="D157:D163" si="173">62.3*C157/100</f>
        <v>242328.31</v>
      </c>
      <c r="E157" s="9">
        <f t="shared" ref="E157:E163" si="174">37.7*C157/100</f>
        <v>146641.69</v>
      </c>
      <c r="F157" s="9"/>
      <c r="G157" s="6">
        <f t="shared" ref="G157:G163" si="175">62.3*1.6*C157/10000</f>
        <v>3877.25296</v>
      </c>
      <c r="H157" s="8">
        <f t="shared" ref="H157:H163" si="176">62.3*7.4*C157/10000</f>
        <v>17932.29494</v>
      </c>
      <c r="I157" s="8">
        <f t="shared" ref="I157:I163" si="177">37.7*C157/10000</f>
        <v>1466.4169</v>
      </c>
      <c r="J157" s="8">
        <f t="shared" ref="J157:J163" si="178">37.7*13.2*C157/10000</f>
        <v>19356.70308</v>
      </c>
      <c r="K157" s="1"/>
      <c r="L157" s="3"/>
      <c r="M157" s="4" t="s">
        <v>11</v>
      </c>
      <c r="N157" s="4" t="s">
        <v>12</v>
      </c>
      <c r="O157" s="3"/>
      <c r="P157" s="4" t="s">
        <v>10</v>
      </c>
      <c r="Q157" s="3" t="s">
        <v>6</v>
      </c>
      <c r="R157" s="1" t="s">
        <v>7</v>
      </c>
      <c r="S157" s="1" t="s">
        <v>8</v>
      </c>
      <c r="T157" s="1" t="s">
        <v>9</v>
      </c>
      <c r="U157" s="1"/>
      <c r="V157" s="1"/>
      <c r="W157" s="1"/>
      <c r="X157" s="1"/>
      <c r="Y157" s="1"/>
    </row>
    <row r="158">
      <c r="A158" s="1"/>
      <c r="B158" s="6">
        <v>2016.0</v>
      </c>
      <c r="C158" s="7">
        <v>390990.0</v>
      </c>
      <c r="D158" s="9">
        <f t="shared" si="173"/>
        <v>243586.77</v>
      </c>
      <c r="E158" s="9">
        <f t="shared" si="174"/>
        <v>147403.23</v>
      </c>
      <c r="F158" s="9"/>
      <c r="G158" s="6">
        <f t="shared" si="175"/>
        <v>3897.38832</v>
      </c>
      <c r="H158" s="8">
        <f t="shared" si="176"/>
        <v>18025.42098</v>
      </c>
      <c r="I158" s="8">
        <f t="shared" si="177"/>
        <v>1474.0323</v>
      </c>
      <c r="J158" s="8">
        <f t="shared" si="178"/>
        <v>19457.22636</v>
      </c>
      <c r="K158" s="1"/>
      <c r="L158" s="6">
        <v>2015.0</v>
      </c>
      <c r="M158" s="6">
        <f t="shared" ref="M158:M164" si="179">2.75*P158/100</f>
        <v>30314.9</v>
      </c>
      <c r="N158" s="6">
        <f t="shared" ref="N158:N164" si="180">97.25*P158/100</f>
        <v>1072045.1</v>
      </c>
      <c r="O158" s="6"/>
      <c r="P158" s="7">
        <v>1102360.0</v>
      </c>
      <c r="Q158" s="6">
        <f t="shared" ref="Q158:Q164" si="181">2.75*1.6*P158/10000</f>
        <v>485.0384</v>
      </c>
      <c r="R158" s="8">
        <f t="shared" ref="R158:R164" si="182">2.75*7.4*P158/10000</f>
        <v>2243.3026</v>
      </c>
      <c r="S158" s="8">
        <f t="shared" ref="S158:S164" si="183">97.25*P158/10000</f>
        <v>10720.451</v>
      </c>
      <c r="T158" s="8">
        <f t="shared" ref="T158:T164" si="184">97.25*13.2*P158/10000</f>
        <v>141509.9532</v>
      </c>
      <c r="U158" s="1"/>
      <c r="V158" s="1"/>
      <c r="W158" s="1"/>
      <c r="X158" s="1"/>
      <c r="Y158" s="1"/>
    </row>
    <row r="159">
      <c r="A159" s="1"/>
      <c r="B159" s="6">
        <v>2017.0</v>
      </c>
      <c r="C159" s="7">
        <v>392981.0</v>
      </c>
      <c r="D159" s="9">
        <f t="shared" si="173"/>
        <v>244827.163</v>
      </c>
      <c r="E159" s="9">
        <f t="shared" si="174"/>
        <v>148153.837</v>
      </c>
      <c r="F159" s="9"/>
      <c r="G159" s="6">
        <f t="shared" si="175"/>
        <v>3917.234608</v>
      </c>
      <c r="H159" s="8">
        <f t="shared" si="176"/>
        <v>18117.21006</v>
      </c>
      <c r="I159" s="8">
        <f t="shared" si="177"/>
        <v>1481.53837</v>
      </c>
      <c r="J159" s="8">
        <f t="shared" si="178"/>
        <v>19556.30648</v>
      </c>
      <c r="K159" s="1"/>
      <c r="L159" s="6">
        <v>2016.0</v>
      </c>
      <c r="M159" s="6">
        <f t="shared" si="179"/>
        <v>30629.885</v>
      </c>
      <c r="N159" s="6">
        <f t="shared" si="180"/>
        <v>1083184.115</v>
      </c>
      <c r="O159" s="6"/>
      <c r="P159" s="7">
        <v>1113814.0</v>
      </c>
      <c r="Q159" s="6">
        <f t="shared" si="181"/>
        <v>490.07816</v>
      </c>
      <c r="R159" s="8">
        <f t="shared" si="182"/>
        <v>2266.61149</v>
      </c>
      <c r="S159" s="8">
        <f t="shared" si="183"/>
        <v>10831.84115</v>
      </c>
      <c r="T159" s="8">
        <f t="shared" si="184"/>
        <v>142980.3032</v>
      </c>
      <c r="U159" s="1"/>
      <c r="V159" s="1"/>
      <c r="W159" s="1"/>
      <c r="X159" s="1"/>
      <c r="Y159" s="1"/>
    </row>
    <row r="160">
      <c r="A160" s="1"/>
      <c r="B160" s="6">
        <v>2018.0</v>
      </c>
      <c r="C160" s="7">
        <v>394942.0</v>
      </c>
      <c r="D160" s="9">
        <f t="shared" si="173"/>
        <v>246048.866</v>
      </c>
      <c r="E160" s="9">
        <f t="shared" si="174"/>
        <v>148893.134</v>
      </c>
      <c r="F160" s="9"/>
      <c r="G160" s="6">
        <f t="shared" si="175"/>
        <v>3936.781856</v>
      </c>
      <c r="H160" s="8">
        <f t="shared" si="176"/>
        <v>18207.61608</v>
      </c>
      <c r="I160" s="8">
        <f t="shared" si="177"/>
        <v>1488.93134</v>
      </c>
      <c r="J160" s="8">
        <f t="shared" si="178"/>
        <v>19653.89369</v>
      </c>
      <c r="K160" s="1"/>
      <c r="L160" s="6">
        <v>2017.0</v>
      </c>
      <c r="M160" s="6">
        <f t="shared" si="179"/>
        <v>30941.7625</v>
      </c>
      <c r="N160" s="6">
        <f t="shared" si="180"/>
        <v>1094213.238</v>
      </c>
      <c r="O160" s="6"/>
      <c r="P160" s="7">
        <v>1125155.0</v>
      </c>
      <c r="Q160" s="6">
        <f t="shared" si="181"/>
        <v>495.0682</v>
      </c>
      <c r="R160" s="8">
        <f t="shared" si="182"/>
        <v>2289.690425</v>
      </c>
      <c r="S160" s="8">
        <f t="shared" si="183"/>
        <v>10942.13238</v>
      </c>
      <c r="T160" s="8">
        <f t="shared" si="184"/>
        <v>144436.1474</v>
      </c>
      <c r="U160" s="1"/>
      <c r="V160" s="1"/>
      <c r="W160" s="1"/>
      <c r="X160" s="1"/>
      <c r="Y160" s="1"/>
    </row>
    <row r="161">
      <c r="A161" s="1"/>
      <c r="B161" s="6">
        <v>2019.0</v>
      </c>
      <c r="C161" s="7">
        <v>396873.0</v>
      </c>
      <c r="D161" s="9">
        <f t="shared" si="173"/>
        <v>247251.879</v>
      </c>
      <c r="E161" s="9">
        <f t="shared" si="174"/>
        <v>149621.121</v>
      </c>
      <c r="F161" s="9"/>
      <c r="G161" s="6">
        <f t="shared" si="175"/>
        <v>3956.030064</v>
      </c>
      <c r="H161" s="8">
        <f t="shared" si="176"/>
        <v>18296.63905</v>
      </c>
      <c r="I161" s="8">
        <f t="shared" si="177"/>
        <v>1496.21121</v>
      </c>
      <c r="J161" s="8">
        <f t="shared" si="178"/>
        <v>19749.98797</v>
      </c>
      <c r="K161" s="1"/>
      <c r="L161" s="6">
        <v>2018.0</v>
      </c>
      <c r="M161" s="6">
        <f t="shared" si="179"/>
        <v>31250.505</v>
      </c>
      <c r="N161" s="6">
        <f t="shared" si="180"/>
        <v>1105131.495</v>
      </c>
      <c r="O161" s="6"/>
      <c r="P161" s="7">
        <v>1136382.0</v>
      </c>
      <c r="Q161" s="6">
        <f t="shared" si="181"/>
        <v>500.00808</v>
      </c>
      <c r="R161" s="8">
        <f t="shared" si="182"/>
        <v>2312.53737</v>
      </c>
      <c r="S161" s="8">
        <f t="shared" si="183"/>
        <v>11051.31495</v>
      </c>
      <c r="T161" s="8">
        <f t="shared" si="184"/>
        <v>145877.3573</v>
      </c>
      <c r="U161" s="1"/>
      <c r="V161" s="1"/>
      <c r="W161" s="1"/>
      <c r="X161" s="1"/>
      <c r="Y161" s="1"/>
    </row>
    <row r="162">
      <c r="A162" s="1"/>
      <c r="B162" s="6">
        <v>2020.0</v>
      </c>
      <c r="C162" s="7">
        <v>398774.0</v>
      </c>
      <c r="D162" s="9">
        <f t="shared" si="173"/>
        <v>248436.202</v>
      </c>
      <c r="E162" s="9">
        <f t="shared" si="174"/>
        <v>150337.798</v>
      </c>
      <c r="F162" s="9"/>
      <c r="G162" s="6">
        <f t="shared" si="175"/>
        <v>3974.979232</v>
      </c>
      <c r="H162" s="8">
        <f t="shared" si="176"/>
        <v>18384.27895</v>
      </c>
      <c r="I162" s="8">
        <f t="shared" si="177"/>
        <v>1503.37798</v>
      </c>
      <c r="J162" s="8">
        <f t="shared" si="178"/>
        <v>19844.58934</v>
      </c>
      <c r="K162" s="1"/>
      <c r="L162" s="6">
        <v>2019.0</v>
      </c>
      <c r="M162" s="6">
        <f t="shared" si="179"/>
        <v>31556.085</v>
      </c>
      <c r="N162" s="6">
        <f t="shared" si="180"/>
        <v>1115937.915</v>
      </c>
      <c r="O162" s="6"/>
      <c r="P162" s="7">
        <v>1147494.0</v>
      </c>
      <c r="Q162" s="6">
        <f t="shared" si="181"/>
        <v>504.89736</v>
      </c>
      <c r="R162" s="8">
        <f t="shared" si="182"/>
        <v>2335.15029</v>
      </c>
      <c r="S162" s="8">
        <f t="shared" si="183"/>
        <v>11159.37915</v>
      </c>
      <c r="T162" s="8">
        <f t="shared" si="184"/>
        <v>147303.8048</v>
      </c>
      <c r="U162" s="1"/>
      <c r="V162" s="1"/>
      <c r="W162" s="1"/>
      <c r="X162" s="1"/>
      <c r="Y162" s="1"/>
    </row>
    <row r="163">
      <c r="A163" s="1"/>
      <c r="B163" s="10">
        <v>2021.0</v>
      </c>
      <c r="C163" s="11">
        <v>400647.0</v>
      </c>
      <c r="D163" s="9">
        <f t="shared" si="173"/>
        <v>249603.081</v>
      </c>
      <c r="E163" s="9">
        <f t="shared" si="174"/>
        <v>151043.919</v>
      </c>
      <c r="F163" s="13"/>
      <c r="G163" s="10">
        <f t="shared" si="175"/>
        <v>3993.649296</v>
      </c>
      <c r="H163" s="8">
        <f t="shared" si="176"/>
        <v>18470.62799</v>
      </c>
      <c r="I163" s="8">
        <f t="shared" si="177"/>
        <v>1510.43919</v>
      </c>
      <c r="J163" s="8">
        <f t="shared" si="178"/>
        <v>19937.79731</v>
      </c>
      <c r="K163" s="1"/>
      <c r="L163" s="6">
        <v>2020.0</v>
      </c>
      <c r="M163" s="6">
        <f t="shared" si="179"/>
        <v>31858.5025</v>
      </c>
      <c r="N163" s="6">
        <f t="shared" si="180"/>
        <v>1126632.498</v>
      </c>
      <c r="O163" s="6"/>
      <c r="P163" s="7">
        <v>1158491.0</v>
      </c>
      <c r="Q163" s="6">
        <f t="shared" si="181"/>
        <v>509.73604</v>
      </c>
      <c r="R163" s="8">
        <f t="shared" si="182"/>
        <v>2357.529185</v>
      </c>
      <c r="S163" s="8">
        <f t="shared" si="183"/>
        <v>11266.32498</v>
      </c>
      <c r="T163" s="8">
        <f t="shared" si="184"/>
        <v>148715.4897</v>
      </c>
      <c r="U163" s="1"/>
      <c r="V163" s="1"/>
      <c r="W163" s="1"/>
      <c r="X163" s="1"/>
      <c r="Y163" s="1"/>
    </row>
    <row r="164">
      <c r="A164" s="1"/>
      <c r="B164" s="1"/>
      <c r="C164" s="1"/>
      <c r="D164" s="2"/>
      <c r="E164" s="2"/>
      <c r="F164" s="2"/>
      <c r="G164" s="1"/>
      <c r="H164" s="1"/>
      <c r="I164" s="1"/>
      <c r="J164" s="1"/>
      <c r="K164" s="1"/>
      <c r="L164" s="10">
        <v>2021.0</v>
      </c>
      <c r="M164" s="6">
        <f t="shared" si="179"/>
        <v>32157.7025</v>
      </c>
      <c r="N164" s="6">
        <f t="shared" si="180"/>
        <v>1137213.298</v>
      </c>
      <c r="O164" s="10"/>
      <c r="P164" s="11">
        <v>1169371.0</v>
      </c>
      <c r="Q164" s="10">
        <f t="shared" si="181"/>
        <v>514.52324</v>
      </c>
      <c r="R164" s="8">
        <f t="shared" si="182"/>
        <v>2379.669985</v>
      </c>
      <c r="S164" s="8">
        <f t="shared" si="183"/>
        <v>11372.13298</v>
      </c>
      <c r="T164" s="8">
        <f t="shared" si="184"/>
        <v>150112.1553</v>
      </c>
      <c r="U164" s="1"/>
      <c r="V164" s="1"/>
      <c r="W164" s="1"/>
      <c r="X164" s="1"/>
      <c r="Y164" s="1"/>
    </row>
    <row r="165">
      <c r="A165" s="1"/>
      <c r="B165" s="1"/>
      <c r="C165" s="1"/>
      <c r="D165" s="2"/>
      <c r="E165" s="2"/>
      <c r="F165" s="2"/>
      <c r="G165" s="1"/>
      <c r="H165" s="1"/>
      <c r="I165" s="1"/>
      <c r="J165" s="1"/>
      <c r="K165" s="1"/>
      <c r="L165" s="27"/>
      <c r="M165" s="27"/>
      <c r="N165" s="27"/>
      <c r="O165" s="27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 t="s">
        <v>51</v>
      </c>
      <c r="C167" s="1"/>
      <c r="D167" s="2"/>
      <c r="E167" s="2"/>
      <c r="F167" s="2"/>
      <c r="G167" s="1"/>
      <c r="H167" s="1"/>
      <c r="I167" s="1"/>
      <c r="J167" s="1"/>
      <c r="K167" s="1"/>
      <c r="L167" s="3" t="s">
        <v>52</v>
      </c>
      <c r="M167" s="3"/>
      <c r="N167" s="3"/>
      <c r="O167" s="3"/>
      <c r="P167" s="4" t="s">
        <v>10</v>
      </c>
      <c r="Q167" s="3" t="s">
        <v>6</v>
      </c>
      <c r="R167" s="1" t="s">
        <v>7</v>
      </c>
      <c r="S167" s="1" t="s">
        <v>8</v>
      </c>
      <c r="T167" s="1" t="s">
        <v>9</v>
      </c>
      <c r="U167" s="1"/>
      <c r="V167" s="1"/>
      <c r="W167" s="1"/>
      <c r="X167" s="1"/>
      <c r="Y167" s="1"/>
    </row>
    <row r="168">
      <c r="A168" s="1"/>
      <c r="B168" s="3"/>
      <c r="C168" s="4" t="s">
        <v>10</v>
      </c>
      <c r="D168" s="5" t="s">
        <v>11</v>
      </c>
      <c r="E168" s="5" t="s">
        <v>12</v>
      </c>
      <c r="F168" s="34"/>
      <c r="G168" s="3" t="s">
        <v>6</v>
      </c>
      <c r="H168" s="1" t="s">
        <v>7</v>
      </c>
      <c r="I168" s="1" t="s">
        <v>8</v>
      </c>
      <c r="J168" s="1" t="s">
        <v>9</v>
      </c>
      <c r="K168" s="1"/>
      <c r="L168" s="6">
        <v>2015.0</v>
      </c>
      <c r="M168" s="6">
        <f t="shared" ref="M168:M174" si="185">72.62*P168/100</f>
        <v>9887992.939</v>
      </c>
      <c r="N168" s="6">
        <f t="shared" ref="N168:N174" si="186">27.38*P168/100</f>
        <v>3728081.061</v>
      </c>
      <c r="O168" s="6"/>
      <c r="P168" s="7">
        <v>1.3616074E7</v>
      </c>
      <c r="Q168" s="6">
        <f t="shared" ref="Q168:Q174" si="187">72.62*1.6*P168/10000</f>
        <v>158207.887</v>
      </c>
      <c r="R168" s="8">
        <f t="shared" ref="R168:R174" si="188">72.62*7.4*P168/10000</f>
        <v>731711.4775</v>
      </c>
      <c r="S168" s="8">
        <f t="shared" ref="S168:S174" si="189">27.38*P168/10000</f>
        <v>37280.81061</v>
      </c>
      <c r="T168" s="8">
        <f t="shared" ref="T168:T174" si="190">27.38*P168*13.2/10000</f>
        <v>492106.7001</v>
      </c>
      <c r="U168" s="1"/>
      <c r="V168" s="1"/>
      <c r="W168" s="1"/>
      <c r="X168" s="1"/>
      <c r="Y168" s="1"/>
    </row>
    <row r="169">
      <c r="A169" s="1"/>
      <c r="B169" s="6">
        <v>2015.0</v>
      </c>
      <c r="C169" s="7">
        <v>391060.0</v>
      </c>
      <c r="D169" s="9">
        <f t="shared" ref="D169:D175" si="191">53.28*C169/100</f>
        <v>208356.768</v>
      </c>
      <c r="E169" s="9">
        <f t="shared" ref="E169:E175" si="192">46.72*C169/100</f>
        <v>182703.232</v>
      </c>
      <c r="F169" s="9"/>
      <c r="G169" s="6">
        <f t="shared" ref="G169:G175" si="193">53.28*1.6*C169/10000</f>
        <v>3333.708288</v>
      </c>
      <c r="H169" s="8">
        <f t="shared" ref="H169:H175" si="194">53.38*C169*7.4/10000</f>
        <v>15447.33927</v>
      </c>
      <c r="I169" s="8">
        <f t="shared" ref="I169:I175" si="195">46.72*C169/10000</f>
        <v>1827.03232</v>
      </c>
      <c r="J169" s="8">
        <f t="shared" ref="J169:J175" si="196">46.72*C169*13.2/10000</f>
        <v>24116.82662</v>
      </c>
      <c r="K169" s="1"/>
      <c r="L169" s="6">
        <v>2016.0</v>
      </c>
      <c r="M169" s="6">
        <f t="shared" si="185"/>
        <v>10083189.69</v>
      </c>
      <c r="N169" s="6">
        <f t="shared" si="186"/>
        <v>3801676.311</v>
      </c>
      <c r="O169" s="6"/>
      <c r="P169" s="7">
        <v>1.3884866E7</v>
      </c>
      <c r="Q169" s="6">
        <f t="shared" si="187"/>
        <v>161331.035</v>
      </c>
      <c r="R169" s="8">
        <f t="shared" si="188"/>
        <v>746156.037</v>
      </c>
      <c r="S169" s="8">
        <f t="shared" si="189"/>
        <v>38016.76311</v>
      </c>
      <c r="T169" s="8">
        <f t="shared" si="190"/>
        <v>501821.273</v>
      </c>
      <c r="U169" s="1"/>
      <c r="V169" s="1"/>
      <c r="W169" s="1"/>
      <c r="X169" s="1"/>
      <c r="Y169" s="1"/>
    </row>
    <row r="170">
      <c r="A170" s="1"/>
      <c r="B170" s="6">
        <v>2016.0</v>
      </c>
      <c r="C170" s="7">
        <v>403249.0</v>
      </c>
      <c r="D170" s="9">
        <f t="shared" si="191"/>
        <v>214851.0672</v>
      </c>
      <c r="E170" s="9">
        <f t="shared" si="192"/>
        <v>188397.9328</v>
      </c>
      <c r="F170" s="9"/>
      <c r="G170" s="6">
        <f t="shared" si="193"/>
        <v>3437.617075</v>
      </c>
      <c r="H170" s="8">
        <f t="shared" si="194"/>
        <v>15928.8194</v>
      </c>
      <c r="I170" s="8">
        <f t="shared" si="195"/>
        <v>1883.979328</v>
      </c>
      <c r="J170" s="8">
        <f t="shared" si="196"/>
        <v>24868.52713</v>
      </c>
      <c r="K170" s="1"/>
      <c r="L170" s="6">
        <v>2017.0</v>
      </c>
      <c r="M170" s="6">
        <f t="shared" si="185"/>
        <v>10278259.35</v>
      </c>
      <c r="N170" s="6">
        <f t="shared" si="186"/>
        <v>3875223.645</v>
      </c>
      <c r="O170" s="6"/>
      <c r="P170" s="7">
        <v>1.4153483E7</v>
      </c>
      <c r="Q170" s="6">
        <f t="shared" si="187"/>
        <v>164452.1497</v>
      </c>
      <c r="R170" s="8">
        <f t="shared" si="188"/>
        <v>760591.1922</v>
      </c>
      <c r="S170" s="8">
        <f t="shared" si="189"/>
        <v>38752.23645</v>
      </c>
      <c r="T170" s="8">
        <f t="shared" si="190"/>
        <v>511529.5212</v>
      </c>
      <c r="U170" s="1"/>
      <c r="V170" s="1"/>
      <c r="W170" s="1"/>
      <c r="X170" s="1"/>
      <c r="Y170" s="1"/>
    </row>
    <row r="171">
      <c r="A171" s="1"/>
      <c r="B171" s="6">
        <v>2017.0</v>
      </c>
      <c r="C171" s="7">
        <v>415567.0</v>
      </c>
      <c r="D171" s="9">
        <f t="shared" si="191"/>
        <v>221414.0976</v>
      </c>
      <c r="E171" s="9">
        <f t="shared" si="192"/>
        <v>194152.9024</v>
      </c>
      <c r="F171" s="9"/>
      <c r="G171" s="6">
        <f t="shared" si="193"/>
        <v>3542.625562</v>
      </c>
      <c r="H171" s="8">
        <f t="shared" si="194"/>
        <v>16415.39518</v>
      </c>
      <c r="I171" s="8">
        <f t="shared" si="195"/>
        <v>1941.529024</v>
      </c>
      <c r="J171" s="8">
        <f t="shared" si="196"/>
        <v>25628.18312</v>
      </c>
      <c r="K171" s="1"/>
      <c r="L171" s="6">
        <v>2018.0</v>
      </c>
      <c r="M171" s="6">
        <f t="shared" si="185"/>
        <v>10473124.96</v>
      </c>
      <c r="N171" s="6">
        <f t="shared" si="186"/>
        <v>3948694.042</v>
      </c>
      <c r="O171" s="6"/>
      <c r="P171" s="7">
        <v>1.4421819E7</v>
      </c>
      <c r="Q171" s="6">
        <f t="shared" si="187"/>
        <v>167569.9993</v>
      </c>
      <c r="R171" s="8">
        <f t="shared" si="188"/>
        <v>775011.2469</v>
      </c>
      <c r="S171" s="8">
        <f t="shared" si="189"/>
        <v>39486.94042</v>
      </c>
      <c r="T171" s="8">
        <f t="shared" si="190"/>
        <v>521227.6136</v>
      </c>
      <c r="U171" s="1"/>
      <c r="V171" s="1"/>
      <c r="W171" s="1"/>
      <c r="X171" s="1"/>
      <c r="Y171" s="1"/>
    </row>
    <row r="172">
      <c r="A172" s="1"/>
      <c r="B172" s="6">
        <v>2018.0</v>
      </c>
      <c r="C172" s="7">
        <v>428007.0</v>
      </c>
      <c r="D172" s="9">
        <f t="shared" si="191"/>
        <v>228042.1296</v>
      </c>
      <c r="E172" s="9">
        <f t="shared" si="192"/>
        <v>199964.8704</v>
      </c>
      <c r="F172" s="9"/>
      <c r="G172" s="6">
        <f t="shared" si="193"/>
        <v>3648.674074</v>
      </c>
      <c r="H172" s="8">
        <f t="shared" si="194"/>
        <v>16906.79011</v>
      </c>
      <c r="I172" s="8">
        <f t="shared" si="195"/>
        <v>1999.648704</v>
      </c>
      <c r="J172" s="8">
        <f t="shared" si="196"/>
        <v>26395.36289</v>
      </c>
      <c r="K172" s="1"/>
      <c r="L172" s="6">
        <v>2019.0</v>
      </c>
      <c r="M172" s="6">
        <f t="shared" si="185"/>
        <v>10667714.61</v>
      </c>
      <c r="N172" s="6">
        <f t="shared" si="186"/>
        <v>4022060.395</v>
      </c>
      <c r="O172" s="6"/>
      <c r="P172" s="7">
        <v>1.4689775E7</v>
      </c>
      <c r="Q172" s="6">
        <f t="shared" si="187"/>
        <v>170683.4337</v>
      </c>
      <c r="R172" s="8">
        <f t="shared" si="188"/>
        <v>789410.8808</v>
      </c>
      <c r="S172" s="8">
        <f t="shared" si="189"/>
        <v>40220.60395</v>
      </c>
      <c r="T172" s="8">
        <f t="shared" si="190"/>
        <v>530911.9721</v>
      </c>
      <c r="U172" s="1"/>
      <c r="V172" s="1"/>
      <c r="W172" s="1"/>
      <c r="X172" s="1"/>
      <c r="Y172" s="1"/>
    </row>
    <row r="173">
      <c r="A173" s="1"/>
      <c r="B173" s="6">
        <v>2019.0</v>
      </c>
      <c r="C173" s="7">
        <v>440563.0</v>
      </c>
      <c r="D173" s="9">
        <f t="shared" si="191"/>
        <v>234731.9664</v>
      </c>
      <c r="E173" s="9">
        <f t="shared" si="192"/>
        <v>205831.0336</v>
      </c>
      <c r="F173" s="9"/>
      <c r="G173" s="6">
        <f t="shared" si="193"/>
        <v>3755.711462</v>
      </c>
      <c r="H173" s="8">
        <f t="shared" si="194"/>
        <v>17402.76718</v>
      </c>
      <c r="I173" s="8">
        <f t="shared" si="195"/>
        <v>2058.310336</v>
      </c>
      <c r="J173" s="8">
        <f t="shared" si="196"/>
        <v>27169.69644</v>
      </c>
      <c r="K173" s="1"/>
      <c r="L173" s="6">
        <v>2020.0</v>
      </c>
      <c r="M173" s="6">
        <f t="shared" si="185"/>
        <v>10861955.68</v>
      </c>
      <c r="N173" s="6">
        <f t="shared" si="186"/>
        <v>4095295.324</v>
      </c>
      <c r="O173" s="6"/>
      <c r="P173" s="7">
        <v>1.4957251E7</v>
      </c>
      <c r="Q173" s="6">
        <f t="shared" si="187"/>
        <v>173791.2908</v>
      </c>
      <c r="R173" s="8">
        <f t="shared" si="188"/>
        <v>803784.72</v>
      </c>
      <c r="S173" s="8">
        <f t="shared" si="189"/>
        <v>40952.95324</v>
      </c>
      <c r="T173" s="8">
        <f t="shared" si="190"/>
        <v>540578.9827</v>
      </c>
      <c r="U173" s="1"/>
      <c r="V173" s="1"/>
      <c r="W173" s="1"/>
      <c r="X173" s="1"/>
      <c r="Y173" s="1"/>
    </row>
    <row r="174">
      <c r="A174" s="1"/>
      <c r="B174" s="6">
        <v>2020.0</v>
      </c>
      <c r="C174" s="7">
        <v>453229.0</v>
      </c>
      <c r="D174" s="9">
        <f t="shared" si="191"/>
        <v>241480.4112</v>
      </c>
      <c r="E174" s="9">
        <f t="shared" si="192"/>
        <v>211748.5888</v>
      </c>
      <c r="F174" s="9"/>
      <c r="G174" s="6">
        <f t="shared" si="193"/>
        <v>3863.686579</v>
      </c>
      <c r="H174" s="8">
        <f t="shared" si="194"/>
        <v>17903.08937</v>
      </c>
      <c r="I174" s="8">
        <f t="shared" si="195"/>
        <v>2117.485888</v>
      </c>
      <c r="J174" s="8">
        <f t="shared" si="196"/>
        <v>27950.81372</v>
      </c>
      <c r="K174" s="1"/>
      <c r="L174" s="10">
        <v>2021.0</v>
      </c>
      <c r="M174" s="6">
        <f t="shared" si="185"/>
        <v>11055777.73</v>
      </c>
      <c r="N174" s="6">
        <f t="shared" si="186"/>
        <v>4168372.27</v>
      </c>
      <c r="O174" s="10"/>
      <c r="P174" s="11">
        <v>1.522415E7</v>
      </c>
      <c r="Q174" s="10">
        <f t="shared" si="187"/>
        <v>176892.4437</v>
      </c>
      <c r="R174" s="8">
        <f t="shared" si="188"/>
        <v>818127.552</v>
      </c>
      <c r="S174" s="8">
        <f t="shared" si="189"/>
        <v>41683.7227</v>
      </c>
      <c r="T174" s="8">
        <f t="shared" si="190"/>
        <v>550225.1396</v>
      </c>
      <c r="U174" s="1"/>
      <c r="V174" s="1"/>
      <c r="W174" s="1"/>
      <c r="X174" s="1"/>
      <c r="Y174" s="1"/>
    </row>
    <row r="175">
      <c r="A175" s="1"/>
      <c r="B175" s="10">
        <v>2021.0</v>
      </c>
      <c r="C175" s="11">
        <v>465999.0</v>
      </c>
      <c r="D175" s="9">
        <f t="shared" si="191"/>
        <v>248284.2672</v>
      </c>
      <c r="E175" s="9">
        <f t="shared" si="192"/>
        <v>217714.7328</v>
      </c>
      <c r="F175" s="13"/>
      <c r="G175" s="10">
        <f t="shared" si="193"/>
        <v>3972.548275</v>
      </c>
      <c r="H175" s="8">
        <f t="shared" si="194"/>
        <v>18407.5197</v>
      </c>
      <c r="I175" s="8">
        <f t="shared" si="195"/>
        <v>2177.147328</v>
      </c>
      <c r="J175" s="8">
        <f t="shared" si="196"/>
        <v>28738.34473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27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3" t="s">
        <v>53</v>
      </c>
      <c r="C178" s="4" t="s">
        <v>10</v>
      </c>
      <c r="D178" s="5" t="s">
        <v>11</v>
      </c>
      <c r="E178" s="5" t="s">
        <v>12</v>
      </c>
      <c r="F178" s="34"/>
      <c r="G178" s="3" t="s">
        <v>6</v>
      </c>
      <c r="H178" s="1" t="s">
        <v>7</v>
      </c>
      <c r="I178" s="1" t="s">
        <v>8</v>
      </c>
      <c r="J178" s="1" t="s">
        <v>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6">
        <v>2015.0</v>
      </c>
      <c r="C179" s="7">
        <v>276758.0</v>
      </c>
      <c r="D179" s="19">
        <f t="shared" ref="D179:D185" si="197">24.83*C179/100</f>
        <v>68719.0114</v>
      </c>
      <c r="E179" s="19">
        <f t="shared" ref="E179:E185" si="198">75.17*C179/100</f>
        <v>208038.9886</v>
      </c>
      <c r="F179" s="19"/>
      <c r="G179" s="8">
        <f t="shared" ref="G179:G185" si="199">24.83*1.6*C179/10000</f>
        <v>1099.504182</v>
      </c>
      <c r="H179" s="8">
        <f t="shared" ref="H179:H185" si="200">((24.83*7.4)*C179)/10000</f>
        <v>5085.206844</v>
      </c>
      <c r="I179" s="8">
        <f t="shared" ref="I179:I185" si="201">75.17*C179/10000</f>
        <v>2080.389886</v>
      </c>
      <c r="J179" s="8">
        <f t="shared" ref="J179:J185" si="202">75.17*13.2*C179/10000</f>
        <v>27461.1465</v>
      </c>
      <c r="K179" s="1"/>
      <c r="L179" s="3" t="s">
        <v>54</v>
      </c>
      <c r="M179" s="3"/>
      <c r="N179" s="3"/>
      <c r="O179" s="3"/>
      <c r="P179" s="4" t="s">
        <v>10</v>
      </c>
      <c r="Q179" s="3" t="s">
        <v>6</v>
      </c>
      <c r="R179" s="1" t="s">
        <v>7</v>
      </c>
      <c r="S179" s="1" t="s">
        <v>8</v>
      </c>
      <c r="T179" s="1" t="s">
        <v>9</v>
      </c>
      <c r="U179" s="1"/>
      <c r="V179" s="1"/>
      <c r="W179" s="1"/>
      <c r="X179" s="1"/>
      <c r="Y179" s="1"/>
    </row>
    <row r="180">
      <c r="A180" s="1"/>
      <c r="B180" s="6">
        <v>2016.0</v>
      </c>
      <c r="C180" s="7">
        <v>285384.0</v>
      </c>
      <c r="D180" s="19">
        <f t="shared" si="197"/>
        <v>70860.8472</v>
      </c>
      <c r="E180" s="19">
        <f t="shared" si="198"/>
        <v>214523.1528</v>
      </c>
      <c r="F180" s="19"/>
      <c r="G180" s="8">
        <f t="shared" si="199"/>
        <v>1133.773555</v>
      </c>
      <c r="H180" s="8">
        <f t="shared" si="200"/>
        <v>5243.702693</v>
      </c>
      <c r="I180" s="8">
        <f t="shared" si="201"/>
        <v>2145.231528</v>
      </c>
      <c r="J180" s="8">
        <f t="shared" si="202"/>
        <v>28317.05617</v>
      </c>
      <c r="K180" s="1"/>
      <c r="L180" s="6">
        <v>2015.0</v>
      </c>
      <c r="M180" s="6">
        <f t="shared" ref="M180:M186" si="203">31.67*P180/100</f>
        <v>449674.7292</v>
      </c>
      <c r="N180" s="6">
        <f t="shared" ref="N180:N186" si="204">68.33*P180/100</f>
        <v>970201.2708</v>
      </c>
      <c r="O180" s="6"/>
      <c r="P180" s="7">
        <v>1419876.0</v>
      </c>
      <c r="Q180" s="8">
        <f t="shared" ref="Q180:Q186" si="205">31.67*1.6*P180/10000</f>
        <v>7194.795667</v>
      </c>
      <c r="R180" s="8">
        <f t="shared" ref="R180:R186" si="206">31.67*P180*7.4/10000</f>
        <v>33275.92996</v>
      </c>
      <c r="S180" s="8">
        <f t="shared" ref="S180:S186" si="207">68.33*P180/10000</f>
        <v>9702.012708</v>
      </c>
      <c r="T180" s="8">
        <f t="shared" ref="T180:T186" si="208">68.33*P180*13.2/10000</f>
        <v>128066.5677</v>
      </c>
      <c r="U180" s="1"/>
      <c r="V180" s="1"/>
      <c r="W180" s="1"/>
      <c r="X180" s="1"/>
      <c r="Y180" s="1"/>
    </row>
    <row r="181">
      <c r="A181" s="1"/>
      <c r="B181" s="6">
        <v>2017.0</v>
      </c>
      <c r="C181" s="7">
        <v>294102.0</v>
      </c>
      <c r="D181" s="19">
        <f t="shared" si="197"/>
        <v>73025.5266</v>
      </c>
      <c r="E181" s="19">
        <f t="shared" si="198"/>
        <v>221076.4734</v>
      </c>
      <c r="F181" s="19"/>
      <c r="G181" s="8">
        <f t="shared" si="199"/>
        <v>1168.408426</v>
      </c>
      <c r="H181" s="8">
        <f t="shared" si="200"/>
        <v>5403.888968</v>
      </c>
      <c r="I181" s="8">
        <f t="shared" si="201"/>
        <v>2210.764734</v>
      </c>
      <c r="J181" s="8">
        <f t="shared" si="202"/>
        <v>29182.09449</v>
      </c>
      <c r="K181" s="1"/>
      <c r="L181" s="6">
        <v>2016.0</v>
      </c>
      <c r="M181" s="6">
        <f t="shared" si="203"/>
        <v>463690.9211</v>
      </c>
      <c r="N181" s="6">
        <f t="shared" si="204"/>
        <v>1000442.079</v>
      </c>
      <c r="O181" s="6"/>
      <c r="P181" s="7">
        <v>1464133.0</v>
      </c>
      <c r="Q181" s="8">
        <f t="shared" si="205"/>
        <v>7419.054738</v>
      </c>
      <c r="R181" s="8">
        <f t="shared" si="206"/>
        <v>34313.12816</v>
      </c>
      <c r="S181" s="8">
        <f t="shared" si="207"/>
        <v>10004.42079</v>
      </c>
      <c r="T181" s="8">
        <f t="shared" si="208"/>
        <v>132058.3544</v>
      </c>
      <c r="U181" s="1"/>
      <c r="V181" s="1"/>
      <c r="W181" s="1"/>
      <c r="X181" s="1"/>
      <c r="Y181" s="1"/>
    </row>
    <row r="182">
      <c r="A182" s="1"/>
      <c r="B182" s="6">
        <v>2018.0</v>
      </c>
      <c r="C182" s="7">
        <v>302906.0</v>
      </c>
      <c r="D182" s="19">
        <f t="shared" si="197"/>
        <v>75211.5598</v>
      </c>
      <c r="E182" s="19">
        <f t="shared" si="198"/>
        <v>227694.4402</v>
      </c>
      <c r="F182" s="19"/>
      <c r="G182" s="8">
        <f t="shared" si="199"/>
        <v>1203.384957</v>
      </c>
      <c r="H182" s="8">
        <f t="shared" si="200"/>
        <v>5565.655425</v>
      </c>
      <c r="I182" s="8">
        <f t="shared" si="201"/>
        <v>2276.944402</v>
      </c>
      <c r="J182" s="8">
        <f t="shared" si="202"/>
        <v>30055.66611</v>
      </c>
      <c r="K182" s="1"/>
      <c r="L182" s="6">
        <v>2017.0</v>
      </c>
      <c r="M182" s="6">
        <f t="shared" si="203"/>
        <v>477855.0119</v>
      </c>
      <c r="N182" s="6">
        <f t="shared" si="204"/>
        <v>1031001.988</v>
      </c>
      <c r="O182" s="6"/>
      <c r="P182" s="7">
        <v>1508857.0</v>
      </c>
      <c r="Q182" s="8">
        <f t="shared" si="205"/>
        <v>7645.68019</v>
      </c>
      <c r="R182" s="8">
        <f t="shared" si="206"/>
        <v>35361.27088</v>
      </c>
      <c r="S182" s="8">
        <f t="shared" si="207"/>
        <v>10310.01988</v>
      </c>
      <c r="T182" s="8">
        <f t="shared" si="208"/>
        <v>136092.2624</v>
      </c>
      <c r="U182" s="1"/>
      <c r="V182" s="1"/>
      <c r="W182" s="1"/>
      <c r="X182" s="1"/>
      <c r="Y182" s="1"/>
    </row>
    <row r="183">
      <c r="A183" s="1"/>
      <c r="B183" s="6">
        <v>2019.0</v>
      </c>
      <c r="C183" s="7">
        <v>311792.0</v>
      </c>
      <c r="D183" s="19">
        <f t="shared" si="197"/>
        <v>77417.9536</v>
      </c>
      <c r="E183" s="19">
        <f t="shared" si="198"/>
        <v>234374.0464</v>
      </c>
      <c r="F183" s="19"/>
      <c r="G183" s="8">
        <f t="shared" si="199"/>
        <v>1238.687258</v>
      </c>
      <c r="H183" s="8">
        <f t="shared" si="200"/>
        <v>5728.928566</v>
      </c>
      <c r="I183" s="8">
        <f t="shared" si="201"/>
        <v>2343.740464</v>
      </c>
      <c r="J183" s="8">
        <f t="shared" si="202"/>
        <v>30937.37412</v>
      </c>
      <c r="K183" s="1"/>
      <c r="L183" s="6">
        <v>2018.0</v>
      </c>
      <c r="M183" s="6">
        <f t="shared" si="203"/>
        <v>492159.7175</v>
      </c>
      <c r="N183" s="6">
        <f t="shared" si="204"/>
        <v>1061865.283</v>
      </c>
      <c r="O183" s="6"/>
      <c r="P183" s="7">
        <v>1554025.0</v>
      </c>
      <c r="Q183" s="8">
        <f t="shared" si="205"/>
        <v>7874.55548</v>
      </c>
      <c r="R183" s="8">
        <f t="shared" si="206"/>
        <v>36419.8191</v>
      </c>
      <c r="S183" s="8">
        <f t="shared" si="207"/>
        <v>10618.65283</v>
      </c>
      <c r="T183" s="8">
        <f t="shared" si="208"/>
        <v>140166.2173</v>
      </c>
      <c r="U183" s="1"/>
      <c r="V183" s="1"/>
      <c r="W183" s="1"/>
      <c r="X183" s="1"/>
      <c r="Y183" s="1"/>
    </row>
    <row r="184">
      <c r="A184" s="1"/>
      <c r="B184" s="6">
        <v>2020.0</v>
      </c>
      <c r="C184" s="7">
        <v>320756.0</v>
      </c>
      <c r="D184" s="19">
        <f t="shared" si="197"/>
        <v>79643.7148</v>
      </c>
      <c r="E184" s="19">
        <f t="shared" si="198"/>
        <v>241112.2852</v>
      </c>
      <c r="F184" s="19"/>
      <c r="G184" s="8">
        <f t="shared" si="199"/>
        <v>1274.299437</v>
      </c>
      <c r="H184" s="8">
        <f t="shared" si="200"/>
        <v>5893.634895</v>
      </c>
      <c r="I184" s="8">
        <f t="shared" si="201"/>
        <v>2411.122852</v>
      </c>
      <c r="J184" s="8">
        <f t="shared" si="202"/>
        <v>31826.82165</v>
      </c>
      <c r="K184" s="1"/>
      <c r="L184" s="6">
        <v>2019.0</v>
      </c>
      <c r="M184" s="6">
        <f t="shared" si="203"/>
        <v>506598.0705</v>
      </c>
      <c r="N184" s="6">
        <f t="shared" si="204"/>
        <v>1093016.93</v>
      </c>
      <c r="O184" s="6"/>
      <c r="P184" s="7">
        <v>1599615.0</v>
      </c>
      <c r="Q184" s="8">
        <f t="shared" si="205"/>
        <v>8105.569128</v>
      </c>
      <c r="R184" s="8">
        <f t="shared" si="206"/>
        <v>37488.25722</v>
      </c>
      <c r="S184" s="8">
        <f t="shared" si="207"/>
        <v>10930.1693</v>
      </c>
      <c r="T184" s="8">
        <f t="shared" si="208"/>
        <v>144278.2347</v>
      </c>
      <c r="U184" s="1"/>
      <c r="V184" s="1"/>
      <c r="W184" s="1"/>
      <c r="X184" s="1"/>
      <c r="Y184" s="1"/>
    </row>
    <row r="185">
      <c r="A185" s="1"/>
      <c r="B185" s="10">
        <v>2021.0</v>
      </c>
      <c r="C185" s="11">
        <v>329793.0</v>
      </c>
      <c r="D185" s="19">
        <f t="shared" si="197"/>
        <v>81887.6019</v>
      </c>
      <c r="E185" s="19">
        <f t="shared" si="198"/>
        <v>247905.3981</v>
      </c>
      <c r="F185" s="19"/>
      <c r="G185" s="8">
        <f t="shared" si="199"/>
        <v>1310.20163</v>
      </c>
      <c r="H185" s="8">
        <f t="shared" si="200"/>
        <v>6059.682541</v>
      </c>
      <c r="I185" s="8">
        <f t="shared" si="201"/>
        <v>2479.053981</v>
      </c>
      <c r="J185" s="8">
        <f t="shared" si="202"/>
        <v>32723.51255</v>
      </c>
      <c r="K185" s="1"/>
      <c r="L185" s="6">
        <v>2020.0</v>
      </c>
      <c r="M185" s="6">
        <f t="shared" si="203"/>
        <v>521162.7868</v>
      </c>
      <c r="N185" s="6">
        <f t="shared" si="204"/>
        <v>1124441.213</v>
      </c>
      <c r="O185" s="6"/>
      <c r="P185" s="7">
        <v>1645604.0</v>
      </c>
      <c r="Q185" s="8">
        <f t="shared" si="205"/>
        <v>8338.604589</v>
      </c>
      <c r="R185" s="8">
        <f t="shared" si="206"/>
        <v>38566.04622</v>
      </c>
      <c r="S185" s="8">
        <f t="shared" si="207"/>
        <v>11244.41213</v>
      </c>
      <c r="T185" s="8">
        <f t="shared" si="208"/>
        <v>148426.2401</v>
      </c>
      <c r="U185" s="1"/>
      <c r="V185" s="1"/>
      <c r="W185" s="1"/>
      <c r="X185" s="1"/>
      <c r="Y185" s="1"/>
    </row>
    <row r="186">
      <c r="A186" s="1"/>
      <c r="B186" s="1"/>
      <c r="C186" s="1"/>
      <c r="D186" s="2"/>
      <c r="E186" s="2"/>
      <c r="F186" s="2"/>
      <c r="G186" s="1"/>
      <c r="H186" s="1"/>
      <c r="I186" s="1"/>
      <c r="J186" s="1"/>
      <c r="K186" s="1"/>
      <c r="L186" s="10">
        <v>2021.0</v>
      </c>
      <c r="M186" s="6">
        <f t="shared" si="203"/>
        <v>535846.5823</v>
      </c>
      <c r="N186" s="6">
        <f t="shared" si="204"/>
        <v>1156122.418</v>
      </c>
      <c r="O186" s="10"/>
      <c r="P186" s="11">
        <v>1691969.0</v>
      </c>
      <c r="Q186" s="8">
        <f t="shared" si="205"/>
        <v>8573.545317</v>
      </c>
      <c r="R186" s="8">
        <f t="shared" si="206"/>
        <v>39652.64709</v>
      </c>
      <c r="S186" s="8">
        <f t="shared" si="207"/>
        <v>11561.22418</v>
      </c>
      <c r="T186" s="8">
        <f t="shared" si="208"/>
        <v>152608.1591</v>
      </c>
      <c r="U186" s="1"/>
      <c r="V186" s="1"/>
      <c r="W186" s="1"/>
      <c r="X186" s="1"/>
      <c r="Y186" s="1"/>
    </row>
    <row r="187">
      <c r="A187" s="1"/>
      <c r="B187" s="1"/>
      <c r="C187" s="4" t="s">
        <v>10</v>
      </c>
      <c r="D187" s="5" t="s">
        <v>11</v>
      </c>
      <c r="E187" s="5" t="s">
        <v>12</v>
      </c>
      <c r="F187" s="34"/>
      <c r="G187" s="3" t="s">
        <v>6</v>
      </c>
      <c r="H187" s="1" t="s">
        <v>7</v>
      </c>
      <c r="I187" s="1" t="s">
        <v>8</v>
      </c>
      <c r="J187" s="1" t="s">
        <v>9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8" t="s">
        <v>55</v>
      </c>
      <c r="C188" s="6">
        <v>2015.0</v>
      </c>
      <c r="D188" s="19">
        <f t="shared" ref="D188:D194" si="210">SUM(D179,D169)</f>
        <v>277075.7794</v>
      </c>
      <c r="E188" s="19">
        <f t="shared" ref="E188:E194" si="211">SUM(E169,E179)</f>
        <v>390742.2206</v>
      </c>
      <c r="F188" s="19"/>
      <c r="G188" s="8">
        <f t="shared" ref="G188:J188" si="209">G169+G179</f>
        <v>4433.21247</v>
      </c>
      <c r="H188" s="8">
        <f t="shared" si="209"/>
        <v>20532.54612</v>
      </c>
      <c r="I188" s="8">
        <f t="shared" si="209"/>
        <v>3907.422206</v>
      </c>
      <c r="J188" s="8">
        <f t="shared" si="209"/>
        <v>51577.97312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6">
        <v>2016.0</v>
      </c>
      <c r="D189" s="19">
        <f t="shared" si="210"/>
        <v>285711.9144</v>
      </c>
      <c r="E189" s="19">
        <f t="shared" si="211"/>
        <v>402921.0856</v>
      </c>
      <c r="F189" s="19"/>
      <c r="G189" s="8">
        <f t="shared" ref="G189:J189" si="212">G170+G180</f>
        <v>4571.39063</v>
      </c>
      <c r="H189" s="8">
        <f t="shared" si="212"/>
        <v>21172.52209</v>
      </c>
      <c r="I189" s="8">
        <f t="shared" si="212"/>
        <v>4029.210856</v>
      </c>
      <c r="J189" s="8">
        <f t="shared" si="212"/>
        <v>53185.5833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6">
        <v>2017.0</v>
      </c>
      <c r="D190" s="19">
        <f t="shared" si="210"/>
        <v>294439.6242</v>
      </c>
      <c r="E190" s="19">
        <f t="shared" si="211"/>
        <v>415229.3758</v>
      </c>
      <c r="F190" s="19"/>
      <c r="G190" s="8">
        <f t="shared" ref="G190:J190" si="213">G171+G181</f>
        <v>4711.033987</v>
      </c>
      <c r="H190" s="8">
        <f t="shared" si="213"/>
        <v>21819.28415</v>
      </c>
      <c r="I190" s="8">
        <f t="shared" si="213"/>
        <v>4152.293758</v>
      </c>
      <c r="J190" s="8">
        <f t="shared" si="213"/>
        <v>54810.27761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6">
        <v>2018.0</v>
      </c>
      <c r="D191" s="19">
        <f t="shared" si="210"/>
        <v>303253.6894</v>
      </c>
      <c r="E191" s="19">
        <f t="shared" si="211"/>
        <v>427659.3106</v>
      </c>
      <c r="F191" s="19"/>
      <c r="G191" s="8">
        <f t="shared" ref="G191:J191" si="214">G172+G182</f>
        <v>4852.05903</v>
      </c>
      <c r="H191" s="8">
        <f t="shared" si="214"/>
        <v>22472.44553</v>
      </c>
      <c r="I191" s="8">
        <f t="shared" si="214"/>
        <v>4276.593106</v>
      </c>
      <c r="J191" s="8">
        <f t="shared" si="214"/>
        <v>56451.029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6">
        <v>2019.0</v>
      </c>
      <c r="D192" s="19">
        <f t="shared" si="210"/>
        <v>312149.92</v>
      </c>
      <c r="E192" s="19">
        <f t="shared" si="211"/>
        <v>440205.08</v>
      </c>
      <c r="F192" s="19"/>
      <c r="G192" s="8">
        <f t="shared" ref="G192:J192" si="215">G173+G183</f>
        <v>4994.39872</v>
      </c>
      <c r="H192" s="8">
        <f t="shared" si="215"/>
        <v>23131.69574</v>
      </c>
      <c r="I192" s="8">
        <f t="shared" si="215"/>
        <v>4402.0508</v>
      </c>
      <c r="J192" s="8">
        <f t="shared" si="215"/>
        <v>58107.07056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6">
        <v>2020.0</v>
      </c>
      <c r="D193" s="19">
        <f t="shared" si="210"/>
        <v>321124.126</v>
      </c>
      <c r="E193" s="19">
        <f t="shared" si="211"/>
        <v>452860.874</v>
      </c>
      <c r="F193" s="19"/>
      <c r="G193" s="8">
        <f t="shared" ref="G193:J193" si="216">G174+G184</f>
        <v>5137.986016</v>
      </c>
      <c r="H193" s="8">
        <f t="shared" si="216"/>
        <v>23796.72427</v>
      </c>
      <c r="I193" s="8">
        <f t="shared" si="216"/>
        <v>4528.60874</v>
      </c>
      <c r="J193" s="8">
        <f t="shared" si="216"/>
        <v>59777.63537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0">
        <v>2021.0</v>
      </c>
      <c r="D194" s="19">
        <f t="shared" si="210"/>
        <v>330171.8691</v>
      </c>
      <c r="E194" s="19">
        <f t="shared" si="211"/>
        <v>465620.1309</v>
      </c>
      <c r="F194" s="19"/>
      <c r="G194" s="8">
        <f t="shared" ref="G194:J194" si="217">G175+G185</f>
        <v>5282.749906</v>
      </c>
      <c r="H194" s="8">
        <f t="shared" si="217"/>
        <v>24467.20224</v>
      </c>
      <c r="I194" s="8">
        <f t="shared" si="217"/>
        <v>4656.201309</v>
      </c>
      <c r="J194" s="8">
        <f t="shared" si="217"/>
        <v>61461.85728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D223" s="37"/>
      <c r="E223" s="37"/>
      <c r="F223" s="37"/>
    </row>
    <row r="224">
      <c r="D224" s="37"/>
      <c r="E224" s="37"/>
      <c r="F224" s="37"/>
    </row>
    <row r="225">
      <c r="D225" s="37"/>
      <c r="E225" s="37"/>
      <c r="F225" s="37"/>
    </row>
    <row r="226">
      <c r="D226" s="37"/>
      <c r="E226" s="37"/>
      <c r="F226" s="37"/>
    </row>
    <row r="227">
      <c r="D227" s="37"/>
      <c r="E227" s="37"/>
      <c r="F227" s="37"/>
    </row>
    <row r="228">
      <c r="D228" s="37"/>
      <c r="E228" s="37"/>
      <c r="F228" s="37"/>
    </row>
    <row r="229">
      <c r="D229" s="37"/>
      <c r="E229" s="37"/>
      <c r="F229" s="37"/>
    </row>
    <row r="230">
      <c r="D230" s="37"/>
      <c r="E230" s="37"/>
      <c r="F230" s="37"/>
    </row>
    <row r="231">
      <c r="D231" s="37"/>
      <c r="E231" s="37"/>
      <c r="F231" s="37"/>
    </row>
    <row r="232">
      <c r="D232" s="37"/>
      <c r="E232" s="37"/>
      <c r="F232" s="37"/>
    </row>
    <row r="233">
      <c r="D233" s="37"/>
      <c r="E233" s="37"/>
      <c r="F233" s="37"/>
    </row>
    <row r="234">
      <c r="D234" s="37"/>
      <c r="E234" s="37"/>
      <c r="F234" s="37"/>
    </row>
    <row r="235">
      <c r="D235" s="37"/>
      <c r="E235" s="37"/>
      <c r="F235" s="37"/>
    </row>
    <row r="236">
      <c r="D236" s="37"/>
      <c r="E236" s="37"/>
      <c r="F236" s="37"/>
    </row>
    <row r="237">
      <c r="D237" s="37"/>
      <c r="E237" s="37"/>
      <c r="F237" s="37"/>
    </row>
    <row r="238">
      <c r="D238" s="37"/>
      <c r="E238" s="37"/>
      <c r="F238" s="37"/>
    </row>
    <row r="239">
      <c r="D239" s="37"/>
      <c r="E239" s="37"/>
      <c r="F239" s="37"/>
    </row>
    <row r="240">
      <c r="D240" s="37"/>
      <c r="E240" s="37"/>
      <c r="F240" s="37"/>
    </row>
    <row r="241">
      <c r="D241" s="37"/>
      <c r="E241" s="37"/>
      <c r="F241" s="37"/>
    </row>
    <row r="242">
      <c r="D242" s="37"/>
      <c r="E242" s="37"/>
      <c r="F242" s="37"/>
    </row>
    <row r="243">
      <c r="D243" s="37"/>
      <c r="E243" s="37"/>
      <c r="F243" s="37"/>
    </row>
    <row r="244">
      <c r="D244" s="37"/>
      <c r="E244" s="37"/>
      <c r="F244" s="37"/>
    </row>
    <row r="245">
      <c r="D245" s="37"/>
      <c r="E245" s="37"/>
      <c r="F245" s="37"/>
    </row>
    <row r="246">
      <c r="D246" s="37"/>
      <c r="E246" s="37"/>
      <c r="F246" s="37"/>
    </row>
    <row r="247">
      <c r="D247" s="37"/>
      <c r="E247" s="37"/>
      <c r="F247" s="37"/>
    </row>
    <row r="248">
      <c r="D248" s="37"/>
      <c r="E248" s="37"/>
      <c r="F248" s="37"/>
    </row>
    <row r="249">
      <c r="D249" s="37"/>
      <c r="E249" s="37"/>
      <c r="F249" s="37"/>
    </row>
    <row r="250">
      <c r="D250" s="37"/>
      <c r="E250" s="37"/>
      <c r="F250" s="37"/>
    </row>
    <row r="251">
      <c r="D251" s="37"/>
      <c r="E251" s="37"/>
      <c r="F251" s="37"/>
    </row>
    <row r="252">
      <c r="D252" s="37"/>
      <c r="E252" s="37"/>
      <c r="F252" s="37"/>
    </row>
    <row r="253">
      <c r="D253" s="37"/>
      <c r="E253" s="37"/>
      <c r="F253" s="37"/>
    </row>
    <row r="254">
      <c r="D254" s="37"/>
      <c r="E254" s="37"/>
      <c r="F254" s="37"/>
    </row>
    <row r="255">
      <c r="D255" s="37"/>
      <c r="E255" s="37"/>
      <c r="F255" s="37"/>
    </row>
    <row r="256">
      <c r="D256" s="37"/>
      <c r="E256" s="37"/>
      <c r="F256" s="37"/>
    </row>
    <row r="257">
      <c r="D257" s="37"/>
      <c r="E257" s="37"/>
      <c r="F257" s="37"/>
    </row>
    <row r="258">
      <c r="D258" s="37"/>
      <c r="E258" s="37"/>
      <c r="F258" s="37"/>
    </row>
    <row r="259">
      <c r="D259" s="37"/>
      <c r="E259" s="37"/>
      <c r="F259" s="37"/>
    </row>
    <row r="260">
      <c r="D260" s="37"/>
      <c r="E260" s="37"/>
      <c r="F260" s="37"/>
    </row>
    <row r="261">
      <c r="D261" s="37"/>
      <c r="E261" s="37"/>
      <c r="F261" s="37"/>
    </row>
    <row r="262">
      <c r="D262" s="37"/>
      <c r="E262" s="37"/>
      <c r="F262" s="37"/>
    </row>
    <row r="263">
      <c r="D263" s="37"/>
      <c r="E263" s="37"/>
      <c r="F263" s="37"/>
    </row>
    <row r="264">
      <c r="D264" s="37"/>
      <c r="E264" s="37"/>
      <c r="F264" s="37"/>
    </row>
    <row r="265">
      <c r="D265" s="37"/>
      <c r="E265" s="37"/>
      <c r="F265" s="37"/>
    </row>
    <row r="266">
      <c r="D266" s="37"/>
      <c r="E266" s="37"/>
      <c r="F266" s="37"/>
    </row>
    <row r="267">
      <c r="D267" s="37"/>
      <c r="E267" s="37"/>
      <c r="F267" s="37"/>
    </row>
    <row r="268">
      <c r="D268" s="37"/>
      <c r="E268" s="37"/>
      <c r="F268" s="37"/>
    </row>
    <row r="269">
      <c r="D269" s="37"/>
      <c r="E269" s="37"/>
      <c r="F269" s="37"/>
    </row>
    <row r="270">
      <c r="D270" s="37"/>
      <c r="E270" s="37"/>
      <c r="F270" s="37"/>
    </row>
    <row r="271">
      <c r="D271" s="37"/>
      <c r="E271" s="37"/>
      <c r="F271" s="37"/>
    </row>
    <row r="272">
      <c r="D272" s="37"/>
      <c r="E272" s="37"/>
      <c r="F272" s="37"/>
    </row>
    <row r="273">
      <c r="D273" s="37"/>
      <c r="E273" s="37"/>
      <c r="F273" s="37"/>
    </row>
    <row r="274">
      <c r="D274" s="37"/>
      <c r="E274" s="37"/>
      <c r="F274" s="37"/>
    </row>
    <row r="275">
      <c r="D275" s="37"/>
      <c r="E275" s="37"/>
      <c r="F275" s="37"/>
    </row>
    <row r="276">
      <c r="D276" s="37"/>
      <c r="E276" s="37"/>
      <c r="F276" s="37"/>
    </row>
    <row r="277">
      <c r="D277" s="37"/>
      <c r="E277" s="37"/>
      <c r="F277" s="37"/>
    </row>
    <row r="278">
      <c r="D278" s="37"/>
      <c r="E278" s="37"/>
      <c r="F278" s="37"/>
    </row>
    <row r="279">
      <c r="D279" s="37"/>
      <c r="E279" s="37"/>
      <c r="F279" s="37"/>
    </row>
    <row r="280">
      <c r="D280" s="37"/>
      <c r="E280" s="37"/>
      <c r="F280" s="37"/>
    </row>
    <row r="281">
      <c r="D281" s="37"/>
      <c r="E281" s="37"/>
      <c r="F281" s="37"/>
    </row>
    <row r="282">
      <c r="D282" s="37"/>
      <c r="E282" s="37"/>
      <c r="F282" s="37"/>
    </row>
    <row r="283">
      <c r="D283" s="37"/>
      <c r="E283" s="37"/>
      <c r="F283" s="37"/>
    </row>
    <row r="284">
      <c r="D284" s="37"/>
      <c r="E284" s="37"/>
      <c r="F284" s="37"/>
    </row>
    <row r="285">
      <c r="D285" s="37"/>
      <c r="E285" s="37"/>
      <c r="F285" s="37"/>
    </row>
    <row r="286">
      <c r="D286" s="37"/>
      <c r="E286" s="37"/>
      <c r="F286" s="37"/>
    </row>
    <row r="287">
      <c r="D287" s="37"/>
      <c r="E287" s="37"/>
      <c r="F287" s="37"/>
    </row>
    <row r="288">
      <c r="D288" s="37"/>
      <c r="E288" s="37"/>
      <c r="F288" s="37"/>
    </row>
    <row r="289">
      <c r="D289" s="37"/>
      <c r="E289" s="37"/>
      <c r="F289" s="37"/>
    </row>
    <row r="290">
      <c r="D290" s="37"/>
      <c r="E290" s="37"/>
      <c r="F290" s="37"/>
    </row>
    <row r="291">
      <c r="D291" s="37"/>
      <c r="E291" s="37"/>
      <c r="F291" s="37"/>
    </row>
    <row r="292">
      <c r="D292" s="37"/>
      <c r="E292" s="37"/>
      <c r="F292" s="37"/>
    </row>
    <row r="293">
      <c r="D293" s="37"/>
      <c r="E293" s="37"/>
      <c r="F293" s="37"/>
    </row>
    <row r="294">
      <c r="D294" s="37"/>
      <c r="E294" s="37"/>
      <c r="F294" s="37"/>
    </row>
    <row r="295">
      <c r="D295" s="37"/>
      <c r="E295" s="37"/>
      <c r="F295" s="37"/>
    </row>
    <row r="296">
      <c r="D296" s="37"/>
      <c r="E296" s="37"/>
      <c r="F296" s="37"/>
    </row>
    <row r="297">
      <c r="D297" s="37"/>
      <c r="E297" s="37"/>
      <c r="F297" s="37"/>
    </row>
    <row r="298">
      <c r="D298" s="37"/>
      <c r="E298" s="37"/>
      <c r="F298" s="37"/>
    </row>
    <row r="299">
      <c r="D299" s="37"/>
      <c r="E299" s="37"/>
      <c r="F299" s="37"/>
    </row>
    <row r="300">
      <c r="D300" s="37"/>
      <c r="E300" s="37"/>
      <c r="F300" s="37"/>
    </row>
    <row r="301">
      <c r="D301" s="37"/>
      <c r="E301" s="37"/>
      <c r="F301" s="37"/>
    </row>
    <row r="302">
      <c r="D302" s="37"/>
      <c r="E302" s="37"/>
      <c r="F302" s="37"/>
    </row>
    <row r="303">
      <c r="D303" s="37"/>
      <c r="E303" s="37"/>
      <c r="F303" s="37"/>
    </row>
    <row r="304">
      <c r="D304" s="37"/>
      <c r="E304" s="37"/>
      <c r="F304" s="37"/>
    </row>
    <row r="305">
      <c r="D305" s="37"/>
      <c r="E305" s="37"/>
      <c r="F305" s="37"/>
    </row>
    <row r="306">
      <c r="D306" s="37"/>
      <c r="E306" s="37"/>
      <c r="F306" s="37"/>
    </row>
    <row r="307">
      <c r="D307" s="37"/>
      <c r="E307" s="37"/>
      <c r="F307" s="37"/>
    </row>
    <row r="308">
      <c r="D308" s="37"/>
      <c r="E308" s="37"/>
      <c r="F308" s="37"/>
    </row>
    <row r="309">
      <c r="D309" s="37"/>
      <c r="E309" s="37"/>
      <c r="F309" s="37"/>
    </row>
    <row r="310">
      <c r="D310" s="37"/>
      <c r="E310" s="37"/>
      <c r="F310" s="37"/>
    </row>
    <row r="311">
      <c r="D311" s="37"/>
      <c r="E311" s="37"/>
      <c r="F311" s="37"/>
    </row>
    <row r="312">
      <c r="D312" s="37"/>
      <c r="E312" s="37"/>
      <c r="F312" s="37"/>
    </row>
    <row r="313">
      <c r="D313" s="37"/>
      <c r="E313" s="37"/>
      <c r="F313" s="37"/>
    </row>
    <row r="314">
      <c r="D314" s="37"/>
      <c r="E314" s="37"/>
      <c r="F314" s="37"/>
    </row>
    <row r="315">
      <c r="D315" s="37"/>
      <c r="E315" s="37"/>
      <c r="F315" s="37"/>
    </row>
    <row r="316">
      <c r="D316" s="37"/>
      <c r="E316" s="37"/>
      <c r="F316" s="37"/>
    </row>
    <row r="317">
      <c r="D317" s="37"/>
      <c r="E317" s="37"/>
      <c r="F317" s="37"/>
    </row>
    <row r="318">
      <c r="D318" s="37"/>
      <c r="E318" s="37"/>
      <c r="F318" s="37"/>
    </row>
    <row r="319">
      <c r="D319" s="37"/>
      <c r="E319" s="37"/>
      <c r="F319" s="37"/>
    </row>
    <row r="320">
      <c r="D320" s="37"/>
      <c r="E320" s="37"/>
      <c r="F320" s="37"/>
    </row>
    <row r="321">
      <c r="D321" s="37"/>
      <c r="E321" s="37"/>
      <c r="F321" s="37"/>
    </row>
    <row r="322">
      <c r="D322" s="37"/>
      <c r="E322" s="37"/>
      <c r="F322" s="37"/>
    </row>
    <row r="323">
      <c r="D323" s="37"/>
      <c r="E323" s="37"/>
      <c r="F323" s="37"/>
    </row>
    <row r="324">
      <c r="D324" s="37"/>
      <c r="E324" s="37"/>
      <c r="F324" s="37"/>
    </row>
    <row r="325">
      <c r="D325" s="37"/>
      <c r="E325" s="37"/>
      <c r="F325" s="37"/>
    </row>
    <row r="326">
      <c r="D326" s="37"/>
      <c r="E326" s="37"/>
      <c r="F326" s="37"/>
    </row>
    <row r="327">
      <c r="D327" s="37"/>
      <c r="E327" s="37"/>
      <c r="F327" s="37"/>
    </row>
    <row r="328">
      <c r="D328" s="37"/>
      <c r="E328" s="37"/>
      <c r="F328" s="37"/>
    </row>
    <row r="329">
      <c r="D329" s="37"/>
      <c r="E329" s="37"/>
      <c r="F329" s="37"/>
    </row>
    <row r="330">
      <c r="D330" s="37"/>
      <c r="E330" s="37"/>
      <c r="F330" s="37"/>
    </row>
    <row r="331">
      <c r="D331" s="37"/>
      <c r="E331" s="37"/>
      <c r="F331" s="37"/>
    </row>
    <row r="332">
      <c r="D332" s="37"/>
      <c r="E332" s="37"/>
      <c r="F332" s="37"/>
    </row>
    <row r="333">
      <c r="D333" s="37"/>
      <c r="E333" s="37"/>
      <c r="F333" s="37"/>
    </row>
    <row r="334">
      <c r="D334" s="37"/>
      <c r="E334" s="37"/>
      <c r="F334" s="37"/>
    </row>
    <row r="335">
      <c r="D335" s="37"/>
      <c r="E335" s="37"/>
      <c r="F335" s="37"/>
    </row>
    <row r="336">
      <c r="D336" s="37"/>
      <c r="E336" s="37"/>
      <c r="F336" s="37"/>
    </row>
    <row r="337">
      <c r="D337" s="37"/>
      <c r="E337" s="37"/>
      <c r="F337" s="37"/>
    </row>
    <row r="338">
      <c r="D338" s="37"/>
      <c r="E338" s="37"/>
      <c r="F338" s="37"/>
    </row>
    <row r="339">
      <c r="D339" s="37"/>
      <c r="E339" s="37"/>
      <c r="F339" s="37"/>
    </row>
    <row r="340">
      <c r="D340" s="37"/>
      <c r="E340" s="37"/>
      <c r="F340" s="37"/>
    </row>
    <row r="341">
      <c r="D341" s="37"/>
      <c r="E341" s="37"/>
      <c r="F341" s="37"/>
    </row>
    <row r="342">
      <c r="D342" s="37"/>
      <c r="E342" s="37"/>
      <c r="F342" s="37"/>
    </row>
    <row r="343">
      <c r="D343" s="37"/>
      <c r="E343" s="37"/>
      <c r="F343" s="37"/>
    </row>
    <row r="344">
      <c r="D344" s="37"/>
      <c r="E344" s="37"/>
      <c r="F344" s="37"/>
    </row>
    <row r="345">
      <c r="D345" s="37"/>
      <c r="E345" s="37"/>
      <c r="F345" s="37"/>
    </row>
    <row r="346">
      <c r="D346" s="37"/>
      <c r="E346" s="37"/>
      <c r="F346" s="37"/>
    </row>
    <row r="347">
      <c r="D347" s="37"/>
      <c r="E347" s="37"/>
      <c r="F347" s="37"/>
    </row>
    <row r="348">
      <c r="D348" s="37"/>
      <c r="E348" s="37"/>
      <c r="F348" s="37"/>
    </row>
    <row r="349">
      <c r="D349" s="37"/>
      <c r="E349" s="37"/>
      <c r="F349" s="37"/>
    </row>
    <row r="350">
      <c r="D350" s="37"/>
      <c r="E350" s="37"/>
      <c r="F350" s="37"/>
    </row>
    <row r="351">
      <c r="D351" s="37"/>
      <c r="E351" s="37"/>
      <c r="F351" s="37"/>
    </row>
    <row r="352">
      <c r="D352" s="37"/>
      <c r="E352" s="37"/>
      <c r="F352" s="37"/>
    </row>
    <row r="353">
      <c r="D353" s="37"/>
      <c r="E353" s="37"/>
      <c r="F353" s="37"/>
    </row>
    <row r="354">
      <c r="D354" s="37"/>
      <c r="E354" s="37"/>
      <c r="F354" s="37"/>
    </row>
    <row r="355">
      <c r="D355" s="37"/>
      <c r="E355" s="37"/>
      <c r="F355" s="37"/>
    </row>
    <row r="356">
      <c r="D356" s="37"/>
      <c r="E356" s="37"/>
      <c r="F356" s="37"/>
    </row>
    <row r="357">
      <c r="D357" s="37"/>
      <c r="E357" s="37"/>
      <c r="F357" s="37"/>
    </row>
    <row r="358">
      <c r="D358" s="37"/>
      <c r="E358" s="37"/>
      <c r="F358" s="37"/>
    </row>
    <row r="359">
      <c r="D359" s="37"/>
      <c r="E359" s="37"/>
      <c r="F359" s="37"/>
    </row>
    <row r="360">
      <c r="D360" s="37"/>
      <c r="E360" s="37"/>
      <c r="F360" s="37"/>
    </row>
    <row r="361">
      <c r="D361" s="37"/>
      <c r="E361" s="37"/>
      <c r="F361" s="37"/>
    </row>
    <row r="362">
      <c r="D362" s="37"/>
      <c r="E362" s="37"/>
      <c r="F362" s="37"/>
    </row>
    <row r="363">
      <c r="D363" s="37"/>
      <c r="E363" s="37"/>
      <c r="F363" s="37"/>
    </row>
    <row r="364">
      <c r="D364" s="37"/>
      <c r="E364" s="37"/>
      <c r="F364" s="37"/>
    </row>
    <row r="365">
      <c r="D365" s="37"/>
      <c r="E365" s="37"/>
      <c r="F365" s="37"/>
    </row>
    <row r="366">
      <c r="D366" s="37"/>
      <c r="E366" s="37"/>
      <c r="F366" s="37"/>
    </row>
    <row r="367">
      <c r="D367" s="37"/>
      <c r="E367" s="37"/>
      <c r="F367" s="37"/>
    </row>
    <row r="368">
      <c r="D368" s="37"/>
      <c r="E368" s="37"/>
      <c r="F368" s="37"/>
    </row>
    <row r="369">
      <c r="D369" s="37"/>
      <c r="E369" s="37"/>
      <c r="F369" s="37"/>
    </row>
    <row r="370">
      <c r="D370" s="37"/>
      <c r="E370" s="37"/>
      <c r="F370" s="37"/>
    </row>
    <row r="371">
      <c r="D371" s="37"/>
      <c r="E371" s="37"/>
      <c r="F371" s="37"/>
    </row>
    <row r="372">
      <c r="D372" s="37"/>
      <c r="E372" s="37"/>
      <c r="F372" s="37"/>
    </row>
    <row r="373">
      <c r="D373" s="37"/>
      <c r="E373" s="37"/>
      <c r="F373" s="37"/>
    </row>
    <row r="374">
      <c r="D374" s="37"/>
      <c r="E374" s="37"/>
      <c r="F374" s="37"/>
    </row>
    <row r="375">
      <c r="D375" s="37"/>
      <c r="E375" s="37"/>
      <c r="F375" s="37"/>
    </row>
    <row r="376">
      <c r="D376" s="37"/>
      <c r="E376" s="37"/>
      <c r="F376" s="37"/>
    </row>
    <row r="377">
      <c r="D377" s="37"/>
      <c r="E377" s="37"/>
      <c r="F377" s="37"/>
    </row>
    <row r="378">
      <c r="D378" s="37"/>
      <c r="E378" s="37"/>
      <c r="F378" s="37"/>
    </row>
    <row r="379">
      <c r="D379" s="37"/>
      <c r="E379" s="37"/>
      <c r="F379" s="37"/>
    </row>
    <row r="380">
      <c r="D380" s="37"/>
      <c r="E380" s="37"/>
      <c r="F380" s="37"/>
    </row>
    <row r="381">
      <c r="D381" s="37"/>
      <c r="E381" s="37"/>
      <c r="F381" s="37"/>
    </row>
    <row r="382">
      <c r="D382" s="37"/>
      <c r="E382" s="37"/>
      <c r="F382" s="37"/>
    </row>
    <row r="383">
      <c r="D383" s="37"/>
      <c r="E383" s="37"/>
      <c r="F383" s="37"/>
    </row>
    <row r="384">
      <c r="D384" s="37"/>
      <c r="E384" s="37"/>
      <c r="F384" s="37"/>
    </row>
    <row r="385">
      <c r="D385" s="37"/>
      <c r="E385" s="37"/>
      <c r="F385" s="37"/>
    </row>
    <row r="386">
      <c r="D386" s="37"/>
      <c r="E386" s="37"/>
      <c r="F386" s="37"/>
    </row>
    <row r="387">
      <c r="D387" s="37"/>
      <c r="E387" s="37"/>
      <c r="F387" s="37"/>
    </row>
    <row r="388">
      <c r="D388" s="37"/>
      <c r="E388" s="37"/>
      <c r="F388" s="37"/>
    </row>
    <row r="389">
      <c r="D389" s="37"/>
      <c r="E389" s="37"/>
      <c r="F389" s="37"/>
    </row>
    <row r="390">
      <c r="D390" s="37"/>
      <c r="E390" s="37"/>
      <c r="F390" s="37"/>
    </row>
    <row r="391">
      <c r="D391" s="37"/>
      <c r="E391" s="37"/>
      <c r="F391" s="37"/>
    </row>
    <row r="392">
      <c r="D392" s="37"/>
      <c r="E392" s="37"/>
      <c r="F392" s="37"/>
    </row>
    <row r="393">
      <c r="D393" s="37"/>
      <c r="E393" s="37"/>
      <c r="F393" s="37"/>
    </row>
    <row r="394">
      <c r="D394" s="37"/>
      <c r="E394" s="37"/>
      <c r="F394" s="37"/>
    </row>
    <row r="395">
      <c r="D395" s="37"/>
      <c r="E395" s="37"/>
      <c r="F395" s="37"/>
    </row>
    <row r="396">
      <c r="D396" s="37"/>
      <c r="E396" s="37"/>
      <c r="F396" s="37"/>
    </row>
    <row r="397">
      <c r="D397" s="37"/>
      <c r="E397" s="37"/>
      <c r="F397" s="37"/>
    </row>
    <row r="398">
      <c r="D398" s="37"/>
      <c r="E398" s="37"/>
      <c r="F398" s="37"/>
    </row>
    <row r="399">
      <c r="D399" s="37"/>
      <c r="E399" s="37"/>
      <c r="F399" s="37"/>
    </row>
    <row r="400">
      <c r="D400" s="37"/>
      <c r="E400" s="37"/>
      <c r="F400" s="37"/>
    </row>
    <row r="401">
      <c r="D401" s="37"/>
      <c r="E401" s="37"/>
      <c r="F401" s="37"/>
    </row>
    <row r="402">
      <c r="D402" s="37"/>
      <c r="E402" s="37"/>
      <c r="F402" s="37"/>
    </row>
    <row r="403">
      <c r="D403" s="37"/>
      <c r="E403" s="37"/>
      <c r="F403" s="37"/>
    </row>
    <row r="404">
      <c r="D404" s="37"/>
      <c r="E404" s="37"/>
      <c r="F404" s="37"/>
    </row>
    <row r="405">
      <c r="D405" s="37"/>
      <c r="E405" s="37"/>
      <c r="F405" s="37"/>
    </row>
    <row r="406">
      <c r="D406" s="37"/>
      <c r="E406" s="37"/>
      <c r="F406" s="37"/>
    </row>
    <row r="407">
      <c r="D407" s="37"/>
      <c r="E407" s="37"/>
      <c r="F407" s="37"/>
    </row>
    <row r="408">
      <c r="D408" s="37"/>
      <c r="E408" s="37"/>
      <c r="F408" s="37"/>
    </row>
    <row r="409">
      <c r="D409" s="37"/>
      <c r="E409" s="37"/>
      <c r="F409" s="37"/>
    </row>
    <row r="410">
      <c r="D410" s="37"/>
      <c r="E410" s="37"/>
      <c r="F410" s="37"/>
    </row>
    <row r="411">
      <c r="D411" s="37"/>
      <c r="E411" s="37"/>
      <c r="F411" s="37"/>
    </row>
    <row r="412">
      <c r="D412" s="37"/>
      <c r="E412" s="37"/>
      <c r="F412" s="37"/>
    </row>
    <row r="413">
      <c r="D413" s="37"/>
      <c r="E413" s="37"/>
      <c r="F413" s="37"/>
    </row>
    <row r="414">
      <c r="D414" s="37"/>
      <c r="E414" s="37"/>
      <c r="F414" s="37"/>
    </row>
    <row r="415">
      <c r="D415" s="37"/>
      <c r="E415" s="37"/>
      <c r="F415" s="37"/>
    </row>
    <row r="416">
      <c r="D416" s="37"/>
      <c r="E416" s="37"/>
      <c r="F416" s="37"/>
    </row>
    <row r="417">
      <c r="D417" s="37"/>
      <c r="E417" s="37"/>
      <c r="F417" s="37"/>
    </row>
    <row r="418">
      <c r="D418" s="37"/>
      <c r="E418" s="37"/>
      <c r="F418" s="37"/>
    </row>
    <row r="419">
      <c r="D419" s="37"/>
      <c r="E419" s="37"/>
      <c r="F419" s="37"/>
    </row>
    <row r="420">
      <c r="D420" s="37"/>
      <c r="E420" s="37"/>
      <c r="F420" s="37"/>
    </row>
    <row r="421">
      <c r="D421" s="37"/>
      <c r="E421" s="37"/>
      <c r="F421" s="37"/>
    </row>
    <row r="422">
      <c r="D422" s="37"/>
      <c r="E422" s="37"/>
      <c r="F422" s="37"/>
    </row>
    <row r="423">
      <c r="D423" s="37"/>
      <c r="E423" s="37"/>
      <c r="F423" s="37"/>
    </row>
    <row r="424">
      <c r="D424" s="37"/>
      <c r="E424" s="37"/>
      <c r="F424" s="37"/>
    </row>
    <row r="425">
      <c r="D425" s="37"/>
      <c r="E425" s="37"/>
      <c r="F425" s="37"/>
    </row>
    <row r="426">
      <c r="D426" s="37"/>
      <c r="E426" s="37"/>
      <c r="F426" s="37"/>
    </row>
    <row r="427">
      <c r="D427" s="37"/>
      <c r="E427" s="37"/>
      <c r="F427" s="37"/>
    </row>
    <row r="428">
      <c r="D428" s="37"/>
      <c r="E428" s="37"/>
      <c r="F428" s="37"/>
    </row>
    <row r="429">
      <c r="D429" s="37"/>
      <c r="E429" s="37"/>
      <c r="F429" s="37"/>
    </row>
    <row r="430">
      <c r="D430" s="37"/>
      <c r="E430" s="37"/>
      <c r="F430" s="37"/>
    </row>
    <row r="431">
      <c r="D431" s="37"/>
      <c r="E431" s="37"/>
      <c r="F431" s="37"/>
    </row>
    <row r="432">
      <c r="D432" s="37"/>
      <c r="E432" s="37"/>
      <c r="F432" s="37"/>
    </row>
    <row r="433">
      <c r="D433" s="37"/>
      <c r="E433" s="37"/>
      <c r="F433" s="37"/>
    </row>
    <row r="434">
      <c r="D434" s="37"/>
      <c r="E434" s="37"/>
      <c r="F434" s="37"/>
    </row>
    <row r="435">
      <c r="D435" s="37"/>
      <c r="E435" s="37"/>
      <c r="F435" s="37"/>
    </row>
    <row r="436">
      <c r="D436" s="37"/>
      <c r="E436" s="37"/>
      <c r="F436" s="37"/>
    </row>
    <row r="437">
      <c r="D437" s="37"/>
      <c r="E437" s="37"/>
      <c r="F437" s="37"/>
    </row>
    <row r="438">
      <c r="D438" s="37"/>
      <c r="E438" s="37"/>
      <c r="F438" s="37"/>
    </row>
    <row r="439">
      <c r="D439" s="37"/>
      <c r="E439" s="37"/>
      <c r="F439" s="37"/>
    </row>
    <row r="440">
      <c r="D440" s="37"/>
      <c r="E440" s="37"/>
      <c r="F440" s="37"/>
    </row>
    <row r="441">
      <c r="D441" s="37"/>
      <c r="E441" s="37"/>
      <c r="F441" s="37"/>
    </row>
    <row r="442">
      <c r="D442" s="37"/>
      <c r="E442" s="37"/>
      <c r="F442" s="37"/>
    </row>
    <row r="443">
      <c r="D443" s="37"/>
      <c r="E443" s="37"/>
      <c r="F443" s="37"/>
    </row>
    <row r="444">
      <c r="D444" s="37"/>
      <c r="E444" s="37"/>
      <c r="F444" s="37"/>
    </row>
    <row r="445">
      <c r="D445" s="37"/>
      <c r="E445" s="37"/>
      <c r="F445" s="37"/>
    </row>
    <row r="446">
      <c r="D446" s="37"/>
      <c r="E446" s="37"/>
      <c r="F446" s="37"/>
    </row>
    <row r="447">
      <c r="D447" s="37"/>
      <c r="E447" s="37"/>
      <c r="F447" s="37"/>
    </row>
    <row r="448">
      <c r="D448" s="37"/>
      <c r="E448" s="37"/>
      <c r="F448" s="37"/>
    </row>
    <row r="449">
      <c r="D449" s="37"/>
      <c r="E449" s="37"/>
      <c r="F449" s="37"/>
    </row>
    <row r="450">
      <c r="D450" s="37"/>
      <c r="E450" s="37"/>
      <c r="F450" s="37"/>
    </row>
    <row r="451">
      <c r="D451" s="37"/>
      <c r="E451" s="37"/>
      <c r="F451" s="37"/>
    </row>
    <row r="452">
      <c r="D452" s="37"/>
      <c r="E452" s="37"/>
      <c r="F452" s="37"/>
    </row>
    <row r="453">
      <c r="D453" s="37"/>
      <c r="E453" s="37"/>
      <c r="F453" s="37"/>
    </row>
    <row r="454">
      <c r="D454" s="37"/>
      <c r="E454" s="37"/>
      <c r="F454" s="37"/>
    </row>
    <row r="455">
      <c r="D455" s="37"/>
      <c r="E455" s="37"/>
      <c r="F455" s="37"/>
    </row>
    <row r="456">
      <c r="D456" s="37"/>
      <c r="E456" s="37"/>
      <c r="F456" s="37"/>
    </row>
    <row r="457">
      <c r="D457" s="37"/>
      <c r="E457" s="37"/>
      <c r="F457" s="37"/>
    </row>
    <row r="458">
      <c r="D458" s="37"/>
      <c r="E458" s="37"/>
      <c r="F458" s="37"/>
    </row>
    <row r="459">
      <c r="D459" s="37"/>
      <c r="E459" s="37"/>
      <c r="F459" s="37"/>
    </row>
    <row r="460">
      <c r="D460" s="37"/>
      <c r="E460" s="37"/>
      <c r="F460" s="37"/>
    </row>
    <row r="461">
      <c r="D461" s="37"/>
      <c r="E461" s="37"/>
      <c r="F461" s="37"/>
    </row>
    <row r="462">
      <c r="D462" s="37"/>
      <c r="E462" s="37"/>
      <c r="F462" s="37"/>
    </row>
    <row r="463">
      <c r="D463" s="37"/>
      <c r="E463" s="37"/>
      <c r="F463" s="37"/>
    </row>
    <row r="464">
      <c r="D464" s="37"/>
      <c r="E464" s="37"/>
      <c r="F464" s="37"/>
    </row>
    <row r="465">
      <c r="D465" s="37"/>
      <c r="E465" s="37"/>
      <c r="F465" s="37"/>
    </row>
    <row r="466">
      <c r="D466" s="37"/>
      <c r="E466" s="37"/>
      <c r="F466" s="37"/>
    </row>
    <row r="467">
      <c r="D467" s="37"/>
      <c r="E467" s="37"/>
      <c r="F467" s="37"/>
    </row>
    <row r="468">
      <c r="D468" s="37"/>
      <c r="E468" s="37"/>
      <c r="F468" s="37"/>
    </row>
    <row r="469">
      <c r="D469" s="37"/>
      <c r="E469" s="37"/>
      <c r="F469" s="37"/>
    </row>
    <row r="470">
      <c r="D470" s="37"/>
      <c r="E470" s="37"/>
      <c r="F470" s="37"/>
    </row>
    <row r="471">
      <c r="D471" s="37"/>
      <c r="E471" s="37"/>
      <c r="F471" s="37"/>
    </row>
    <row r="472">
      <c r="D472" s="37"/>
      <c r="E472" s="37"/>
      <c r="F472" s="37"/>
    </row>
    <row r="473">
      <c r="D473" s="37"/>
      <c r="E473" s="37"/>
      <c r="F473" s="37"/>
    </row>
    <row r="474">
      <c r="D474" s="37"/>
      <c r="E474" s="37"/>
      <c r="F474" s="37"/>
    </row>
    <row r="475">
      <c r="D475" s="37"/>
      <c r="E475" s="37"/>
      <c r="F475" s="37"/>
    </row>
    <row r="476">
      <c r="D476" s="37"/>
      <c r="E476" s="37"/>
      <c r="F476" s="37"/>
    </row>
    <row r="477">
      <c r="D477" s="37"/>
      <c r="E477" s="37"/>
      <c r="F477" s="37"/>
    </row>
    <row r="478">
      <c r="D478" s="37"/>
      <c r="E478" s="37"/>
      <c r="F478" s="37"/>
    </row>
    <row r="479">
      <c r="D479" s="37"/>
      <c r="E479" s="37"/>
      <c r="F479" s="37"/>
    </row>
    <row r="480">
      <c r="D480" s="37"/>
      <c r="E480" s="37"/>
      <c r="F480" s="37"/>
    </row>
    <row r="481">
      <c r="D481" s="37"/>
      <c r="E481" s="37"/>
      <c r="F481" s="37"/>
    </row>
    <row r="482">
      <c r="D482" s="37"/>
      <c r="E482" s="37"/>
      <c r="F482" s="37"/>
    </row>
    <row r="483">
      <c r="D483" s="37"/>
      <c r="E483" s="37"/>
      <c r="F483" s="37"/>
    </row>
    <row r="484">
      <c r="D484" s="37"/>
      <c r="E484" s="37"/>
      <c r="F484" s="37"/>
    </row>
    <row r="485">
      <c r="D485" s="37"/>
      <c r="E485" s="37"/>
      <c r="F485" s="37"/>
    </row>
    <row r="486">
      <c r="D486" s="37"/>
      <c r="E486" s="37"/>
      <c r="F486" s="37"/>
    </row>
    <row r="487">
      <c r="D487" s="37"/>
      <c r="E487" s="37"/>
      <c r="F487" s="37"/>
    </row>
    <row r="488">
      <c r="D488" s="37"/>
      <c r="E488" s="37"/>
      <c r="F488" s="37"/>
    </row>
    <row r="489">
      <c r="D489" s="37"/>
      <c r="E489" s="37"/>
      <c r="F489" s="37"/>
    </row>
    <row r="490">
      <c r="D490" s="37"/>
      <c r="E490" s="37"/>
      <c r="F490" s="37"/>
    </row>
    <row r="491">
      <c r="D491" s="37"/>
      <c r="E491" s="37"/>
      <c r="F491" s="37"/>
    </row>
    <row r="492">
      <c r="D492" s="37"/>
      <c r="E492" s="37"/>
      <c r="F492" s="37"/>
    </row>
    <row r="493">
      <c r="D493" s="37"/>
      <c r="E493" s="37"/>
      <c r="F493" s="37"/>
    </row>
    <row r="494">
      <c r="D494" s="37"/>
      <c r="E494" s="37"/>
      <c r="F494" s="37"/>
    </row>
    <row r="495">
      <c r="D495" s="37"/>
      <c r="E495" s="37"/>
      <c r="F495" s="37"/>
    </row>
    <row r="496">
      <c r="D496" s="37"/>
      <c r="E496" s="37"/>
      <c r="F496" s="37"/>
    </row>
    <row r="497">
      <c r="D497" s="37"/>
      <c r="E497" s="37"/>
      <c r="F497" s="37"/>
    </row>
    <row r="498">
      <c r="D498" s="37"/>
      <c r="E498" s="37"/>
      <c r="F498" s="37"/>
    </row>
    <row r="499">
      <c r="D499" s="37"/>
      <c r="E499" s="37"/>
      <c r="F499" s="37"/>
    </row>
    <row r="500">
      <c r="D500" s="37"/>
      <c r="E500" s="37"/>
      <c r="F500" s="37"/>
    </row>
    <row r="501">
      <c r="D501" s="37"/>
      <c r="E501" s="37"/>
      <c r="F501" s="37"/>
    </row>
    <row r="502">
      <c r="D502" s="37"/>
      <c r="E502" s="37"/>
      <c r="F502" s="37"/>
    </row>
    <row r="503">
      <c r="D503" s="37"/>
      <c r="E503" s="37"/>
      <c r="F503" s="37"/>
    </row>
    <row r="504">
      <c r="D504" s="37"/>
      <c r="E504" s="37"/>
      <c r="F504" s="37"/>
    </row>
    <row r="505">
      <c r="D505" s="37"/>
      <c r="E505" s="37"/>
      <c r="F505" s="37"/>
    </row>
    <row r="506">
      <c r="D506" s="37"/>
      <c r="E506" s="37"/>
      <c r="F506" s="37"/>
    </row>
    <row r="507">
      <c r="D507" s="37"/>
      <c r="E507" s="37"/>
      <c r="F507" s="37"/>
    </row>
    <row r="508">
      <c r="D508" s="37"/>
      <c r="E508" s="37"/>
      <c r="F508" s="37"/>
    </row>
    <row r="509">
      <c r="D509" s="37"/>
      <c r="E509" s="37"/>
      <c r="F509" s="37"/>
    </row>
    <row r="510">
      <c r="D510" s="37"/>
      <c r="E510" s="37"/>
      <c r="F510" s="37"/>
    </row>
    <row r="511">
      <c r="D511" s="37"/>
      <c r="E511" s="37"/>
      <c r="F511" s="37"/>
    </row>
    <row r="512">
      <c r="D512" s="37"/>
      <c r="E512" s="37"/>
      <c r="F512" s="37"/>
    </row>
    <row r="513">
      <c r="D513" s="37"/>
      <c r="E513" s="37"/>
      <c r="F513" s="37"/>
    </row>
    <row r="514">
      <c r="D514" s="37"/>
      <c r="E514" s="37"/>
      <c r="F514" s="37"/>
    </row>
    <row r="515">
      <c r="D515" s="37"/>
      <c r="E515" s="37"/>
      <c r="F515" s="37"/>
    </row>
    <row r="516">
      <c r="D516" s="37"/>
      <c r="E516" s="37"/>
      <c r="F516" s="37"/>
    </row>
    <row r="517">
      <c r="D517" s="37"/>
      <c r="E517" s="37"/>
      <c r="F517" s="37"/>
    </row>
    <row r="518">
      <c r="D518" s="37"/>
      <c r="E518" s="37"/>
      <c r="F518" s="37"/>
    </row>
    <row r="519">
      <c r="D519" s="37"/>
      <c r="E519" s="37"/>
      <c r="F519" s="37"/>
    </row>
    <row r="520">
      <c r="D520" s="37"/>
      <c r="E520" s="37"/>
      <c r="F520" s="37"/>
    </row>
    <row r="521">
      <c r="D521" s="37"/>
      <c r="E521" s="37"/>
      <c r="F521" s="37"/>
    </row>
    <row r="522">
      <c r="D522" s="37"/>
      <c r="E522" s="37"/>
      <c r="F522" s="37"/>
    </row>
    <row r="523">
      <c r="D523" s="37"/>
      <c r="E523" s="37"/>
      <c r="F523" s="37"/>
    </row>
    <row r="524">
      <c r="D524" s="37"/>
      <c r="E524" s="37"/>
      <c r="F524" s="37"/>
    </row>
    <row r="525">
      <c r="D525" s="37"/>
      <c r="E525" s="37"/>
      <c r="F525" s="37"/>
    </row>
    <row r="526">
      <c r="D526" s="37"/>
      <c r="E526" s="37"/>
      <c r="F526" s="37"/>
    </row>
    <row r="527">
      <c r="D527" s="37"/>
      <c r="E527" s="37"/>
      <c r="F527" s="37"/>
    </row>
    <row r="528">
      <c r="D528" s="37"/>
      <c r="E528" s="37"/>
      <c r="F528" s="37"/>
    </row>
    <row r="529">
      <c r="D529" s="37"/>
      <c r="E529" s="37"/>
      <c r="F529" s="37"/>
    </row>
    <row r="530">
      <c r="D530" s="37"/>
      <c r="E530" s="37"/>
      <c r="F530" s="37"/>
    </row>
    <row r="531">
      <c r="D531" s="37"/>
      <c r="E531" s="37"/>
      <c r="F531" s="37"/>
    </row>
    <row r="532">
      <c r="D532" s="37"/>
      <c r="E532" s="37"/>
      <c r="F532" s="37"/>
    </row>
    <row r="533">
      <c r="D533" s="37"/>
      <c r="E533" s="37"/>
      <c r="F533" s="37"/>
    </row>
    <row r="534">
      <c r="D534" s="37"/>
      <c r="E534" s="37"/>
      <c r="F534" s="37"/>
    </row>
    <row r="535">
      <c r="D535" s="37"/>
      <c r="E535" s="37"/>
      <c r="F535" s="37"/>
    </row>
    <row r="536">
      <c r="D536" s="37"/>
      <c r="E536" s="37"/>
      <c r="F536" s="37"/>
    </row>
    <row r="537">
      <c r="D537" s="37"/>
      <c r="E537" s="37"/>
      <c r="F537" s="37"/>
    </row>
    <row r="538">
      <c r="D538" s="37"/>
      <c r="E538" s="37"/>
      <c r="F538" s="37"/>
    </row>
    <row r="539">
      <c r="D539" s="37"/>
      <c r="E539" s="37"/>
      <c r="F539" s="37"/>
    </row>
    <row r="540">
      <c r="D540" s="37"/>
      <c r="E540" s="37"/>
      <c r="F540" s="37"/>
    </row>
    <row r="541">
      <c r="D541" s="37"/>
      <c r="E541" s="37"/>
      <c r="F541" s="37"/>
    </row>
    <row r="542">
      <c r="D542" s="37"/>
      <c r="E542" s="37"/>
      <c r="F542" s="37"/>
    </row>
    <row r="543">
      <c r="D543" s="37"/>
      <c r="E543" s="37"/>
      <c r="F543" s="37"/>
    </row>
    <row r="544">
      <c r="D544" s="37"/>
      <c r="E544" s="37"/>
      <c r="F544" s="37"/>
    </row>
    <row r="545">
      <c r="D545" s="37"/>
      <c r="E545" s="37"/>
      <c r="F545" s="37"/>
    </row>
    <row r="546">
      <c r="D546" s="37"/>
      <c r="E546" s="37"/>
      <c r="F546" s="37"/>
    </row>
    <row r="547">
      <c r="D547" s="37"/>
      <c r="E547" s="37"/>
      <c r="F547" s="37"/>
    </row>
    <row r="548">
      <c r="D548" s="37"/>
      <c r="E548" s="37"/>
      <c r="F548" s="37"/>
    </row>
    <row r="549">
      <c r="D549" s="37"/>
      <c r="E549" s="37"/>
      <c r="F549" s="37"/>
    </row>
    <row r="550">
      <c r="D550" s="37"/>
      <c r="E550" s="37"/>
      <c r="F550" s="37"/>
    </row>
    <row r="551">
      <c r="D551" s="37"/>
      <c r="E551" s="37"/>
      <c r="F551" s="37"/>
    </row>
    <row r="552">
      <c r="D552" s="37"/>
      <c r="E552" s="37"/>
      <c r="F552" s="37"/>
    </row>
    <row r="553">
      <c r="D553" s="37"/>
      <c r="E553" s="37"/>
      <c r="F553" s="37"/>
    </row>
    <row r="554">
      <c r="D554" s="37"/>
      <c r="E554" s="37"/>
      <c r="F554" s="37"/>
    </row>
    <row r="555">
      <c r="D555" s="37"/>
      <c r="E555" s="37"/>
      <c r="F555" s="37"/>
    </row>
    <row r="556">
      <c r="D556" s="37"/>
      <c r="E556" s="37"/>
      <c r="F556" s="37"/>
    </row>
    <row r="557">
      <c r="D557" s="37"/>
      <c r="E557" s="37"/>
      <c r="F557" s="37"/>
    </row>
    <row r="558">
      <c r="D558" s="37"/>
      <c r="E558" s="37"/>
      <c r="F558" s="37"/>
    </row>
    <row r="559">
      <c r="D559" s="37"/>
      <c r="E559" s="37"/>
      <c r="F559" s="37"/>
    </row>
    <row r="560">
      <c r="D560" s="37"/>
      <c r="E560" s="37"/>
      <c r="F560" s="37"/>
    </row>
    <row r="561">
      <c r="D561" s="37"/>
      <c r="E561" s="37"/>
      <c r="F561" s="37"/>
    </row>
    <row r="562">
      <c r="D562" s="37"/>
      <c r="E562" s="37"/>
      <c r="F562" s="37"/>
    </row>
    <row r="563">
      <c r="D563" s="37"/>
      <c r="E563" s="37"/>
      <c r="F563" s="37"/>
    </row>
    <row r="564">
      <c r="D564" s="37"/>
      <c r="E564" s="37"/>
      <c r="F564" s="37"/>
    </row>
    <row r="565">
      <c r="D565" s="37"/>
      <c r="E565" s="37"/>
      <c r="F565" s="37"/>
    </row>
    <row r="566">
      <c r="D566" s="37"/>
      <c r="E566" s="37"/>
      <c r="F566" s="37"/>
    </row>
    <row r="567">
      <c r="D567" s="37"/>
      <c r="E567" s="37"/>
      <c r="F567" s="37"/>
    </row>
    <row r="568">
      <c r="D568" s="37"/>
      <c r="E568" s="37"/>
      <c r="F568" s="37"/>
    </row>
    <row r="569">
      <c r="D569" s="37"/>
      <c r="E569" s="37"/>
      <c r="F569" s="37"/>
    </row>
    <row r="570">
      <c r="D570" s="37"/>
      <c r="E570" s="37"/>
      <c r="F570" s="37"/>
    </row>
    <row r="571">
      <c r="D571" s="37"/>
      <c r="E571" s="37"/>
      <c r="F571" s="37"/>
    </row>
    <row r="572">
      <c r="D572" s="37"/>
      <c r="E572" s="37"/>
      <c r="F572" s="37"/>
    </row>
    <row r="573">
      <c r="D573" s="37"/>
      <c r="E573" s="37"/>
      <c r="F573" s="37"/>
    </row>
    <row r="574">
      <c r="D574" s="37"/>
      <c r="E574" s="37"/>
      <c r="F574" s="37"/>
    </row>
    <row r="575">
      <c r="D575" s="37"/>
      <c r="E575" s="37"/>
      <c r="F575" s="37"/>
    </row>
    <row r="576">
      <c r="D576" s="37"/>
      <c r="E576" s="37"/>
      <c r="F576" s="37"/>
    </row>
    <row r="577">
      <c r="D577" s="37"/>
      <c r="E577" s="37"/>
      <c r="F577" s="37"/>
    </row>
    <row r="578">
      <c r="D578" s="37"/>
      <c r="E578" s="37"/>
      <c r="F578" s="37"/>
    </row>
    <row r="579">
      <c r="D579" s="37"/>
      <c r="E579" s="37"/>
      <c r="F579" s="37"/>
    </row>
    <row r="580">
      <c r="D580" s="37"/>
      <c r="E580" s="37"/>
      <c r="F580" s="37"/>
    </row>
    <row r="581">
      <c r="D581" s="37"/>
      <c r="E581" s="37"/>
      <c r="F581" s="37"/>
    </row>
    <row r="582">
      <c r="D582" s="37"/>
      <c r="E582" s="37"/>
      <c r="F582" s="37"/>
    </row>
    <row r="583">
      <c r="D583" s="37"/>
      <c r="E583" s="37"/>
      <c r="F583" s="37"/>
    </row>
    <row r="584">
      <c r="D584" s="37"/>
      <c r="E584" s="37"/>
      <c r="F584" s="37"/>
    </row>
    <row r="585">
      <c r="D585" s="37"/>
      <c r="E585" s="37"/>
      <c r="F585" s="37"/>
    </row>
    <row r="586">
      <c r="D586" s="37"/>
      <c r="E586" s="37"/>
      <c r="F586" s="37"/>
    </row>
    <row r="587">
      <c r="D587" s="37"/>
      <c r="E587" s="37"/>
      <c r="F587" s="37"/>
    </row>
    <row r="588">
      <c r="D588" s="37"/>
      <c r="E588" s="37"/>
      <c r="F588" s="37"/>
    </row>
    <row r="589">
      <c r="D589" s="37"/>
      <c r="E589" s="37"/>
      <c r="F589" s="37"/>
    </row>
    <row r="590">
      <c r="D590" s="37"/>
      <c r="E590" s="37"/>
      <c r="F590" s="37"/>
    </row>
    <row r="591">
      <c r="D591" s="37"/>
      <c r="E591" s="37"/>
      <c r="F591" s="37"/>
    </row>
    <row r="592">
      <c r="D592" s="37"/>
      <c r="E592" s="37"/>
      <c r="F592" s="37"/>
    </row>
    <row r="593">
      <c r="D593" s="37"/>
      <c r="E593" s="37"/>
      <c r="F593" s="37"/>
    </row>
    <row r="594">
      <c r="D594" s="37"/>
      <c r="E594" s="37"/>
      <c r="F594" s="37"/>
    </row>
    <row r="595">
      <c r="D595" s="37"/>
      <c r="E595" s="37"/>
      <c r="F595" s="37"/>
    </row>
    <row r="596">
      <c r="D596" s="37"/>
      <c r="E596" s="37"/>
      <c r="F596" s="37"/>
    </row>
    <row r="597">
      <c r="D597" s="37"/>
      <c r="E597" s="37"/>
      <c r="F597" s="37"/>
    </row>
    <row r="598">
      <c r="D598" s="37"/>
      <c r="E598" s="37"/>
      <c r="F598" s="37"/>
    </row>
    <row r="599">
      <c r="D599" s="37"/>
      <c r="E599" s="37"/>
      <c r="F599" s="37"/>
    </row>
    <row r="600">
      <c r="D600" s="37"/>
      <c r="E600" s="37"/>
      <c r="F600" s="37"/>
    </row>
    <row r="601">
      <c r="D601" s="37"/>
      <c r="E601" s="37"/>
      <c r="F601" s="37"/>
    </row>
    <row r="602">
      <c r="D602" s="37"/>
      <c r="E602" s="37"/>
      <c r="F602" s="37"/>
    </row>
    <row r="603">
      <c r="D603" s="37"/>
      <c r="E603" s="37"/>
      <c r="F603" s="37"/>
    </row>
    <row r="604">
      <c r="D604" s="37"/>
      <c r="E604" s="37"/>
      <c r="F604" s="37"/>
    </row>
    <row r="605">
      <c r="D605" s="37"/>
      <c r="E605" s="37"/>
      <c r="F605" s="37"/>
    </row>
    <row r="606">
      <c r="D606" s="37"/>
      <c r="E606" s="37"/>
      <c r="F606" s="37"/>
    </row>
    <row r="607">
      <c r="D607" s="37"/>
      <c r="E607" s="37"/>
      <c r="F607" s="37"/>
    </row>
    <row r="608">
      <c r="D608" s="37"/>
      <c r="E608" s="37"/>
      <c r="F608" s="37"/>
    </row>
    <row r="609">
      <c r="D609" s="37"/>
      <c r="E609" s="37"/>
      <c r="F609" s="37"/>
    </row>
    <row r="610">
      <c r="D610" s="37"/>
      <c r="E610" s="37"/>
      <c r="F610" s="37"/>
    </row>
    <row r="611">
      <c r="D611" s="37"/>
      <c r="E611" s="37"/>
      <c r="F611" s="37"/>
    </row>
    <row r="612">
      <c r="D612" s="37"/>
      <c r="E612" s="37"/>
      <c r="F612" s="37"/>
    </row>
    <row r="613">
      <c r="D613" s="37"/>
      <c r="E613" s="37"/>
      <c r="F613" s="37"/>
    </row>
    <row r="614">
      <c r="D614" s="37"/>
      <c r="E614" s="37"/>
      <c r="F614" s="37"/>
    </row>
    <row r="615">
      <c r="D615" s="37"/>
      <c r="E615" s="37"/>
      <c r="F615" s="37"/>
    </row>
    <row r="616">
      <c r="D616" s="37"/>
      <c r="E616" s="37"/>
      <c r="F616" s="37"/>
    </row>
    <row r="617">
      <c r="D617" s="37"/>
      <c r="E617" s="37"/>
      <c r="F617" s="37"/>
    </row>
    <row r="618">
      <c r="D618" s="37"/>
      <c r="E618" s="37"/>
      <c r="F618" s="37"/>
    </row>
    <row r="619">
      <c r="D619" s="37"/>
      <c r="E619" s="37"/>
      <c r="F619" s="37"/>
    </row>
    <row r="620">
      <c r="D620" s="37"/>
      <c r="E620" s="37"/>
      <c r="F620" s="37"/>
    </row>
    <row r="621">
      <c r="D621" s="37"/>
      <c r="E621" s="37"/>
      <c r="F621" s="37"/>
    </row>
    <row r="622">
      <c r="D622" s="37"/>
      <c r="E622" s="37"/>
      <c r="F622" s="37"/>
    </row>
    <row r="623">
      <c r="D623" s="37"/>
      <c r="E623" s="37"/>
      <c r="F623" s="37"/>
    </row>
    <row r="624">
      <c r="D624" s="37"/>
      <c r="E624" s="37"/>
      <c r="F624" s="37"/>
    </row>
    <row r="625">
      <c r="D625" s="37"/>
      <c r="E625" s="37"/>
      <c r="F625" s="37"/>
    </row>
    <row r="626">
      <c r="D626" s="37"/>
      <c r="E626" s="37"/>
      <c r="F626" s="37"/>
    </row>
    <row r="627">
      <c r="D627" s="37"/>
      <c r="E627" s="37"/>
      <c r="F627" s="37"/>
    </row>
    <row r="628">
      <c r="D628" s="37"/>
      <c r="E628" s="37"/>
      <c r="F628" s="37"/>
    </row>
    <row r="629">
      <c r="D629" s="37"/>
      <c r="E629" s="37"/>
      <c r="F629" s="37"/>
    </row>
    <row r="630">
      <c r="D630" s="37"/>
      <c r="E630" s="37"/>
      <c r="F630" s="37"/>
    </row>
    <row r="631">
      <c r="D631" s="37"/>
      <c r="E631" s="37"/>
      <c r="F631" s="37"/>
    </row>
    <row r="632">
      <c r="D632" s="37"/>
      <c r="E632" s="37"/>
      <c r="F632" s="37"/>
    </row>
    <row r="633">
      <c r="D633" s="37"/>
      <c r="E633" s="37"/>
      <c r="F633" s="37"/>
    </row>
    <row r="634">
      <c r="D634" s="37"/>
      <c r="E634" s="37"/>
      <c r="F634" s="37"/>
    </row>
    <row r="635">
      <c r="D635" s="37"/>
      <c r="E635" s="37"/>
      <c r="F635" s="37"/>
    </row>
    <row r="636">
      <c r="D636" s="37"/>
      <c r="E636" s="37"/>
      <c r="F636" s="37"/>
    </row>
    <row r="637">
      <c r="D637" s="37"/>
      <c r="E637" s="37"/>
      <c r="F637" s="37"/>
    </row>
    <row r="638">
      <c r="D638" s="37"/>
      <c r="E638" s="37"/>
      <c r="F638" s="37"/>
    </row>
    <row r="639">
      <c r="D639" s="37"/>
      <c r="E639" s="37"/>
      <c r="F639" s="37"/>
    </row>
    <row r="640">
      <c r="D640" s="37"/>
      <c r="E640" s="37"/>
      <c r="F640" s="37"/>
    </row>
    <row r="641">
      <c r="D641" s="37"/>
      <c r="E641" s="37"/>
      <c r="F641" s="37"/>
    </row>
    <row r="642">
      <c r="D642" s="37"/>
      <c r="E642" s="37"/>
      <c r="F642" s="37"/>
    </row>
    <row r="643">
      <c r="D643" s="37"/>
      <c r="E643" s="37"/>
      <c r="F643" s="37"/>
    </row>
    <row r="644">
      <c r="D644" s="37"/>
      <c r="E644" s="37"/>
      <c r="F644" s="37"/>
    </row>
    <row r="645">
      <c r="D645" s="37"/>
      <c r="E645" s="37"/>
      <c r="F645" s="37"/>
    </row>
    <row r="646">
      <c r="D646" s="37"/>
      <c r="E646" s="37"/>
      <c r="F646" s="37"/>
    </row>
    <row r="647">
      <c r="D647" s="37"/>
      <c r="E647" s="37"/>
      <c r="F647" s="37"/>
    </row>
    <row r="648">
      <c r="D648" s="37"/>
      <c r="E648" s="37"/>
      <c r="F648" s="37"/>
    </row>
    <row r="649">
      <c r="D649" s="37"/>
      <c r="E649" s="37"/>
      <c r="F649" s="37"/>
    </row>
    <row r="650">
      <c r="D650" s="37"/>
      <c r="E650" s="37"/>
      <c r="F650" s="37"/>
    </row>
    <row r="651">
      <c r="D651" s="37"/>
      <c r="E651" s="37"/>
      <c r="F651" s="37"/>
    </row>
    <row r="652">
      <c r="D652" s="37"/>
      <c r="E652" s="37"/>
      <c r="F652" s="37"/>
    </row>
    <row r="653">
      <c r="D653" s="37"/>
      <c r="E653" s="37"/>
      <c r="F653" s="37"/>
    </row>
    <row r="654">
      <c r="D654" s="37"/>
      <c r="E654" s="37"/>
      <c r="F654" s="37"/>
    </row>
    <row r="655">
      <c r="D655" s="37"/>
      <c r="E655" s="37"/>
      <c r="F655" s="37"/>
    </row>
    <row r="656">
      <c r="D656" s="37"/>
      <c r="E656" s="37"/>
      <c r="F656" s="37"/>
    </row>
    <row r="657">
      <c r="D657" s="37"/>
      <c r="E657" s="37"/>
      <c r="F657" s="37"/>
    </row>
    <row r="658">
      <c r="D658" s="37"/>
      <c r="E658" s="37"/>
      <c r="F658" s="37"/>
    </row>
    <row r="659">
      <c r="D659" s="37"/>
      <c r="E659" s="37"/>
      <c r="F659" s="37"/>
    </row>
    <row r="660">
      <c r="D660" s="37"/>
      <c r="E660" s="37"/>
      <c r="F660" s="37"/>
    </row>
    <row r="661">
      <c r="D661" s="37"/>
      <c r="E661" s="37"/>
      <c r="F661" s="37"/>
    </row>
    <row r="662">
      <c r="D662" s="37"/>
      <c r="E662" s="37"/>
      <c r="F662" s="37"/>
    </row>
    <row r="663">
      <c r="D663" s="37"/>
      <c r="E663" s="37"/>
      <c r="F663" s="37"/>
    </row>
    <row r="664">
      <c r="D664" s="37"/>
      <c r="E664" s="37"/>
      <c r="F664" s="37"/>
    </row>
    <row r="665">
      <c r="D665" s="37"/>
      <c r="E665" s="37"/>
      <c r="F665" s="37"/>
    </row>
    <row r="666">
      <c r="D666" s="37"/>
      <c r="E666" s="37"/>
      <c r="F666" s="37"/>
    </row>
    <row r="667">
      <c r="D667" s="37"/>
      <c r="E667" s="37"/>
      <c r="F667" s="37"/>
    </row>
    <row r="668">
      <c r="D668" s="37"/>
      <c r="E668" s="37"/>
      <c r="F668" s="37"/>
    </row>
    <row r="669">
      <c r="D669" s="37"/>
      <c r="E669" s="37"/>
      <c r="F669" s="37"/>
    </row>
    <row r="670">
      <c r="D670" s="37"/>
      <c r="E670" s="37"/>
      <c r="F670" s="37"/>
    </row>
    <row r="671">
      <c r="D671" s="37"/>
      <c r="E671" s="37"/>
      <c r="F671" s="37"/>
    </row>
    <row r="672">
      <c r="D672" s="37"/>
      <c r="E672" s="37"/>
      <c r="F672" s="37"/>
    </row>
    <row r="673">
      <c r="D673" s="37"/>
      <c r="E673" s="37"/>
      <c r="F673" s="37"/>
    </row>
    <row r="674">
      <c r="D674" s="37"/>
      <c r="E674" s="37"/>
      <c r="F674" s="37"/>
    </row>
    <row r="675">
      <c r="D675" s="37"/>
      <c r="E675" s="37"/>
      <c r="F675" s="37"/>
    </row>
    <row r="676">
      <c r="D676" s="37"/>
      <c r="E676" s="37"/>
      <c r="F676" s="37"/>
    </row>
    <row r="677">
      <c r="D677" s="37"/>
      <c r="E677" s="37"/>
      <c r="F677" s="37"/>
    </row>
    <row r="678">
      <c r="D678" s="37"/>
      <c r="E678" s="37"/>
      <c r="F678" s="37"/>
    </row>
    <row r="679">
      <c r="D679" s="37"/>
      <c r="E679" s="37"/>
      <c r="F679" s="37"/>
    </row>
    <row r="680">
      <c r="D680" s="37"/>
      <c r="E680" s="37"/>
      <c r="F680" s="37"/>
    </row>
    <row r="681">
      <c r="D681" s="37"/>
      <c r="E681" s="37"/>
      <c r="F681" s="37"/>
    </row>
    <row r="682">
      <c r="D682" s="37"/>
      <c r="E682" s="37"/>
      <c r="F682" s="37"/>
    </row>
    <row r="683">
      <c r="D683" s="37"/>
      <c r="E683" s="37"/>
      <c r="F683" s="37"/>
    </row>
    <row r="684">
      <c r="D684" s="37"/>
      <c r="E684" s="37"/>
      <c r="F684" s="37"/>
    </row>
    <row r="685">
      <c r="D685" s="37"/>
      <c r="E685" s="37"/>
      <c r="F685" s="37"/>
    </row>
    <row r="686">
      <c r="D686" s="37"/>
      <c r="E686" s="37"/>
      <c r="F686" s="37"/>
    </row>
    <row r="687">
      <c r="D687" s="37"/>
      <c r="E687" s="37"/>
      <c r="F687" s="37"/>
    </row>
    <row r="688">
      <c r="D688" s="37"/>
      <c r="E688" s="37"/>
      <c r="F688" s="37"/>
    </row>
    <row r="689">
      <c r="D689" s="37"/>
      <c r="E689" s="37"/>
      <c r="F689" s="37"/>
    </row>
    <row r="690">
      <c r="D690" s="37"/>
      <c r="E690" s="37"/>
      <c r="F690" s="37"/>
    </row>
    <row r="691">
      <c r="D691" s="37"/>
      <c r="E691" s="37"/>
      <c r="F691" s="37"/>
    </row>
    <row r="692">
      <c r="D692" s="37"/>
      <c r="E692" s="37"/>
      <c r="F692" s="37"/>
    </row>
    <row r="693">
      <c r="D693" s="37"/>
      <c r="E693" s="37"/>
      <c r="F693" s="37"/>
    </row>
    <row r="694">
      <c r="D694" s="37"/>
      <c r="E694" s="37"/>
      <c r="F694" s="37"/>
    </row>
    <row r="695">
      <c r="D695" s="37"/>
      <c r="E695" s="37"/>
      <c r="F695" s="37"/>
    </row>
    <row r="696">
      <c r="D696" s="37"/>
      <c r="E696" s="37"/>
      <c r="F696" s="37"/>
    </row>
    <row r="697">
      <c r="D697" s="37"/>
      <c r="E697" s="37"/>
      <c r="F697" s="37"/>
    </row>
    <row r="698">
      <c r="D698" s="37"/>
      <c r="E698" s="37"/>
      <c r="F698" s="37"/>
    </row>
    <row r="699">
      <c r="D699" s="37"/>
      <c r="E699" s="37"/>
      <c r="F699" s="37"/>
    </row>
    <row r="700">
      <c r="D700" s="37"/>
      <c r="E700" s="37"/>
      <c r="F700" s="37"/>
    </row>
    <row r="701">
      <c r="D701" s="37"/>
      <c r="E701" s="37"/>
      <c r="F701" s="37"/>
    </row>
    <row r="702">
      <c r="D702" s="37"/>
      <c r="E702" s="37"/>
      <c r="F702" s="37"/>
    </row>
    <row r="703">
      <c r="D703" s="37"/>
      <c r="E703" s="37"/>
      <c r="F703" s="37"/>
    </row>
    <row r="704">
      <c r="D704" s="37"/>
      <c r="E704" s="37"/>
      <c r="F704" s="37"/>
    </row>
    <row r="705">
      <c r="D705" s="37"/>
      <c r="E705" s="37"/>
      <c r="F705" s="37"/>
    </row>
    <row r="706">
      <c r="D706" s="37"/>
      <c r="E706" s="37"/>
      <c r="F706" s="37"/>
    </row>
    <row r="707">
      <c r="D707" s="37"/>
      <c r="E707" s="37"/>
      <c r="F707" s="37"/>
    </row>
    <row r="708">
      <c r="D708" s="37"/>
      <c r="E708" s="37"/>
      <c r="F708" s="37"/>
    </row>
    <row r="709">
      <c r="D709" s="37"/>
      <c r="E709" s="37"/>
      <c r="F709" s="37"/>
    </row>
    <row r="710">
      <c r="D710" s="37"/>
      <c r="E710" s="37"/>
      <c r="F710" s="37"/>
    </row>
    <row r="711">
      <c r="D711" s="37"/>
      <c r="E711" s="37"/>
      <c r="F711" s="37"/>
    </row>
    <row r="712">
      <c r="D712" s="37"/>
      <c r="E712" s="37"/>
      <c r="F712" s="37"/>
    </row>
    <row r="713">
      <c r="D713" s="37"/>
      <c r="E713" s="37"/>
      <c r="F713" s="37"/>
    </row>
    <row r="714">
      <c r="D714" s="37"/>
      <c r="E714" s="37"/>
      <c r="F714" s="37"/>
    </row>
    <row r="715">
      <c r="D715" s="37"/>
      <c r="E715" s="37"/>
      <c r="F715" s="37"/>
    </row>
    <row r="716">
      <c r="D716" s="37"/>
      <c r="E716" s="37"/>
      <c r="F716" s="37"/>
    </row>
    <row r="717">
      <c r="D717" s="37"/>
      <c r="E717" s="37"/>
      <c r="F717" s="37"/>
    </row>
    <row r="718">
      <c r="D718" s="37"/>
      <c r="E718" s="37"/>
      <c r="F718" s="37"/>
    </row>
    <row r="719">
      <c r="D719" s="37"/>
      <c r="E719" s="37"/>
      <c r="F719" s="37"/>
    </row>
    <row r="720">
      <c r="D720" s="37"/>
      <c r="E720" s="37"/>
      <c r="F720" s="37"/>
    </row>
    <row r="721">
      <c r="D721" s="37"/>
      <c r="E721" s="37"/>
      <c r="F721" s="37"/>
    </row>
    <row r="722">
      <c r="D722" s="37"/>
      <c r="E722" s="37"/>
      <c r="F722" s="37"/>
    </row>
    <row r="723">
      <c r="D723" s="37"/>
      <c r="E723" s="37"/>
      <c r="F723" s="37"/>
    </row>
    <row r="724">
      <c r="D724" s="37"/>
      <c r="E724" s="37"/>
      <c r="F724" s="37"/>
    </row>
    <row r="725">
      <c r="D725" s="37"/>
      <c r="E725" s="37"/>
      <c r="F725" s="37"/>
    </row>
    <row r="726">
      <c r="D726" s="37"/>
      <c r="E726" s="37"/>
      <c r="F726" s="37"/>
    </row>
    <row r="727">
      <c r="D727" s="37"/>
      <c r="E727" s="37"/>
      <c r="F727" s="37"/>
    </row>
    <row r="728">
      <c r="D728" s="37"/>
      <c r="E728" s="37"/>
      <c r="F728" s="37"/>
    </row>
    <row r="729">
      <c r="D729" s="37"/>
      <c r="E729" s="37"/>
      <c r="F729" s="37"/>
    </row>
    <row r="730">
      <c r="D730" s="37"/>
      <c r="E730" s="37"/>
      <c r="F730" s="37"/>
    </row>
    <row r="731">
      <c r="D731" s="37"/>
      <c r="E731" s="37"/>
      <c r="F731" s="37"/>
    </row>
    <row r="732">
      <c r="D732" s="37"/>
      <c r="E732" s="37"/>
      <c r="F732" s="37"/>
    </row>
    <row r="733">
      <c r="D733" s="37"/>
      <c r="E733" s="37"/>
      <c r="F733" s="37"/>
    </row>
    <row r="734">
      <c r="D734" s="37"/>
      <c r="E734" s="37"/>
      <c r="F734" s="37"/>
    </row>
    <row r="735">
      <c r="D735" s="37"/>
      <c r="E735" s="37"/>
      <c r="F735" s="37"/>
    </row>
    <row r="736">
      <c r="D736" s="37"/>
      <c r="E736" s="37"/>
      <c r="F736" s="37"/>
    </row>
    <row r="737">
      <c r="D737" s="37"/>
      <c r="E737" s="37"/>
      <c r="F737" s="37"/>
    </row>
    <row r="738">
      <c r="D738" s="37"/>
      <c r="E738" s="37"/>
      <c r="F738" s="37"/>
    </row>
    <row r="739">
      <c r="D739" s="37"/>
      <c r="E739" s="37"/>
      <c r="F739" s="37"/>
    </row>
    <row r="740">
      <c r="D740" s="37"/>
      <c r="E740" s="37"/>
      <c r="F740" s="37"/>
    </row>
    <row r="741">
      <c r="D741" s="37"/>
      <c r="E741" s="37"/>
      <c r="F741" s="37"/>
    </row>
    <row r="742">
      <c r="D742" s="37"/>
      <c r="E742" s="37"/>
      <c r="F742" s="37"/>
    </row>
    <row r="743">
      <c r="D743" s="37"/>
      <c r="E743" s="37"/>
      <c r="F743" s="37"/>
    </row>
    <row r="744">
      <c r="D744" s="37"/>
      <c r="E744" s="37"/>
      <c r="F744" s="37"/>
    </row>
    <row r="745">
      <c r="D745" s="37"/>
      <c r="E745" s="37"/>
      <c r="F745" s="37"/>
    </row>
    <row r="746">
      <c r="D746" s="37"/>
      <c r="E746" s="37"/>
      <c r="F746" s="37"/>
    </row>
    <row r="747">
      <c r="D747" s="37"/>
      <c r="E747" s="37"/>
      <c r="F747" s="37"/>
    </row>
    <row r="748">
      <c r="D748" s="37"/>
      <c r="E748" s="37"/>
      <c r="F748" s="37"/>
    </row>
    <row r="749">
      <c r="D749" s="37"/>
      <c r="E749" s="37"/>
      <c r="F749" s="37"/>
    </row>
    <row r="750">
      <c r="D750" s="37"/>
      <c r="E750" s="37"/>
      <c r="F750" s="37"/>
    </row>
    <row r="751">
      <c r="D751" s="37"/>
      <c r="E751" s="37"/>
      <c r="F751" s="37"/>
    </row>
    <row r="752">
      <c r="D752" s="37"/>
      <c r="E752" s="37"/>
      <c r="F752" s="37"/>
    </row>
    <row r="753">
      <c r="D753" s="37"/>
      <c r="E753" s="37"/>
      <c r="F753" s="37"/>
    </row>
    <row r="754">
      <c r="D754" s="37"/>
      <c r="E754" s="37"/>
      <c r="F754" s="37"/>
    </row>
    <row r="755">
      <c r="D755" s="37"/>
      <c r="E755" s="37"/>
      <c r="F755" s="37"/>
    </row>
    <row r="756">
      <c r="D756" s="37"/>
      <c r="E756" s="37"/>
      <c r="F756" s="37"/>
    </row>
    <row r="757">
      <c r="D757" s="37"/>
      <c r="E757" s="37"/>
      <c r="F757" s="37"/>
    </row>
    <row r="758">
      <c r="D758" s="37"/>
      <c r="E758" s="37"/>
      <c r="F758" s="37"/>
    </row>
    <row r="759">
      <c r="D759" s="37"/>
      <c r="E759" s="37"/>
      <c r="F759" s="37"/>
    </row>
    <row r="760">
      <c r="D760" s="37"/>
      <c r="E760" s="37"/>
      <c r="F760" s="37"/>
    </row>
    <row r="761">
      <c r="D761" s="37"/>
      <c r="E761" s="37"/>
      <c r="F761" s="37"/>
    </row>
    <row r="762">
      <c r="D762" s="37"/>
      <c r="E762" s="37"/>
      <c r="F762" s="37"/>
    </row>
    <row r="763">
      <c r="D763" s="37"/>
      <c r="E763" s="37"/>
      <c r="F763" s="37"/>
    </row>
    <row r="764">
      <c r="D764" s="37"/>
      <c r="E764" s="37"/>
      <c r="F764" s="37"/>
    </row>
    <row r="765">
      <c r="D765" s="37"/>
      <c r="E765" s="37"/>
      <c r="F765" s="37"/>
    </row>
    <row r="766">
      <c r="D766" s="37"/>
      <c r="E766" s="37"/>
      <c r="F766" s="37"/>
    </row>
    <row r="767">
      <c r="D767" s="37"/>
      <c r="E767" s="37"/>
      <c r="F767" s="37"/>
    </row>
    <row r="768">
      <c r="D768" s="37"/>
      <c r="E768" s="37"/>
      <c r="F768" s="37"/>
    </row>
    <row r="769">
      <c r="D769" s="37"/>
      <c r="E769" s="37"/>
      <c r="F769" s="37"/>
    </row>
    <row r="770">
      <c r="D770" s="37"/>
      <c r="E770" s="37"/>
      <c r="F770" s="37"/>
    </row>
    <row r="771">
      <c r="D771" s="37"/>
      <c r="E771" s="37"/>
      <c r="F771" s="37"/>
    </row>
    <row r="772">
      <c r="D772" s="37"/>
      <c r="E772" s="37"/>
      <c r="F772" s="37"/>
    </row>
    <row r="773">
      <c r="D773" s="37"/>
      <c r="E773" s="37"/>
      <c r="F773" s="37"/>
    </row>
    <row r="774">
      <c r="D774" s="37"/>
      <c r="E774" s="37"/>
      <c r="F774" s="37"/>
    </row>
    <row r="775">
      <c r="D775" s="37"/>
      <c r="E775" s="37"/>
      <c r="F775" s="37"/>
    </row>
    <row r="776">
      <c r="D776" s="37"/>
      <c r="E776" s="37"/>
      <c r="F776" s="37"/>
    </row>
    <row r="777">
      <c r="D777" s="37"/>
      <c r="E777" s="37"/>
      <c r="F777" s="37"/>
    </row>
    <row r="778">
      <c r="D778" s="37"/>
      <c r="E778" s="37"/>
      <c r="F778" s="37"/>
    </row>
    <row r="779">
      <c r="D779" s="37"/>
      <c r="E779" s="37"/>
      <c r="F779" s="37"/>
    </row>
    <row r="780">
      <c r="D780" s="37"/>
      <c r="E780" s="37"/>
      <c r="F780" s="37"/>
    </row>
    <row r="781">
      <c r="D781" s="37"/>
      <c r="E781" s="37"/>
      <c r="F781" s="37"/>
    </row>
    <row r="782">
      <c r="D782" s="37"/>
      <c r="E782" s="37"/>
      <c r="F782" s="37"/>
    </row>
    <row r="783">
      <c r="D783" s="37"/>
      <c r="E783" s="37"/>
      <c r="F783" s="37"/>
    </row>
    <row r="784">
      <c r="D784" s="37"/>
      <c r="E784" s="37"/>
      <c r="F784" s="37"/>
    </row>
    <row r="785">
      <c r="D785" s="37"/>
      <c r="E785" s="37"/>
      <c r="F785" s="37"/>
    </row>
    <row r="786">
      <c r="D786" s="37"/>
      <c r="E786" s="37"/>
      <c r="F786" s="37"/>
    </row>
    <row r="787">
      <c r="D787" s="37"/>
      <c r="E787" s="37"/>
      <c r="F787" s="37"/>
    </row>
    <row r="788">
      <c r="D788" s="37"/>
      <c r="E788" s="37"/>
      <c r="F788" s="37"/>
    </row>
    <row r="789">
      <c r="D789" s="37"/>
      <c r="E789" s="37"/>
      <c r="F789" s="37"/>
    </row>
    <row r="790">
      <c r="D790" s="37"/>
      <c r="E790" s="37"/>
      <c r="F790" s="37"/>
    </row>
    <row r="791">
      <c r="D791" s="37"/>
      <c r="E791" s="37"/>
      <c r="F791" s="37"/>
    </row>
    <row r="792">
      <c r="D792" s="37"/>
      <c r="E792" s="37"/>
      <c r="F792" s="37"/>
    </row>
    <row r="793">
      <c r="D793" s="37"/>
      <c r="E793" s="37"/>
      <c r="F793" s="37"/>
    </row>
    <row r="794">
      <c r="D794" s="37"/>
      <c r="E794" s="37"/>
      <c r="F794" s="37"/>
    </row>
    <row r="795">
      <c r="D795" s="37"/>
      <c r="E795" s="37"/>
      <c r="F795" s="37"/>
    </row>
    <row r="796">
      <c r="D796" s="37"/>
      <c r="E796" s="37"/>
      <c r="F796" s="37"/>
    </row>
    <row r="797">
      <c r="D797" s="37"/>
      <c r="E797" s="37"/>
      <c r="F797" s="37"/>
    </row>
    <row r="798">
      <c r="D798" s="37"/>
      <c r="E798" s="37"/>
      <c r="F798" s="37"/>
    </row>
    <row r="799">
      <c r="D799" s="37"/>
      <c r="E799" s="37"/>
      <c r="F799" s="37"/>
    </row>
    <row r="800">
      <c r="D800" s="37"/>
      <c r="E800" s="37"/>
      <c r="F800" s="37"/>
    </row>
    <row r="801">
      <c r="D801" s="37"/>
      <c r="E801" s="37"/>
      <c r="F801" s="37"/>
    </row>
    <row r="802">
      <c r="D802" s="37"/>
      <c r="E802" s="37"/>
      <c r="F802" s="37"/>
    </row>
    <row r="803">
      <c r="D803" s="37"/>
      <c r="E803" s="37"/>
      <c r="F803" s="37"/>
    </row>
    <row r="804">
      <c r="D804" s="37"/>
      <c r="E804" s="37"/>
      <c r="F804" s="37"/>
    </row>
    <row r="805">
      <c r="D805" s="37"/>
      <c r="E805" s="37"/>
      <c r="F805" s="37"/>
    </row>
    <row r="806">
      <c r="D806" s="37"/>
      <c r="E806" s="37"/>
      <c r="F806" s="37"/>
    </row>
    <row r="807">
      <c r="D807" s="37"/>
      <c r="E807" s="37"/>
      <c r="F807" s="37"/>
    </row>
    <row r="808">
      <c r="D808" s="37"/>
      <c r="E808" s="37"/>
      <c r="F808" s="37"/>
    </row>
    <row r="809">
      <c r="D809" s="37"/>
      <c r="E809" s="37"/>
      <c r="F809" s="37"/>
    </row>
    <row r="810">
      <c r="D810" s="37"/>
      <c r="E810" s="37"/>
      <c r="F810" s="37"/>
    </row>
    <row r="811">
      <c r="D811" s="37"/>
      <c r="E811" s="37"/>
      <c r="F811" s="37"/>
    </row>
    <row r="812">
      <c r="D812" s="37"/>
      <c r="E812" s="37"/>
      <c r="F812" s="37"/>
    </row>
    <row r="813">
      <c r="D813" s="37"/>
      <c r="E813" s="37"/>
      <c r="F813" s="37"/>
    </row>
    <row r="814">
      <c r="D814" s="37"/>
      <c r="E814" s="37"/>
      <c r="F814" s="37"/>
    </row>
    <row r="815">
      <c r="D815" s="37"/>
      <c r="E815" s="37"/>
      <c r="F815" s="37"/>
    </row>
    <row r="816">
      <c r="D816" s="37"/>
      <c r="E816" s="37"/>
      <c r="F816" s="37"/>
    </row>
    <row r="817">
      <c r="D817" s="37"/>
      <c r="E817" s="37"/>
      <c r="F817" s="37"/>
    </row>
    <row r="818">
      <c r="D818" s="37"/>
      <c r="E818" s="37"/>
      <c r="F818" s="37"/>
    </row>
    <row r="819">
      <c r="D819" s="37"/>
      <c r="E819" s="37"/>
      <c r="F819" s="37"/>
    </row>
    <row r="820">
      <c r="D820" s="37"/>
      <c r="E820" s="37"/>
      <c r="F820" s="37"/>
    </row>
    <row r="821">
      <c r="D821" s="37"/>
      <c r="E821" s="37"/>
      <c r="F821" s="37"/>
    </row>
    <row r="822">
      <c r="D822" s="37"/>
      <c r="E822" s="37"/>
      <c r="F822" s="37"/>
    </row>
    <row r="823">
      <c r="D823" s="37"/>
      <c r="E823" s="37"/>
      <c r="F823" s="37"/>
    </row>
    <row r="824">
      <c r="D824" s="37"/>
      <c r="E824" s="37"/>
      <c r="F824" s="37"/>
    </row>
    <row r="825">
      <c r="D825" s="37"/>
      <c r="E825" s="37"/>
      <c r="F825" s="37"/>
    </row>
    <row r="826">
      <c r="D826" s="37"/>
      <c r="E826" s="37"/>
      <c r="F826" s="37"/>
    </row>
    <row r="827">
      <c r="D827" s="37"/>
      <c r="E827" s="37"/>
      <c r="F827" s="37"/>
    </row>
    <row r="828">
      <c r="D828" s="37"/>
      <c r="E828" s="37"/>
      <c r="F828" s="37"/>
    </row>
    <row r="829">
      <c r="D829" s="37"/>
      <c r="E829" s="37"/>
      <c r="F829" s="37"/>
    </row>
    <row r="830">
      <c r="D830" s="37"/>
      <c r="E830" s="37"/>
      <c r="F830" s="37"/>
    </row>
    <row r="831">
      <c r="D831" s="37"/>
      <c r="E831" s="37"/>
      <c r="F831" s="37"/>
    </row>
    <row r="832">
      <c r="D832" s="37"/>
      <c r="E832" s="37"/>
      <c r="F832" s="37"/>
    </row>
    <row r="833">
      <c r="D833" s="37"/>
      <c r="E833" s="37"/>
      <c r="F833" s="37"/>
    </row>
    <row r="834">
      <c r="D834" s="37"/>
      <c r="E834" s="37"/>
      <c r="F834" s="37"/>
    </row>
    <row r="835">
      <c r="D835" s="37"/>
      <c r="E835" s="37"/>
      <c r="F835" s="37"/>
    </row>
    <row r="836">
      <c r="D836" s="37"/>
      <c r="E836" s="37"/>
      <c r="F836" s="37"/>
    </row>
    <row r="837">
      <c r="D837" s="37"/>
      <c r="E837" s="37"/>
      <c r="F837" s="37"/>
    </row>
    <row r="838">
      <c r="D838" s="37"/>
      <c r="E838" s="37"/>
      <c r="F838" s="37"/>
    </row>
    <row r="839">
      <c r="D839" s="37"/>
      <c r="E839" s="37"/>
      <c r="F839" s="37"/>
    </row>
    <row r="840">
      <c r="D840" s="37"/>
      <c r="E840" s="37"/>
      <c r="F840" s="37"/>
    </row>
    <row r="841">
      <c r="D841" s="37"/>
      <c r="E841" s="37"/>
      <c r="F841" s="37"/>
    </row>
    <row r="842">
      <c r="D842" s="37"/>
      <c r="E842" s="37"/>
      <c r="F842" s="37"/>
    </row>
    <row r="843">
      <c r="D843" s="37"/>
      <c r="E843" s="37"/>
      <c r="F843" s="37"/>
    </row>
    <row r="844">
      <c r="D844" s="37"/>
      <c r="E844" s="37"/>
      <c r="F844" s="37"/>
    </row>
    <row r="845">
      <c r="D845" s="37"/>
      <c r="E845" s="37"/>
      <c r="F845" s="37"/>
    </row>
    <row r="846">
      <c r="D846" s="37"/>
      <c r="E846" s="37"/>
      <c r="F846" s="37"/>
    </row>
    <row r="847">
      <c r="D847" s="37"/>
      <c r="E847" s="37"/>
      <c r="F847" s="37"/>
    </row>
    <row r="848">
      <c r="D848" s="37"/>
      <c r="E848" s="37"/>
      <c r="F848" s="37"/>
    </row>
    <row r="849">
      <c r="D849" s="37"/>
      <c r="E849" s="37"/>
      <c r="F849" s="37"/>
    </row>
    <row r="850">
      <c r="D850" s="37"/>
      <c r="E850" s="37"/>
      <c r="F850" s="37"/>
    </row>
    <row r="851">
      <c r="D851" s="37"/>
      <c r="E851" s="37"/>
      <c r="F851" s="37"/>
    </row>
    <row r="852">
      <c r="D852" s="37"/>
      <c r="E852" s="37"/>
      <c r="F852" s="37"/>
    </row>
    <row r="853">
      <c r="D853" s="37"/>
      <c r="E853" s="37"/>
      <c r="F853" s="37"/>
    </row>
    <row r="854">
      <c r="D854" s="37"/>
      <c r="E854" s="37"/>
      <c r="F854" s="37"/>
    </row>
    <row r="855">
      <c r="D855" s="37"/>
      <c r="E855" s="37"/>
      <c r="F855" s="37"/>
    </row>
    <row r="856">
      <c r="D856" s="37"/>
      <c r="E856" s="37"/>
      <c r="F856" s="37"/>
    </row>
    <row r="857">
      <c r="D857" s="37"/>
      <c r="E857" s="37"/>
      <c r="F857" s="37"/>
    </row>
    <row r="858">
      <c r="D858" s="37"/>
      <c r="E858" s="37"/>
      <c r="F858" s="37"/>
    </row>
    <row r="859">
      <c r="D859" s="37"/>
      <c r="E859" s="37"/>
      <c r="F859" s="37"/>
    </row>
    <row r="860">
      <c r="D860" s="37"/>
      <c r="E860" s="37"/>
      <c r="F860" s="37"/>
    </row>
    <row r="861">
      <c r="D861" s="37"/>
      <c r="E861" s="37"/>
      <c r="F861" s="37"/>
    </row>
    <row r="862">
      <c r="D862" s="37"/>
      <c r="E862" s="37"/>
      <c r="F862" s="37"/>
    </row>
    <row r="863">
      <c r="D863" s="37"/>
      <c r="E863" s="37"/>
      <c r="F863" s="37"/>
    </row>
    <row r="864">
      <c r="D864" s="37"/>
      <c r="E864" s="37"/>
      <c r="F864" s="37"/>
    </row>
    <row r="865">
      <c r="D865" s="37"/>
      <c r="E865" s="37"/>
      <c r="F865" s="37"/>
    </row>
    <row r="866">
      <c r="D866" s="37"/>
      <c r="E866" s="37"/>
      <c r="F866" s="37"/>
    </row>
    <row r="867">
      <c r="D867" s="37"/>
      <c r="E867" s="37"/>
      <c r="F867" s="37"/>
    </row>
    <row r="868">
      <c r="D868" s="37"/>
      <c r="E868" s="37"/>
      <c r="F868" s="37"/>
    </row>
    <row r="869">
      <c r="D869" s="37"/>
      <c r="E869" s="37"/>
      <c r="F869" s="37"/>
    </row>
    <row r="870">
      <c r="D870" s="37"/>
      <c r="E870" s="37"/>
      <c r="F870" s="37"/>
    </row>
    <row r="871">
      <c r="D871" s="37"/>
      <c r="E871" s="37"/>
      <c r="F871" s="37"/>
    </row>
    <row r="872">
      <c r="D872" s="37"/>
      <c r="E872" s="37"/>
      <c r="F872" s="37"/>
    </row>
    <row r="873">
      <c r="D873" s="37"/>
      <c r="E873" s="37"/>
      <c r="F873" s="37"/>
    </row>
    <row r="874">
      <c r="D874" s="37"/>
      <c r="E874" s="37"/>
      <c r="F874" s="37"/>
    </row>
    <row r="875">
      <c r="D875" s="37"/>
      <c r="E875" s="37"/>
      <c r="F875" s="37"/>
    </row>
    <row r="876">
      <c r="D876" s="37"/>
      <c r="E876" s="37"/>
      <c r="F876" s="37"/>
    </row>
    <row r="877">
      <c r="D877" s="37"/>
      <c r="E877" s="37"/>
      <c r="F877" s="37"/>
    </row>
    <row r="878">
      <c r="D878" s="37"/>
      <c r="E878" s="37"/>
      <c r="F878" s="37"/>
    </row>
    <row r="879">
      <c r="D879" s="37"/>
      <c r="E879" s="37"/>
      <c r="F879" s="37"/>
    </row>
    <row r="880">
      <c r="D880" s="37"/>
      <c r="E880" s="37"/>
      <c r="F880" s="37"/>
    </row>
    <row r="881">
      <c r="D881" s="37"/>
      <c r="E881" s="37"/>
      <c r="F881" s="37"/>
    </row>
    <row r="882">
      <c r="D882" s="37"/>
      <c r="E882" s="37"/>
      <c r="F882" s="37"/>
    </row>
    <row r="883">
      <c r="D883" s="37"/>
      <c r="E883" s="37"/>
      <c r="F883" s="37"/>
    </row>
    <row r="884">
      <c r="D884" s="37"/>
      <c r="E884" s="37"/>
      <c r="F884" s="37"/>
    </row>
    <row r="885">
      <c r="D885" s="37"/>
      <c r="E885" s="37"/>
      <c r="F885" s="37"/>
    </row>
    <row r="886">
      <c r="D886" s="37"/>
      <c r="E886" s="37"/>
      <c r="F886" s="37"/>
    </row>
    <row r="887">
      <c r="D887" s="37"/>
      <c r="E887" s="37"/>
      <c r="F887" s="37"/>
    </row>
    <row r="888">
      <c r="D888" s="37"/>
      <c r="E888" s="37"/>
      <c r="F888" s="37"/>
    </row>
    <row r="889">
      <c r="D889" s="37"/>
      <c r="E889" s="37"/>
      <c r="F889" s="37"/>
    </row>
    <row r="890">
      <c r="D890" s="37"/>
      <c r="E890" s="37"/>
      <c r="F890" s="37"/>
    </row>
    <row r="891">
      <c r="D891" s="37"/>
      <c r="E891" s="37"/>
      <c r="F891" s="37"/>
    </row>
    <row r="892">
      <c r="D892" s="37"/>
      <c r="E892" s="37"/>
      <c r="F892" s="37"/>
    </row>
    <row r="893">
      <c r="D893" s="37"/>
      <c r="E893" s="37"/>
      <c r="F893" s="37"/>
    </row>
    <row r="894">
      <c r="D894" s="37"/>
      <c r="E894" s="37"/>
      <c r="F894" s="37"/>
    </row>
    <row r="895">
      <c r="D895" s="37"/>
      <c r="E895" s="37"/>
      <c r="F895" s="37"/>
    </row>
    <row r="896">
      <c r="D896" s="37"/>
      <c r="E896" s="37"/>
      <c r="F896" s="37"/>
    </row>
    <row r="897">
      <c r="D897" s="37"/>
      <c r="E897" s="37"/>
      <c r="F897" s="37"/>
    </row>
    <row r="898">
      <c r="D898" s="37"/>
      <c r="E898" s="37"/>
      <c r="F898" s="37"/>
    </row>
    <row r="899">
      <c r="D899" s="37"/>
      <c r="E899" s="37"/>
      <c r="F899" s="37"/>
    </row>
    <row r="900">
      <c r="D900" s="37"/>
      <c r="E900" s="37"/>
      <c r="F900" s="37"/>
    </row>
    <row r="901">
      <c r="D901" s="37"/>
      <c r="E901" s="37"/>
      <c r="F901" s="37"/>
    </row>
    <row r="902">
      <c r="D902" s="37"/>
      <c r="E902" s="37"/>
      <c r="F902" s="37"/>
    </row>
    <row r="903">
      <c r="D903" s="37"/>
      <c r="E903" s="37"/>
      <c r="F903" s="37"/>
    </row>
    <row r="904">
      <c r="D904" s="37"/>
      <c r="E904" s="37"/>
      <c r="F904" s="37"/>
    </row>
    <row r="905">
      <c r="D905" s="37"/>
      <c r="E905" s="37"/>
      <c r="F905" s="37"/>
    </row>
    <row r="906">
      <c r="D906" s="37"/>
      <c r="E906" s="37"/>
      <c r="F906" s="37"/>
    </row>
    <row r="907">
      <c r="D907" s="37"/>
      <c r="E907" s="37"/>
      <c r="F907" s="37"/>
    </row>
    <row r="908">
      <c r="D908" s="37"/>
      <c r="E908" s="37"/>
      <c r="F908" s="37"/>
    </row>
    <row r="909">
      <c r="D909" s="37"/>
      <c r="E909" s="37"/>
      <c r="F909" s="37"/>
    </row>
    <row r="910">
      <c r="D910" s="37"/>
      <c r="E910" s="37"/>
      <c r="F910" s="37"/>
    </row>
    <row r="911">
      <c r="D911" s="37"/>
      <c r="E911" s="37"/>
      <c r="F911" s="37"/>
    </row>
    <row r="912">
      <c r="D912" s="37"/>
      <c r="E912" s="37"/>
      <c r="F912" s="37"/>
    </row>
    <row r="913">
      <c r="D913" s="37"/>
      <c r="E913" s="37"/>
      <c r="F913" s="37"/>
    </row>
    <row r="914">
      <c r="D914" s="37"/>
      <c r="E914" s="37"/>
      <c r="F914" s="37"/>
    </row>
    <row r="915">
      <c r="D915" s="37"/>
      <c r="E915" s="37"/>
      <c r="F915" s="37"/>
    </row>
    <row r="916">
      <c r="D916" s="37"/>
      <c r="E916" s="37"/>
      <c r="F916" s="37"/>
    </row>
    <row r="917">
      <c r="D917" s="37"/>
      <c r="E917" s="37"/>
      <c r="F917" s="37"/>
    </row>
    <row r="918">
      <c r="D918" s="37"/>
      <c r="E918" s="37"/>
      <c r="F918" s="37"/>
    </row>
    <row r="919">
      <c r="D919" s="37"/>
      <c r="E919" s="37"/>
      <c r="F919" s="37"/>
    </row>
    <row r="920">
      <c r="D920" s="37"/>
      <c r="E920" s="37"/>
      <c r="F920" s="37"/>
    </row>
    <row r="921">
      <c r="D921" s="37"/>
      <c r="E921" s="37"/>
      <c r="F921" s="37"/>
    </row>
    <row r="922">
      <c r="D922" s="37"/>
      <c r="E922" s="37"/>
      <c r="F922" s="37"/>
    </row>
    <row r="923">
      <c r="D923" s="37"/>
      <c r="E923" s="37"/>
      <c r="F923" s="37"/>
    </row>
    <row r="924">
      <c r="D924" s="37"/>
      <c r="E924" s="37"/>
      <c r="F924" s="37"/>
    </row>
    <row r="925">
      <c r="D925" s="37"/>
      <c r="E925" s="37"/>
      <c r="F925" s="37"/>
    </row>
    <row r="926">
      <c r="D926" s="37"/>
      <c r="E926" s="37"/>
      <c r="F926" s="37"/>
    </row>
    <row r="927">
      <c r="D927" s="37"/>
      <c r="E927" s="37"/>
      <c r="F927" s="37"/>
    </row>
    <row r="928">
      <c r="D928" s="37"/>
      <c r="E928" s="37"/>
      <c r="F928" s="37"/>
    </row>
    <row r="929">
      <c r="D929" s="37"/>
      <c r="E929" s="37"/>
      <c r="F929" s="37"/>
    </row>
    <row r="930">
      <c r="D930" s="37"/>
      <c r="E930" s="37"/>
      <c r="F930" s="37"/>
    </row>
    <row r="931">
      <c r="D931" s="37"/>
      <c r="E931" s="37"/>
      <c r="F931" s="37"/>
    </row>
    <row r="932">
      <c r="D932" s="37"/>
      <c r="E932" s="37"/>
      <c r="F932" s="37"/>
    </row>
    <row r="933">
      <c r="D933" s="37"/>
      <c r="E933" s="37"/>
      <c r="F933" s="37"/>
    </row>
    <row r="934">
      <c r="D934" s="37"/>
      <c r="E934" s="37"/>
      <c r="F934" s="37"/>
    </row>
    <row r="935">
      <c r="D935" s="37"/>
      <c r="E935" s="37"/>
      <c r="F935" s="37"/>
    </row>
    <row r="936">
      <c r="D936" s="37"/>
      <c r="E936" s="37"/>
      <c r="F936" s="37"/>
    </row>
    <row r="937">
      <c r="D937" s="37"/>
      <c r="E937" s="37"/>
      <c r="F937" s="37"/>
    </row>
    <row r="938">
      <c r="D938" s="37"/>
      <c r="E938" s="37"/>
      <c r="F938" s="37"/>
    </row>
    <row r="939">
      <c r="D939" s="37"/>
      <c r="E939" s="37"/>
      <c r="F939" s="37"/>
    </row>
    <row r="940">
      <c r="D940" s="37"/>
      <c r="E940" s="37"/>
      <c r="F940" s="37"/>
    </row>
    <row r="941">
      <c r="D941" s="37"/>
      <c r="E941" s="37"/>
      <c r="F941" s="37"/>
    </row>
    <row r="942">
      <c r="D942" s="37"/>
      <c r="E942" s="37"/>
      <c r="F942" s="37"/>
    </row>
    <row r="943">
      <c r="D943" s="37"/>
      <c r="E943" s="37"/>
      <c r="F943" s="37"/>
    </row>
    <row r="944">
      <c r="D944" s="37"/>
      <c r="E944" s="37"/>
      <c r="F944" s="37"/>
    </row>
    <row r="945">
      <c r="D945" s="37"/>
      <c r="E945" s="37"/>
      <c r="F945" s="37"/>
    </row>
    <row r="946">
      <c r="D946" s="37"/>
      <c r="E946" s="37"/>
      <c r="F946" s="37"/>
    </row>
    <row r="947">
      <c r="D947" s="37"/>
      <c r="E947" s="37"/>
      <c r="F947" s="37"/>
    </row>
    <row r="948">
      <c r="D948" s="37"/>
      <c r="E948" s="37"/>
      <c r="F948" s="37"/>
    </row>
    <row r="949">
      <c r="D949" s="37"/>
      <c r="E949" s="37"/>
      <c r="F949" s="37"/>
    </row>
    <row r="950">
      <c r="D950" s="37"/>
      <c r="E950" s="37"/>
      <c r="F950" s="37"/>
    </row>
    <row r="951">
      <c r="D951" s="37"/>
      <c r="E951" s="37"/>
      <c r="F951" s="37"/>
    </row>
    <row r="952">
      <c r="D952" s="37"/>
      <c r="E952" s="37"/>
      <c r="F952" s="37"/>
    </row>
    <row r="953">
      <c r="D953" s="37"/>
      <c r="E953" s="37"/>
      <c r="F953" s="37"/>
    </row>
    <row r="954">
      <c r="D954" s="37"/>
      <c r="E954" s="37"/>
      <c r="F954" s="37"/>
    </row>
    <row r="955">
      <c r="D955" s="37"/>
      <c r="E955" s="37"/>
      <c r="F955" s="37"/>
    </row>
    <row r="956">
      <c r="D956" s="37"/>
      <c r="E956" s="37"/>
      <c r="F956" s="37"/>
    </row>
    <row r="957">
      <c r="D957" s="37"/>
      <c r="E957" s="37"/>
      <c r="F957" s="37"/>
    </row>
    <row r="958">
      <c r="D958" s="37"/>
      <c r="E958" s="37"/>
      <c r="F958" s="37"/>
    </row>
    <row r="959">
      <c r="D959" s="37"/>
      <c r="E959" s="37"/>
      <c r="F959" s="37"/>
    </row>
    <row r="960">
      <c r="D960" s="37"/>
      <c r="E960" s="37"/>
      <c r="F960" s="37"/>
    </row>
    <row r="961">
      <c r="D961" s="37"/>
      <c r="E961" s="37"/>
      <c r="F961" s="37"/>
    </row>
    <row r="962">
      <c r="D962" s="37"/>
      <c r="E962" s="37"/>
      <c r="F962" s="37"/>
    </row>
    <row r="963">
      <c r="D963" s="37"/>
      <c r="E963" s="37"/>
      <c r="F963" s="37"/>
    </row>
    <row r="964">
      <c r="D964" s="37"/>
      <c r="E964" s="37"/>
      <c r="F964" s="37"/>
    </row>
    <row r="965">
      <c r="D965" s="37"/>
      <c r="E965" s="37"/>
      <c r="F965" s="37"/>
    </row>
    <row r="966">
      <c r="D966" s="37"/>
      <c r="E966" s="37"/>
      <c r="F966" s="37"/>
    </row>
    <row r="967">
      <c r="D967" s="37"/>
      <c r="E967" s="37"/>
      <c r="F967" s="37"/>
    </row>
    <row r="968">
      <c r="D968" s="37"/>
      <c r="E968" s="37"/>
      <c r="F968" s="37"/>
    </row>
    <row r="969">
      <c r="D969" s="37"/>
      <c r="E969" s="37"/>
      <c r="F969" s="37"/>
    </row>
    <row r="970">
      <c r="D970" s="37"/>
      <c r="E970" s="37"/>
      <c r="F970" s="37"/>
    </row>
    <row r="971">
      <c r="D971" s="37"/>
      <c r="E971" s="37"/>
      <c r="F971" s="37"/>
    </row>
    <row r="972">
      <c r="D972" s="37"/>
      <c r="E972" s="37"/>
      <c r="F972" s="37"/>
    </row>
    <row r="973">
      <c r="D973" s="37"/>
      <c r="E973" s="37"/>
      <c r="F973" s="37"/>
    </row>
    <row r="974">
      <c r="D974" s="37"/>
      <c r="E974" s="37"/>
      <c r="F974" s="37"/>
    </row>
    <row r="975">
      <c r="D975" s="37"/>
      <c r="E975" s="37"/>
      <c r="F975" s="37"/>
    </row>
    <row r="976">
      <c r="D976" s="37"/>
      <c r="E976" s="37"/>
      <c r="F976" s="37"/>
    </row>
    <row r="977">
      <c r="D977" s="37"/>
      <c r="E977" s="37"/>
      <c r="F977" s="37"/>
    </row>
    <row r="978">
      <c r="D978" s="37"/>
      <c r="E978" s="37"/>
      <c r="F978" s="37"/>
    </row>
    <row r="979">
      <c r="D979" s="37"/>
      <c r="E979" s="37"/>
      <c r="F979" s="37"/>
    </row>
    <row r="980">
      <c r="D980" s="37"/>
      <c r="E980" s="37"/>
      <c r="F980" s="37"/>
    </row>
    <row r="981">
      <c r="D981" s="37"/>
      <c r="E981" s="37"/>
      <c r="F981" s="37"/>
    </row>
    <row r="982">
      <c r="D982" s="37"/>
      <c r="E982" s="37"/>
      <c r="F982" s="37"/>
    </row>
    <row r="983">
      <c r="D983" s="37"/>
      <c r="E983" s="37"/>
      <c r="F983" s="37"/>
    </row>
    <row r="984">
      <c r="D984" s="37"/>
      <c r="E984" s="37"/>
      <c r="F984" s="37"/>
    </row>
    <row r="985">
      <c r="D985" s="37"/>
      <c r="E985" s="37"/>
      <c r="F985" s="37"/>
    </row>
    <row r="986">
      <c r="D986" s="37"/>
      <c r="E986" s="37"/>
      <c r="F986" s="37"/>
    </row>
    <row r="987">
      <c r="D987" s="37"/>
      <c r="E987" s="37"/>
      <c r="F987" s="37"/>
    </row>
    <row r="988">
      <c r="D988" s="37"/>
      <c r="E988" s="37"/>
      <c r="F988" s="37"/>
    </row>
    <row r="989">
      <c r="D989" s="37"/>
      <c r="E989" s="37"/>
      <c r="F989" s="37"/>
    </row>
    <row r="990">
      <c r="D990" s="37"/>
      <c r="E990" s="37"/>
      <c r="F990" s="37"/>
    </row>
    <row r="991">
      <c r="D991" s="37"/>
      <c r="E991" s="37"/>
      <c r="F991" s="37"/>
    </row>
    <row r="992">
      <c r="D992" s="37"/>
      <c r="E992" s="37"/>
      <c r="F992" s="37"/>
    </row>
    <row r="993">
      <c r="D993" s="37"/>
      <c r="E993" s="37"/>
      <c r="F993" s="37"/>
    </row>
    <row r="994">
      <c r="D994" s="37"/>
      <c r="E994" s="37"/>
      <c r="F994" s="37"/>
    </row>
    <row r="995">
      <c r="D995" s="37"/>
      <c r="E995" s="37"/>
      <c r="F995" s="37"/>
    </row>
    <row r="996">
      <c r="D996" s="37"/>
      <c r="E996" s="37"/>
      <c r="F996" s="37"/>
    </row>
    <row r="997">
      <c r="D997" s="37"/>
      <c r="E997" s="37"/>
      <c r="F997" s="37"/>
    </row>
    <row r="998">
      <c r="D998" s="37"/>
      <c r="E998" s="37"/>
      <c r="F998" s="37"/>
    </row>
    <row r="999">
      <c r="D999" s="37"/>
      <c r="E999" s="37"/>
      <c r="F999" s="37"/>
    </row>
    <row r="1000">
      <c r="D1000" s="37"/>
      <c r="E1000" s="37"/>
      <c r="F1000" s="37"/>
    </row>
  </sheetData>
  <drawing r:id="rId1"/>
</worksheet>
</file>